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 tabRatio="500" firstSheet="16" activeTab="19"/>
  </bookViews>
  <sheets>
    <sheet name="CP(F2)-PCP_Used_LCV" sheetId="1" r:id="rId1"/>
    <sheet name="CP(F2)-CP_Used_LCV" sheetId="2" r:id="rId2"/>
    <sheet name="HPNR(F3)-PCP_Used_LCV" sheetId="3" r:id="rId3"/>
    <sheet name="HPNR(F3)-CP_Used_LCV" sheetId="4" r:id="rId4"/>
    <sheet name="HPNR(F3)-HPR_Used_LCV" sheetId="5" r:id="rId5"/>
    <sheet name="HPNR(F3)-HPNR_Used_LCV" sheetId="6" r:id="rId6"/>
    <sheet name="BCH-F3-PCH_Used_LCV" sheetId="7" r:id="rId7"/>
    <sheet name="BCH-F3-BCH_Used_LCV" sheetId="8" r:id="rId8"/>
    <sheet name="CP(F3)-PCH_Used_LCV" sheetId="9" r:id="rId9"/>
    <sheet name="CP(F3)-BCH_Used_LCV" sheetId="10" r:id="rId10"/>
    <sheet name="FL(F3)-FL_Used_LCV" sheetId="11" r:id="rId11"/>
    <sheet name="FL(F3)-PCH_Used_LCV" sheetId="12" r:id="rId12"/>
    <sheet name="FL(F3)-BCH_Used_LCV" sheetId="13" r:id="rId13"/>
    <sheet name="HPNR (F3)-FL_Used_LCV" sheetId="14" r:id="rId14"/>
    <sheet name="HPNR (F3)-PCH_Used_LCV" sheetId="15" r:id="rId15"/>
    <sheet name="HPNR (F3)-BCH_Used_LCV" sheetId="16" r:id="rId16"/>
    <sheet name="PCP_used_LCV" sheetId="17" r:id="rId17"/>
    <sheet name="CP_used_LCV" sheetId="18" r:id="rId18"/>
    <sheet name="HPR_used_LCV" sheetId="19" r:id="rId19"/>
    <sheet name="HPNR_used_LCV" sheetId="20" r:id="rId20"/>
    <sheet name="Formula1-FL_Used_LCV" sheetId="21" r:id="rId21"/>
    <sheet name="Formula1-PCH_Used_LCV" sheetId="22" r:id="rId22"/>
    <sheet name="Formula1-BCH_Used_LCV" sheetId="23" r:id="rId23"/>
    <sheet name="CP(F2)-PCP_Used_car" sheetId="24" r:id="rId24"/>
    <sheet name="CP(F2)-CP_Used_car" sheetId="25" r:id="rId25"/>
    <sheet name="HPNR(F3)-PCP_Used_car" sheetId="26" r:id="rId26"/>
    <sheet name="HPNR(F3)-CP_Used_car" sheetId="27" r:id="rId27"/>
    <sheet name="HPNR(F3)-HPR_Used_car" sheetId="28" r:id="rId28"/>
    <sheet name="HPNR(F3)-HPNR_Used_car" sheetId="29" r:id="rId29"/>
    <sheet name="CP(F3)-PCH_Used_car" sheetId="30" r:id="rId30"/>
    <sheet name="CP(F3)-BCH_Used_car" sheetId="31" r:id="rId31"/>
    <sheet name="FL(F3)-FL_Used_car" sheetId="32" r:id="rId32"/>
    <sheet name="FL(F3)-PCH_Used_car" sheetId="33" r:id="rId33"/>
    <sheet name="FL(F3)-BCH_Used_car" sheetId="34" r:id="rId34"/>
    <sheet name="HPNR (F3)-FL_Used_car" sheetId="35" r:id="rId35"/>
    <sheet name="HPNR (F3)-PCH_Used_car" sheetId="36" r:id="rId36"/>
    <sheet name="HPNR (F3)-BCH_Used_car" sheetId="37" r:id="rId37"/>
    <sheet name="PCP_used_car" sheetId="38" r:id="rId38"/>
    <sheet name="CP_used_car" sheetId="39" r:id="rId39"/>
    <sheet name="HPR_used_car" sheetId="40" r:id="rId40"/>
    <sheet name="HPNR_used_car" sheetId="41" r:id="rId41"/>
    <sheet name="BCH-F3-PCH_Used_car" sheetId="42" r:id="rId42"/>
    <sheet name="BCH-F3-BCH_Used_car" sheetId="43" r:id="rId43"/>
    <sheet name="Formula1-FL_Used_car" sheetId="44" r:id="rId44"/>
    <sheet name="Formula1-PCH_Used_car" sheetId="45" r:id="rId45"/>
    <sheet name="CP (Formula 3) - PCH" sheetId="46" r:id="rId46"/>
    <sheet name="CP (Formula 3) - BCH" sheetId="47" r:id="rId47"/>
    <sheet name="CP (Formula 2) - CP" sheetId="48" r:id="rId48"/>
    <sheet name="CP (Formula 2) - PCP" sheetId="49" r:id="rId49"/>
    <sheet name="Formula1-BCH_Used_car" sheetId="50" r:id="rId50"/>
    <sheet name="HPNR (Formula 3) - PCP" sheetId="51" r:id="rId51"/>
    <sheet name="HPNR (Formula 3) - CP" sheetId="52" r:id="rId52"/>
    <sheet name="HPNR (Formula 3) - HPR" sheetId="53" r:id="rId53"/>
    <sheet name="HPNR (Formula 3) - FL" sheetId="54" r:id="rId54"/>
    <sheet name="HPNR (Formula 3) - PCH" sheetId="55" r:id="rId55"/>
    <sheet name="HPNR (Formula 3) - BCH" sheetId="56" r:id="rId56"/>
    <sheet name="FL (Formula 3) - FL" sheetId="57" r:id="rId57"/>
    <sheet name="FL (Formula 3) - PCH" sheetId="58" r:id="rId58"/>
    <sheet name="FL (Formula 3) - BCH" sheetId="59" r:id="rId59"/>
    <sheet name="HPNR (Formula 3) - HPNR" sheetId="60" r:id="rId60"/>
    <sheet name="HirePurchaseNonRegulated" sheetId="61" r:id="rId61"/>
    <sheet name="HirePurchaseRegulated" sheetId="62" r:id="rId62"/>
    <sheet name="PersonalContractPurchase" sheetId="63" r:id="rId63"/>
    <sheet name="ContractPurchase" sheetId="64" r:id="rId64"/>
    <sheet name="Formula1-FL" sheetId="65" r:id="rId65"/>
    <sheet name="Formula1-PCH" sheetId="66" r:id="rId66"/>
    <sheet name="Formula1-BCH" sheetId="67" r:id="rId67"/>
    <sheet name="FL (Formula 3) - BCH, PCH, FL" sheetId="68" r:id="rId68"/>
    <sheet name="BCH (Formula 3) - PCH" sheetId="69" r:id="rId69"/>
    <sheet name="BCH (Formula 3) - BCH" sheetId="70" r:id="rId70"/>
  </sheets>
  <calcPr calcId="144525"/>
</workbook>
</file>

<file path=xl/sharedStrings.xml><?xml version="1.0" encoding="utf-8"?>
<sst xmlns="http://schemas.openxmlformats.org/spreadsheetml/2006/main" count="32377" uniqueCount="389">
  <si>
    <t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</si>
  <si>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</si>
  <si>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</si>
  <si>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</si>
  <si>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</si>
  <si>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</si>
  <si>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</si>
  <si>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>Cost price</t>
  </si>
  <si>
    <t xml:space="preserve">Vehicle cost price </t>
  </si>
  <si>
    <t xml:space="preserve">Options and preparation cost </t>
  </si>
  <si>
    <t xml:space="preserve">RFL </t>
  </si>
  <si>
    <t>Target OTR</t>
  </si>
  <si>
    <t xml:space="preserve">OTR price </t>
  </si>
  <si>
    <t>Buying group</t>
  </si>
  <si>
    <t>P11D</t>
  </si>
  <si>
    <t>Dealer</t>
  </si>
  <si>
    <t>Manufacturer</t>
  </si>
  <si>
    <t xml:space="preserve">OTR for invoice </t>
  </si>
  <si>
    <t>YES</t>
  </si>
  <si>
    <t>NO</t>
  </si>
  <si>
    <t xml:space="preserve">                  </t>
  </si>
  <si>
    <t>Holding cost - formula - 2</t>
  </si>
  <si>
    <t xml:space="preserve">      Funder information</t>
  </si>
  <si>
    <t>Payment profile</t>
  </si>
  <si>
    <t>Monthly Advance</t>
  </si>
  <si>
    <t>Number of Monthly Advance</t>
  </si>
  <si>
    <t>Monthly advance</t>
  </si>
  <si>
    <t>Advance payment in Value</t>
  </si>
  <si>
    <t>Duration</t>
  </si>
  <si>
    <t>Funder</t>
  </si>
  <si>
    <t>Quote reference</t>
  </si>
  <si>
    <t>Quote expiry date</t>
  </si>
  <si>
    <t>Mileage</t>
  </si>
  <si>
    <t>sadasa</t>
  </si>
  <si>
    <t>dsfsfds</t>
  </si>
  <si>
    <t>Residual Value</t>
  </si>
  <si>
    <t>Maintenance Cost (SMR) Annual Value</t>
  </si>
  <si>
    <t>TOTAL CASH PRICE</t>
  </si>
  <si>
    <t>23125.00</t>
  </si>
  <si>
    <t>Term</t>
  </si>
  <si>
    <t>Miles per annum</t>
  </si>
  <si>
    <t>Contract mileage</t>
  </si>
  <si>
    <t>12</t>
  </si>
  <si>
    <t>5000</t>
  </si>
  <si>
    <t>CASH DEPOSIT</t>
  </si>
  <si>
    <t>1000</t>
  </si>
  <si>
    <t>Interest Rate (annual)</t>
  </si>
  <si>
    <t>Total cash price</t>
  </si>
  <si>
    <t>Cash deposit</t>
  </si>
  <si>
    <t>Balance to finance</t>
  </si>
  <si>
    <t>Subsequence term</t>
  </si>
  <si>
    <t>BALANCE TO FINANCE</t>
  </si>
  <si>
    <t>Calculation</t>
  </si>
  <si>
    <t>Document fee</t>
  </si>
  <si>
    <t>Number of monthly payments</t>
  </si>
  <si>
    <t>Monthly payment</t>
  </si>
  <si>
    <t>funderQuouteMonthlyPayment</t>
  </si>
  <si>
    <t>500</t>
  </si>
  <si>
    <t>vat</t>
  </si>
  <si>
    <t>maintenanceCost</t>
  </si>
  <si>
    <t>Optional final payment</t>
  </si>
  <si>
    <t>Option to purchase fee</t>
  </si>
  <si>
    <t>Maintenance included</t>
  </si>
  <si>
    <t>optionalFinalPayment</t>
  </si>
  <si>
    <t>fundingContractPeriod</t>
  </si>
  <si>
    <t>vatElement</t>
  </si>
  <si>
    <t>Monthly maint. Payment</t>
  </si>
  <si>
    <t>Pence per excess mile - finance</t>
  </si>
  <si>
    <t>Pence per excess mile - maint</t>
  </si>
  <si>
    <t>Holding Cost</t>
  </si>
  <si>
    <t>50</t>
  </si>
  <si>
    <t>rfl</t>
  </si>
  <si>
    <t>DocumentTermCal</t>
  </si>
  <si>
    <t>Pence per excess mile - total</t>
  </si>
  <si>
    <t>Option to Purchase fee</t>
  </si>
  <si>
    <t>monthlyHoldingCost</t>
  </si>
  <si>
    <t>monthlyFinanceCost</t>
  </si>
  <si>
    <t>% CAP residual value used</t>
  </si>
  <si>
    <t>% CAP maintenance cost used</t>
  </si>
  <si>
    <t>Total Cap Maint. Value</t>
  </si>
  <si>
    <t>254.00</t>
  </si>
  <si>
    <t>Total Maint value</t>
  </si>
  <si>
    <t xml:space="preserve">    Own book holding cost matrix</t>
  </si>
  <si>
    <t>Term (months)</t>
  </si>
  <si>
    <t>Mileage per annum</t>
  </si>
  <si>
    <t>Advance</t>
  </si>
  <si>
    <t>Subsequent monthly rentals</t>
  </si>
  <si>
    <t>Options to purchase fee</t>
  </si>
  <si>
    <t>Period Supplement</t>
  </si>
  <si>
    <t>Base Rate</t>
  </si>
  <si>
    <t>Rate Over Base Rate</t>
  </si>
  <si>
    <t>Default Margin</t>
  </si>
  <si>
    <t>Minimum Margin (%) for broker Vrb</t>
  </si>
  <si>
    <t>Margin Required (%) for broker vrb</t>
  </si>
  <si>
    <t>Default VRB Paid to Broker</t>
  </si>
  <si>
    <t>contingency insurance multiplier (holding cost)</t>
  </si>
  <si>
    <t>Insurance Premium Tax</t>
  </si>
  <si>
    <t>contingency insurance multiplier (Customer cost)</t>
  </si>
  <si>
    <t>Tracker Cost EX VAT</t>
  </si>
  <si>
    <t>Tracker subs per month EX VAT</t>
  </si>
  <si>
    <t>Tracker subs Total EX VAT</t>
  </si>
  <si>
    <t>Disposal Costs</t>
  </si>
  <si>
    <t>Delivery and collection EX VAT</t>
  </si>
  <si>
    <t>Total Additional Cost</t>
  </si>
  <si>
    <t>Monthly additioanl cost</t>
  </si>
  <si>
    <t>Holding cost</t>
  </si>
  <si>
    <t>Advance(Balance To finanace)</t>
  </si>
  <si>
    <t>Residual</t>
  </si>
  <si>
    <t>Annual Interest Rate</t>
  </si>
  <si>
    <t>R</t>
  </si>
  <si>
    <t>Subsequent Rentals (n)</t>
  </si>
  <si>
    <t>Step 1</t>
  </si>
  <si>
    <t>Step 2</t>
  </si>
  <si>
    <t>Step 3</t>
  </si>
  <si>
    <t xml:space="preserve">Monthly rental </t>
  </si>
  <si>
    <t>Total exc. contingency insurance</t>
  </si>
  <si>
    <t>Insurance</t>
  </si>
  <si>
    <t>Total inc. contingency insurance</t>
  </si>
  <si>
    <t>Monthly maintenance rental</t>
  </si>
  <si>
    <t>Monthly finance rental</t>
  </si>
  <si>
    <t>Total monthly rental (Ex. VAT)</t>
  </si>
  <si>
    <t>Limited Credit</t>
  </si>
  <si>
    <t>Hire purchase - NON Regulated</t>
  </si>
  <si>
    <t>Hire purchase - Regulated</t>
  </si>
  <si>
    <t>Contract purchase</t>
  </si>
  <si>
    <t>Personal contract purchase</t>
  </si>
  <si>
    <t xml:space="preserve">       Own book customer quote</t>
  </si>
  <si>
    <t>Contract type</t>
  </si>
  <si>
    <t>Maintenance include</t>
  </si>
  <si>
    <t>Hire purchase - NON regulated</t>
  </si>
  <si>
    <t xml:space="preserve"> Monthly in advance </t>
  </si>
  <si>
    <t>Maintenance margin %</t>
  </si>
  <si>
    <t>Credit type</t>
  </si>
  <si>
    <t>APR</t>
  </si>
  <si>
    <t>Limited Cedit</t>
  </si>
  <si>
    <t>Limited credit</t>
  </si>
  <si>
    <t>A1  Crdit</t>
  </si>
  <si>
    <t>Included balloon payment</t>
  </si>
  <si>
    <t>Order deposit</t>
  </si>
  <si>
    <t>Finance deposit</t>
  </si>
  <si>
    <t>Total deposit</t>
  </si>
  <si>
    <t>Document fee (Ex. VAT)</t>
  </si>
  <si>
    <t>Initial payment</t>
  </si>
  <si>
    <t>239.99</t>
  </si>
  <si>
    <t xml:space="preserve">       Sales price</t>
  </si>
  <si>
    <t>Vehicle</t>
  </si>
  <si>
    <t>Paint</t>
  </si>
  <si>
    <t>Options</t>
  </si>
  <si>
    <t>Accessories</t>
  </si>
  <si>
    <t>OTR price</t>
  </si>
  <si>
    <t>Sales price</t>
  </si>
  <si>
    <t>Basic list price</t>
  </si>
  <si>
    <t>Discount (%)</t>
  </si>
  <si>
    <t>Additional discount</t>
  </si>
  <si>
    <t>Discount total</t>
  </si>
  <si>
    <t>After discount price</t>
  </si>
  <si>
    <t>Accessories list price</t>
  </si>
  <si>
    <t>Accessories name</t>
  </si>
  <si>
    <t>Listing price</t>
  </si>
  <si>
    <t>Discount in %</t>
  </si>
  <si>
    <t>Accessories1</t>
  </si>
  <si>
    <t>Accessories2</t>
  </si>
  <si>
    <t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</si>
  <si>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</si>
  <si>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</si>
  <si>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</si>
  <si>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</si>
  <si>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</si>
  <si>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</si>
  <si>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</si>
  <si>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</si>
  <si>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</si>
  <si>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>Remarks</t>
  </si>
  <si>
    <t xml:space="preserve">On the road price for calculation           </t>
  </si>
  <si>
    <t xml:space="preserve">Sales profit          </t>
  </si>
  <si>
    <t xml:space="preserve">       Part exchange</t>
  </si>
  <si>
    <t>Part exchange</t>
  </si>
  <si>
    <t>Less finance settlement</t>
  </si>
  <si>
    <t>Net part exchange allowance</t>
  </si>
  <si>
    <t>Part exchange profit</t>
  </si>
  <si>
    <t>Deposit required</t>
  </si>
  <si>
    <t>Balance to finanace</t>
  </si>
  <si>
    <t xml:space="preserve">       Summary</t>
  </si>
  <si>
    <t>Target rental</t>
  </si>
  <si>
    <t>Monthly finance payment</t>
  </si>
  <si>
    <t>Monthly maintenance payment</t>
  </si>
  <si>
    <t>Total monthly payment</t>
  </si>
  <si>
    <t>Monthly Finance Payment</t>
  </si>
  <si>
    <t>Balloon</t>
  </si>
  <si>
    <t>Basic cash price</t>
  </si>
  <si>
    <t>VAT</t>
  </si>
  <si>
    <t>NON - VAT</t>
  </si>
  <si>
    <t>Total Cash price</t>
  </si>
  <si>
    <t>Finanace charges</t>
  </si>
  <si>
    <t>Balance payable</t>
  </si>
  <si>
    <t>Options to puchase fee</t>
  </si>
  <si>
    <t>Initial cash payment</t>
  </si>
  <si>
    <t>Final payment (inc. Option to puchase fee</t>
  </si>
  <si>
    <t>Pence per excess mile - Maintenance</t>
  </si>
  <si>
    <t>Default comission</t>
  </si>
  <si>
    <t>Maintenance comission</t>
  </si>
  <si>
    <t xml:space="preserve">Document fee comission </t>
  </si>
  <si>
    <t>Total comission</t>
  </si>
  <si>
    <t>Vehicle profit</t>
  </si>
  <si>
    <t xml:space="preserve">     Own book holding cost matrix</t>
  </si>
  <si>
    <t>Holding Finance Charges</t>
  </si>
  <si>
    <t>Holding Balance Payable</t>
  </si>
  <si>
    <t>Contract Purchase</t>
  </si>
  <si>
    <t>Followed by</t>
  </si>
  <si>
    <t>Guaranteed future value</t>
  </si>
  <si>
    <t>Final payment (inc. option to purchase fee)</t>
  </si>
  <si>
    <t>Pence per excess mile - maint.</t>
  </si>
  <si>
    <t xml:space="preserve">       Commission due</t>
  </si>
  <si>
    <t>Vehicle comm.</t>
  </si>
  <si>
    <t xml:space="preserve">        Configuration</t>
  </si>
  <si>
    <t>Base interest rate</t>
  </si>
  <si>
    <t>Customer interest rate</t>
  </si>
  <si>
    <t>Finance margin</t>
  </si>
  <si>
    <t>Deductions</t>
  </si>
  <si>
    <t>Additional margin</t>
  </si>
  <si>
    <t>Total margin</t>
  </si>
  <si>
    <t>Customer rate over base</t>
  </si>
  <si>
    <t>Period supplement</t>
  </si>
  <si>
    <t>Default broker margin</t>
  </si>
  <si>
    <t>Maint. Margin</t>
  </si>
  <si>
    <t>Document fee margin</t>
  </si>
  <si>
    <t xml:space="preserve">       Additional items</t>
  </si>
  <si>
    <t>Tracker cost</t>
  </si>
  <si>
    <t>Tracker subs per month</t>
  </si>
  <si>
    <t>Total tracker cost</t>
  </si>
  <si>
    <t>Contingency insurance multiplier</t>
  </si>
  <si>
    <t>Insurance tax</t>
  </si>
  <si>
    <t>Contingency insurance value</t>
  </si>
  <si>
    <t>Disposal cost</t>
  </si>
  <si>
    <t>Delivery &amp; collection cost</t>
  </si>
  <si>
    <t>199.99</t>
  </si>
  <si>
    <t>Holding cost - formula - 3</t>
  </si>
  <si>
    <t xml:space="preserve">       Funder information</t>
  </si>
  <si>
    <t xml:space="preserve">Quote expiry date </t>
  </si>
  <si>
    <t>Test</t>
  </si>
  <si>
    <t>Initial finance rental(Ex. VAT)</t>
  </si>
  <si>
    <t>Initial maintenance rental (Ex. VAT)</t>
  </si>
  <si>
    <t>Finance Rental Monthly</t>
  </si>
  <si>
    <t>Maintenance monthly</t>
  </si>
  <si>
    <t>21100.00</t>
  </si>
  <si>
    <t>Total initial rental (Ex. VAT)</t>
  </si>
  <si>
    <t xml:space="preserve">Term (months) </t>
  </si>
  <si>
    <t>Document Fee</t>
  </si>
  <si>
    <t>33</t>
  </si>
  <si>
    <t>0.00</t>
  </si>
  <si>
    <t>Maintenance</t>
  </si>
  <si>
    <t>Monthly finance rental(Ex. VAT)</t>
  </si>
  <si>
    <t>Monthly maintenance rental (Ex. VAT)</t>
  </si>
  <si>
    <t>Final balloon payment (Ex. VAT)</t>
  </si>
  <si>
    <t>Pence per excess mile - finance (Ex. VAT)</t>
  </si>
  <si>
    <t>Pence per excess mile - maintenance (Ex. VAT)</t>
  </si>
  <si>
    <t>Monthly Fianance Cost</t>
  </si>
  <si>
    <t>Maintenanace Cost</t>
  </si>
  <si>
    <t>Holding Cost (Monthly)</t>
  </si>
  <si>
    <t>Pence per excess mile - total (Ex. VAT)</t>
  </si>
  <si>
    <t>Percentage of sale proceed to customer</t>
  </si>
  <si>
    <t>Secondary hire period rental (Ex. VAT)</t>
  </si>
  <si>
    <t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</si>
  <si>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</si>
  <si>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</si>
  <si>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</si>
  <si>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</si>
  <si>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</si>
  <si>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</si>
  <si>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</si>
  <si>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</si>
  <si>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>Hire purchase – Regulated</t>
  </si>
  <si>
    <t>A1 Credit</t>
  </si>
  <si>
    <t>Hire Purchase Non-Regulated</t>
  </si>
  <si>
    <t>Upload document</t>
  </si>
  <si>
    <t>`</t>
  </si>
  <si>
    <t xml:space="preserve">otr   </t>
  </si>
  <si>
    <t>Minimum Margin (%)</t>
  </si>
  <si>
    <t>Margin Required (%)</t>
  </si>
  <si>
    <t>Additional RFL Per annum</t>
  </si>
  <si>
    <t>Additional RFL Premium Vehicle (Over £40k) Per annum</t>
  </si>
  <si>
    <t>Additional RFL Total</t>
  </si>
  <si>
    <t>Upsell</t>
  </si>
  <si>
    <t>Refferal commision</t>
  </si>
  <si>
    <t>Customer Quote - Personal Contract Hire</t>
  </si>
  <si>
    <t>Order deposit (No VAT)</t>
  </si>
  <si>
    <t>Business Contract Hire</t>
  </si>
  <si>
    <t>Document fee (Inc. VAT)</t>
  </si>
  <si>
    <t>Upsell (Ex. VAT)</t>
  </si>
  <si>
    <t>Referral commission (Ex. VAT)</t>
  </si>
  <si>
    <t xml:space="preserve">        Part exchange</t>
  </si>
  <si>
    <t>Add part exchange to montly rental</t>
  </si>
  <si>
    <t>Balance due</t>
  </si>
  <si>
    <t xml:space="preserve">        Summary</t>
  </si>
  <si>
    <t>Monthly maint. rental</t>
  </si>
  <si>
    <t>Total monthly rental</t>
  </si>
  <si>
    <t>Monthly finance rental (In. VAT)</t>
  </si>
  <si>
    <t>Monthly maintenance rental (In. VAT)</t>
  </si>
  <si>
    <t>Total monthly rental (In. VAT)</t>
  </si>
  <si>
    <t>Initial finance rental</t>
  </si>
  <si>
    <t>Initial maint. rental</t>
  </si>
  <si>
    <t>Initial finance rental (In. VAT)</t>
  </si>
  <si>
    <t>Initial maintenance rental (In. VAT)</t>
  </si>
  <si>
    <t>Total initial rental (In. VAT)</t>
  </si>
  <si>
    <t>Total initial rental</t>
  </si>
  <si>
    <t>Part exchange value</t>
  </si>
  <si>
    <t>Pence per excess mile - finance (In. VAT)</t>
  </si>
  <si>
    <t>Pence per excess mile - maintenance (In. VAT)</t>
  </si>
  <si>
    <t>Pence per excess mile - total (In. VAT)</t>
  </si>
  <si>
    <t>Document fee (In. VAT)</t>
  </si>
  <si>
    <t>Default commission (Ex. VAT)</t>
  </si>
  <si>
    <t>Upsell commission (Ex. VAT)</t>
  </si>
  <si>
    <t>Pence per excess mile - main.</t>
  </si>
  <si>
    <t>Maintenance commission (Ex. VAT)</t>
  </si>
  <si>
    <t>Document fee commission (Ex. VAT)</t>
  </si>
  <si>
    <t>Total commission (Ex. VAT)</t>
  </si>
  <si>
    <t>Subsidy requested</t>
  </si>
  <si>
    <t>Subsidy Requested</t>
  </si>
  <si>
    <t>Subsidy Commission Deduction</t>
  </si>
  <si>
    <t>Commission due</t>
  </si>
  <si>
    <t>Default finance comm.</t>
  </si>
  <si>
    <t>Upsell comm.</t>
  </si>
  <si>
    <t>Maint. comm.</t>
  </si>
  <si>
    <t>Own book holding cost matrix</t>
  </si>
  <si>
    <t>Document fee comm.</t>
  </si>
  <si>
    <t>Referrer comm.</t>
  </si>
  <si>
    <t>Broker upsell margin</t>
  </si>
  <si>
    <t>Referrer margin</t>
  </si>
  <si>
    <t>Maintnance Margin</t>
  </si>
  <si>
    <t xml:space="preserve">            Additional items</t>
  </si>
  <si>
    <t>Additional RFL per annum</t>
  </si>
  <si>
    <t>Additional RFL (List price over 40k) per annum</t>
  </si>
  <si>
    <t>Customer Quote - Business Contract Hire</t>
  </si>
  <si>
    <t xml:space="preserve">          Total Cash Price</t>
  </si>
  <si>
    <t>6000</t>
  </si>
  <si>
    <t>20</t>
  </si>
  <si>
    <t>10</t>
  </si>
  <si>
    <t xml:space="preserve">          </t>
  </si>
  <si>
    <t xml:space="preserve">  </t>
  </si>
  <si>
    <t>without maintenance Holding cost</t>
  </si>
  <si>
    <t>Referrer commision</t>
  </si>
  <si>
    <t>Customer Quote - Finance Lease</t>
  </si>
  <si>
    <t>With balloon</t>
  </si>
  <si>
    <t>Monthly finance rental (Ex. VAT)</t>
  </si>
  <si>
    <t>Initial finance rental (Ex. VAT)</t>
  </si>
  <si>
    <t>Final Balloon Payment</t>
  </si>
  <si>
    <t>Percentage of sales proceeds to customer</t>
  </si>
  <si>
    <t>Total Cash Price</t>
  </si>
  <si>
    <t>0</t>
  </si>
  <si>
    <t>1</t>
  </si>
  <si>
    <t>Customer Quote – Finance Lease</t>
  </si>
  <si>
    <t xml:space="preserve"> Terminal pause with 9 down </t>
  </si>
  <si>
    <t>200</t>
  </si>
  <si>
    <t>Holding cost - formula - 1</t>
  </si>
  <si>
    <t>Total monthly holding cost</t>
  </si>
  <si>
    <t>Advance for Holding Cost (Retrived From OTR Screen)</t>
  </si>
  <si>
    <t>Monthly finance cost</t>
  </si>
  <si>
    <t>Monthly maintenance cost</t>
  </si>
  <si>
    <t>CAP Residual value (Inc. VAT)</t>
  </si>
  <si>
    <t>Residual value used (Inc. VAT)</t>
  </si>
  <si>
    <t>Maintenance value used(Ex. VAT)</t>
  </si>
  <si>
    <t>CAP maintenance value (Ex. VAT)</t>
  </si>
  <si>
    <t>Monthly Interest (total/12)</t>
  </si>
  <si>
    <t>Monthly Mintenance</t>
  </si>
  <si>
    <t>Finance Cost</t>
  </si>
  <si>
    <t>Step 1 (Residual/(1+r)^(n+1) ))  = X</t>
  </si>
  <si>
    <t>Step 2 (Advance - (Residual/(1+r)^(n+1) )))  Y</t>
  </si>
  <si>
    <t>Step 3 ((1-1/(1+r)^n )/r)  Z</t>
  </si>
  <si>
    <t>Step 4 (Finance Cost)</t>
  </si>
  <si>
    <t>Holding Cost (Monthly)
Finance Cost + Maintenance Cost</t>
  </si>
  <si>
    <t>Target Holding cost</t>
  </si>
  <si>
    <t>Subsequence rental</t>
  </si>
  <si>
    <t>Step 1 (Residual/(1+r)^(n+1) ))</t>
  </si>
  <si>
    <t>Step 2 (Advance - (Residual/(1+r)^(n+1) )))</t>
  </si>
  <si>
    <t>Step 3 ((1-1/(1+r)^n )/r)</t>
  </si>
  <si>
    <t xml:space="preserve">Otr   </t>
  </si>
  <si>
    <t>Select Caste</t>
  </si>
  <si>
    <t>Referrer commission (Ex. VAT)</t>
  </si>
  <si>
    <t xml:space="preserve">           </t>
  </si>
  <si>
    <t>21600.00</t>
  </si>
  <si>
    <t>OTR Calculation</t>
  </si>
  <si>
    <t>315.00</t>
  </si>
  <si>
    <t>21268.00</t>
  </si>
  <si>
    <t>RFL included?</t>
  </si>
  <si>
    <t>30</t>
  </si>
  <si>
    <t>100</t>
  </si>
  <si>
    <t>58535.00</t>
  </si>
  <si>
    <t>604.17</t>
  </si>
  <si>
    <t xml:space="preserve"> Terminal pause with 6 down </t>
  </si>
</sst>
</file>

<file path=xl/styles.xml><?xml version="1.0" encoding="utf-8"?>
<styleSheet xmlns="http://schemas.openxmlformats.org/spreadsheetml/2006/main" xmlns:xr9="http://schemas.microsoft.com/office/spreadsheetml/2016/revision9">
  <numFmts count="21">
    <numFmt numFmtId="41" formatCode="_(* #,##0_);_(* \(#,##0\);_(* &quot;-&quot;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(* #,##0.00_);_(* \(#,##0.00\);_(* \-??_);_(@_)"/>
    <numFmt numFmtId="177" formatCode="&quot;£&quot;#,##0.00"/>
    <numFmt numFmtId="178" formatCode="[$-409]m/d/yyyy"/>
    <numFmt numFmtId="179" formatCode="&quot;TRUE&quot;;&quot;TRUE&quot;;&quot;FALSE&quot;"/>
    <numFmt numFmtId="180" formatCode="_(* #,##0_);_(* \(#,##0\);_(* \-??_);_(@_)"/>
    <numFmt numFmtId="181" formatCode="&quot;£&quot;#,##0.00000"/>
    <numFmt numFmtId="182" formatCode="&quot;£&quot;#,##0.0000"/>
    <numFmt numFmtId="183" formatCode="0.0000%"/>
    <numFmt numFmtId="184" formatCode="#,##0.0000000"/>
    <numFmt numFmtId="185" formatCode="#,##0.000000000"/>
    <numFmt numFmtId="186" formatCode="#,##0.0"/>
    <numFmt numFmtId="187" formatCode="0.0000000000000"/>
    <numFmt numFmtId="188" formatCode="0.0000"/>
    <numFmt numFmtId="189" formatCode="0.000%"/>
    <numFmt numFmtId="190" formatCode="#,##0.00000"/>
    <numFmt numFmtId="191" formatCode="#,##0.000"/>
    <numFmt numFmtId="192" formatCode="#,##0.0000000000"/>
    <numFmt numFmtId="193" formatCode="#,##0.0000"/>
  </numFmts>
  <fonts count="53">
    <font>
      <sz val="11"/>
      <color rgb="FF000000"/>
      <name val="Arial"/>
      <charset val="1"/>
    </font>
    <font>
      <b/>
      <sz val="36"/>
      <color rgb="FFFFFFFF"/>
      <name val="Calibri"/>
      <charset val="1"/>
    </font>
    <font>
      <sz val="14"/>
      <color rgb="FF000000"/>
      <name val="Calibri"/>
      <charset val="1"/>
    </font>
    <font>
      <b/>
      <sz val="16"/>
      <color rgb="FF000000"/>
      <name val="Calibri"/>
      <charset val="1"/>
    </font>
    <font>
      <b/>
      <u/>
      <sz val="14"/>
      <color rgb="FF000000"/>
      <name val="Calibri"/>
      <charset val="1"/>
    </font>
    <font>
      <b/>
      <sz val="14"/>
      <color rgb="FF000000"/>
      <name val="Calibri"/>
      <charset val="1"/>
    </font>
    <font>
      <i/>
      <sz val="12"/>
      <color rgb="FFBFBFBF"/>
      <name val="Calibri"/>
      <charset val="1"/>
    </font>
    <font>
      <b/>
      <sz val="16"/>
      <color rgb="FFFFFFFF"/>
      <name val="Calibri"/>
      <charset val="1"/>
    </font>
    <font>
      <b/>
      <u/>
      <sz val="16"/>
      <color rgb="FFFFFFFF"/>
      <name val="Calibri"/>
      <charset val="1"/>
    </font>
    <font>
      <b/>
      <sz val="18"/>
      <color rgb="FF000000"/>
      <name val="Calibri"/>
      <charset val="1"/>
    </font>
    <font>
      <b/>
      <sz val="14"/>
      <color rgb="FFFFFFFF"/>
      <name val="Calibri"/>
      <charset val="1"/>
    </font>
    <font>
      <b/>
      <sz val="14"/>
      <color rgb="FFC00000"/>
      <name val="Calibri"/>
      <charset val="1"/>
    </font>
    <font>
      <b/>
      <sz val="9"/>
      <color rgb="FF000000"/>
      <name val="Arial"/>
      <charset val="1"/>
    </font>
    <font>
      <b/>
      <sz val="14"/>
      <color rgb="FFFF0000"/>
      <name val="Calibri"/>
      <charset val="1"/>
    </font>
    <font>
      <sz val="11"/>
      <color rgb="FF7E3794"/>
      <name val="Inconsolata"/>
      <charset val="1"/>
    </font>
    <font>
      <strike/>
      <sz val="14"/>
      <color rgb="FF000000"/>
      <name val="Calibri"/>
      <charset val="1"/>
    </font>
    <font>
      <b/>
      <sz val="16"/>
      <color rgb="FFFF0000"/>
      <name val="Calibri"/>
      <charset val="1"/>
    </font>
    <font>
      <b/>
      <u/>
      <sz val="14"/>
      <color rgb="FFFFFFFF"/>
      <name val="Calibri"/>
      <charset val="1"/>
    </font>
    <font>
      <sz val="14"/>
      <color rgb="FFC9211E"/>
      <name val="Calibri"/>
      <charset val="1"/>
    </font>
    <font>
      <sz val="11"/>
      <color rgb="FF000000"/>
      <name val="Calibri"/>
      <charset val="1"/>
    </font>
    <font>
      <sz val="14"/>
      <color rgb="FF000000"/>
      <name val="Calibri2"/>
      <charset val="1"/>
    </font>
    <font>
      <b/>
      <sz val="14"/>
      <color rgb="FF000000"/>
      <name val="Calibri2"/>
      <charset val="1"/>
    </font>
    <font>
      <sz val="16"/>
      <color rgb="FF000000"/>
      <name val="Calibri"/>
      <charset val="1"/>
    </font>
    <font>
      <b/>
      <u/>
      <sz val="16"/>
      <color rgb="FF000000"/>
      <name val="Calibri"/>
      <charset val="1"/>
    </font>
    <font>
      <sz val="14"/>
      <color rgb="FFFF0000"/>
      <name val="Calibri"/>
      <charset val="1"/>
    </font>
    <font>
      <sz val="11"/>
      <color rgb="FFFF0000"/>
      <name val="Calibri"/>
      <charset val="1"/>
    </font>
    <font>
      <b/>
      <sz val="12"/>
      <color rgb="FF000000"/>
      <name val="Arial"/>
      <charset val="1"/>
    </font>
    <font>
      <b/>
      <sz val="32"/>
      <color rgb="FFFFFFFF"/>
      <name val="Calibri"/>
      <charset val="1"/>
    </font>
    <font>
      <b/>
      <sz val="11"/>
      <color rgb="FFC9211E"/>
      <name val="Arial"/>
      <charset val="1"/>
    </font>
    <font>
      <b/>
      <sz val="14"/>
      <color rgb="FFC9211E"/>
      <name val="Calibri"/>
      <charset val="1"/>
    </font>
    <font>
      <b/>
      <sz val="11"/>
      <color rgb="FF000000"/>
      <name val="Arial"/>
      <charset val="1"/>
    </font>
    <font>
      <b/>
      <sz val="18"/>
      <color rgb="FF000000"/>
      <name val="Arial"/>
      <charset val="1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00000"/>
        <bgColor rgb="FFC9211E"/>
      </patternFill>
    </fill>
    <fill>
      <patternFill patternType="solid">
        <fgColor rgb="FFBFBFBF"/>
        <bgColor rgb="FFD0CECE"/>
      </patternFill>
    </fill>
    <fill>
      <patternFill patternType="solid">
        <fgColor rgb="FFFFFFFF"/>
        <bgColor rgb="FFFFFFD7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rgb="FFA6A6A6"/>
      </patternFill>
    </fill>
    <fill>
      <patternFill patternType="solid">
        <fgColor rgb="FFFFC000"/>
        <bgColor rgb="FFFF9900"/>
      </patternFill>
    </fill>
    <fill>
      <patternFill patternType="solid">
        <fgColor rgb="FF000000"/>
        <bgColor rgb="FF003300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81D41A"/>
        <bgColor rgb="FF70AD47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6A6A6"/>
        <bgColor rgb="FFA5A5A5"/>
      </patternFill>
    </fill>
    <fill>
      <patternFill patternType="solid">
        <fgColor rgb="FFA9D18E"/>
        <bgColor rgb="FFA8D08D"/>
      </patternFill>
    </fill>
    <fill>
      <patternFill patternType="solid">
        <fgColor rgb="FF2A6099"/>
        <bgColor rgb="FF666699"/>
      </patternFill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5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ck">
        <color rgb="FFFF0000"/>
      </bottom>
      <diagonal/>
    </border>
    <border>
      <left style="medium">
        <color auto="1"/>
      </left>
      <right/>
      <top/>
      <bottom style="thin">
        <color rgb="FFD8D8D8"/>
      </bottom>
      <diagonal/>
    </border>
    <border>
      <left/>
      <right/>
      <top/>
      <bottom style="thin">
        <color rgb="FFD8D8D8"/>
      </bottom>
      <diagonal/>
    </border>
    <border>
      <left/>
      <right style="medium">
        <color auto="1"/>
      </right>
      <top/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 style="medium">
        <color auto="1"/>
      </left>
      <right/>
      <top style="medium">
        <color rgb="FFD8D8D8"/>
      </top>
      <bottom/>
      <diagonal/>
    </border>
    <border>
      <left/>
      <right style="medium">
        <color rgb="FFD8D8D8"/>
      </right>
      <top style="medium">
        <color rgb="FFD8D8D8"/>
      </top>
      <bottom/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>
      <left style="medium">
        <color auto="1"/>
      </left>
      <right/>
      <top style="thin">
        <color auto="1"/>
      </top>
      <bottom style="medium">
        <color rgb="FFD8D8D8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rgb="FFFF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 style="medium">
        <color auto="1"/>
      </right>
      <top/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medium">
        <color auto="1"/>
      </left>
      <right/>
      <top/>
      <bottom style="medium">
        <color rgb="FFD9D9D9"/>
      </bottom>
      <diagonal/>
    </border>
    <border>
      <left style="medium">
        <color auto="1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medium">
        <color auto="1"/>
      </right>
      <top/>
      <bottom style="thin">
        <color rgb="FFFF000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Border="0" applyProtection="0"/>
    <xf numFmtId="44" fontId="32" fillId="0" borderId="0" applyBorder="0" applyAlignment="0" applyProtection="0"/>
    <xf numFmtId="9" fontId="19" fillId="0" borderId="0" applyBorder="0" applyProtection="0"/>
    <xf numFmtId="41" fontId="32" fillId="0" borderId="0" applyBorder="0" applyAlignment="0" applyProtection="0"/>
    <xf numFmtId="42" fontId="32" fillId="0" borderId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1" borderId="50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51" applyNumberFormat="0" applyFill="0" applyAlignment="0" applyProtection="0">
      <alignment vertical="center"/>
    </xf>
    <xf numFmtId="0" fontId="40" fillId="0" borderId="51" applyNumberFormat="0" applyFill="0" applyAlignment="0" applyProtection="0">
      <alignment vertical="center"/>
    </xf>
    <xf numFmtId="0" fontId="41" fillId="0" borderId="5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2" borderId="53" applyNumberFormat="0" applyAlignment="0" applyProtection="0">
      <alignment vertical="center"/>
    </xf>
    <xf numFmtId="0" fontId="43" fillId="23" borderId="54" applyNumberFormat="0" applyAlignment="0" applyProtection="0">
      <alignment vertical="center"/>
    </xf>
    <xf numFmtId="0" fontId="44" fillId="23" borderId="53" applyNumberFormat="0" applyAlignment="0" applyProtection="0">
      <alignment vertical="center"/>
    </xf>
    <xf numFmtId="0" fontId="45" fillId="24" borderId="55" applyNumberFormat="0" applyAlignment="0" applyProtection="0">
      <alignment vertical="center"/>
    </xf>
    <xf numFmtId="0" fontId="46" fillId="0" borderId="56" applyNumberFormat="0" applyFill="0" applyAlignment="0" applyProtection="0">
      <alignment vertical="center"/>
    </xf>
    <xf numFmtId="0" fontId="47" fillId="0" borderId="57" applyNumberFormat="0" applyFill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51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1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51" fillId="47" borderId="0" applyNumberFormat="0" applyBorder="0" applyAlignment="0" applyProtection="0">
      <alignment vertical="center"/>
    </xf>
    <xf numFmtId="0" fontId="51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52" fillId="50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</cellStyleXfs>
  <cellXfs count="50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/>
    <xf numFmtId="0" fontId="2" fillId="3" borderId="2" xfId="0" applyFont="1" applyFill="1" applyBorder="1" applyAlignment="1"/>
    <xf numFmtId="0" fontId="3" fillId="3" borderId="0" xfId="0" applyFont="1" applyFill="1" applyBorder="1" applyAlignment="1">
      <alignment horizontal="right"/>
    </xf>
    <xf numFmtId="0" fontId="3" fillId="3" borderId="3" xfId="0" applyFont="1" applyFill="1" applyBorder="1" applyAlignment="1">
      <alignment horizontal="right"/>
    </xf>
    <xf numFmtId="0" fontId="2" fillId="4" borderId="2" xfId="0" applyFont="1" applyFill="1" applyBorder="1" applyAlignment="1"/>
    <xf numFmtId="177" fontId="2" fillId="5" borderId="0" xfId="0" applyNumberFormat="1" applyFont="1" applyFill="1" applyBorder="1" applyAlignment="1"/>
    <xf numFmtId="177" fontId="2" fillId="5" borderId="3" xfId="0" applyNumberFormat="1" applyFont="1" applyFill="1" applyBorder="1" applyAlignment="1"/>
    <xf numFmtId="0" fontId="2" fillId="5" borderId="0" xfId="0" applyFont="1" applyFill="1" applyBorder="1" applyAlignment="1"/>
    <xf numFmtId="10" fontId="2" fillId="4" borderId="3" xfId="0" applyNumberFormat="1" applyFont="1" applyFill="1" applyBorder="1" applyAlignment="1"/>
    <xf numFmtId="177" fontId="2" fillId="4" borderId="3" xfId="0" applyNumberFormat="1" applyFont="1" applyFill="1" applyBorder="1" applyAlignment="1"/>
    <xf numFmtId="177" fontId="2" fillId="4" borderId="0" xfId="0" applyNumberFormat="1" applyFont="1" applyFill="1" applyBorder="1" applyAlignment="1"/>
    <xf numFmtId="0" fontId="2" fillId="4" borderId="0" xfId="0" applyFont="1" applyFill="1" applyBorder="1" applyAlignment="1"/>
    <xf numFmtId="0" fontId="2" fillId="4" borderId="3" xfId="0" applyFont="1" applyFill="1" applyBorder="1" applyAlignment="1"/>
    <xf numFmtId="0" fontId="3" fillId="6" borderId="2" xfId="0" applyFont="1" applyFill="1" applyBorder="1" applyAlignment="1">
      <alignment horizontal="right"/>
    </xf>
    <xf numFmtId="177" fontId="4" fillId="6" borderId="3" xfId="0" applyNumberFormat="1" applyFont="1" applyFill="1" applyBorder="1" applyAlignment="1"/>
    <xf numFmtId="0" fontId="2" fillId="4" borderId="2" xfId="0" applyFont="1" applyFill="1" applyBorder="1" applyAlignment="1">
      <alignment horizontal="right"/>
    </xf>
    <xf numFmtId="177" fontId="2" fillId="7" borderId="4" xfId="0" applyNumberFormat="1" applyFont="1" applyFill="1" applyBorder="1" applyAlignment="1"/>
    <xf numFmtId="177" fontId="2" fillId="5" borderId="5" xfId="0" applyNumberFormat="1" applyFont="1" applyFill="1" applyBorder="1" applyAlignment="1"/>
    <xf numFmtId="0" fontId="5" fillId="4" borderId="2" xfId="0" applyFont="1" applyFill="1" applyBorder="1" applyAlignment="1">
      <alignment horizontal="left"/>
    </xf>
    <xf numFmtId="0" fontId="2" fillId="4" borderId="6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left"/>
    </xf>
    <xf numFmtId="177" fontId="2" fillId="4" borderId="7" xfId="0" applyNumberFormat="1" applyFont="1" applyFill="1" applyBorder="1" applyAlignment="1"/>
    <xf numFmtId="0" fontId="7" fillId="8" borderId="8" xfId="0" applyFont="1" applyFill="1" applyBorder="1" applyAlignment="1">
      <alignment horizontal="right"/>
    </xf>
    <xf numFmtId="177" fontId="8" fillId="8" borderId="9" xfId="0" applyNumberFormat="1" applyFont="1" applyFill="1" applyBorder="1" applyAlignment="1"/>
    <xf numFmtId="0" fontId="1" fillId="2" borderId="10" xfId="0" applyFont="1" applyFill="1" applyBorder="1" applyAlignment="1">
      <alignment horizontal="center" wrapText="1"/>
    </xf>
    <xf numFmtId="0" fontId="9" fillId="4" borderId="11" xfId="0" applyFont="1" applyFill="1" applyBorder="1" applyAlignment="1">
      <alignment horizontal="left"/>
    </xf>
    <xf numFmtId="0" fontId="2" fillId="9" borderId="0" xfId="0" applyFont="1" applyFill="1" applyBorder="1" applyAlignment="1">
      <alignment vertical="top" wrapText="1"/>
    </xf>
    <xf numFmtId="0" fontId="2" fillId="10" borderId="0" xfId="0" applyFont="1" applyFill="1" applyBorder="1" applyAlignment="1">
      <alignment vertical="top" wrapText="1"/>
    </xf>
    <xf numFmtId="0" fontId="5" fillId="4" borderId="2" xfId="0" applyFont="1" applyFill="1" applyBorder="1" applyAlignment="1"/>
    <xf numFmtId="0" fontId="5" fillId="4" borderId="0" xfId="0" applyFont="1" applyFill="1" applyBorder="1" applyAlignment="1"/>
    <xf numFmtId="0" fontId="2" fillId="5" borderId="4" xfId="0" applyFont="1" applyFill="1" applyBorder="1" applyAlignment="1"/>
    <xf numFmtId="0" fontId="2" fillId="5" borderId="4" xfId="0" applyFont="1" applyFill="1" applyBorder="1" applyAlignment="1">
      <alignment horizontal="left"/>
    </xf>
    <xf numFmtId="178" fontId="2" fillId="4" borderId="4" xfId="0" applyNumberFormat="1" applyFont="1" applyFill="1" applyBorder="1" applyAlignment="1">
      <alignment horizontal="left"/>
    </xf>
    <xf numFmtId="177" fontId="2" fillId="4" borderId="0" xfId="0" applyNumberFormat="1" applyFont="1" applyFill="1" applyBorder="1" applyAlignment="1">
      <alignment horizontal="right"/>
    </xf>
    <xf numFmtId="177" fontId="2" fillId="9" borderId="0" xfId="0" applyNumberFormat="1" applyFont="1" applyFill="1" applyBorder="1" applyAlignment="1">
      <alignment vertical="top" wrapText="1"/>
    </xf>
    <xf numFmtId="177" fontId="2" fillId="0" borderId="4" xfId="0" applyNumberFormat="1" applyFont="1" applyBorder="1" applyAlignment="1">
      <alignment horizontal="left"/>
    </xf>
    <xf numFmtId="0" fontId="2" fillId="9" borderId="0" xfId="0" applyFont="1" applyFill="1" applyBorder="1" applyAlignment="1">
      <alignment vertical="top"/>
    </xf>
    <xf numFmtId="0" fontId="5" fillId="4" borderId="2" xfId="0" applyFont="1" applyFill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4" borderId="0" xfId="0" applyFont="1" applyFill="1" applyBorder="1" applyAlignment="1">
      <alignment vertical="top"/>
    </xf>
    <xf numFmtId="177" fontId="5" fillId="0" borderId="0" xfId="0" applyNumberFormat="1" applyFont="1" applyAlignment="1">
      <alignment horizontal="left" vertical="top"/>
    </xf>
    <xf numFmtId="0" fontId="5" fillId="4" borderId="0" xfId="0" applyFont="1" applyFill="1" applyBorder="1" applyAlignment="1">
      <alignment horizontal="left" vertical="top"/>
    </xf>
    <xf numFmtId="177" fontId="5" fillId="4" borderId="0" xfId="0" applyNumberFormat="1" applyFont="1" applyFill="1" applyBorder="1" applyAlignment="1">
      <alignment horizontal="left" vertical="top"/>
    </xf>
    <xf numFmtId="0" fontId="5" fillId="9" borderId="0" xfId="0" applyFont="1" applyFill="1" applyBorder="1" applyAlignment="1">
      <alignment vertical="top" wrapText="1"/>
    </xf>
    <xf numFmtId="10" fontId="5" fillId="9" borderId="0" xfId="0" applyNumberFormat="1" applyFont="1" applyFill="1" applyBorder="1" applyAlignment="1">
      <alignment vertical="top" wrapText="1"/>
    </xf>
    <xf numFmtId="0" fontId="2" fillId="4" borderId="4" xfId="0" applyFont="1" applyFill="1" applyBorder="1" applyAlignment="1">
      <alignment horizontal="left"/>
    </xf>
    <xf numFmtId="177" fontId="2" fillId="5" borderId="4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vertical="top"/>
    </xf>
    <xf numFmtId="177" fontId="2" fillId="0" borderId="0" xfId="0" applyNumberFormat="1" applyFont="1" applyAlignment="1"/>
    <xf numFmtId="0" fontId="5" fillId="4" borderId="2" xfId="0" applyFont="1" applyFill="1" applyBorder="1" applyAlignment="1">
      <alignment vertical="top"/>
    </xf>
    <xf numFmtId="0" fontId="5" fillId="4" borderId="0" xfId="0" applyFont="1" applyFill="1" applyBorder="1" applyAlignment="1">
      <alignment vertical="top"/>
    </xf>
    <xf numFmtId="177" fontId="5" fillId="0" borderId="0" xfId="0" applyNumberFormat="1" applyFont="1" applyAlignment="1">
      <alignment horizontal="left"/>
    </xf>
    <xf numFmtId="179" fontId="2" fillId="0" borderId="0" xfId="0" applyNumberFormat="1" applyFont="1" applyAlignment="1"/>
    <xf numFmtId="177" fontId="2" fillId="0" borderId="0" xfId="0" applyNumberFormat="1" applyFont="1" applyBorder="1" applyAlignment="1">
      <alignment horizontal="left"/>
    </xf>
    <xf numFmtId="10" fontId="2" fillId="0" borderId="0" xfId="0" applyNumberFormat="1" applyFont="1" applyAlignment="1"/>
    <xf numFmtId="0" fontId="2" fillId="4" borderId="3" xfId="0" applyFont="1" applyFill="1" applyBorder="1" applyAlignment="1">
      <alignment vertical="top"/>
    </xf>
    <xf numFmtId="0" fontId="10" fillId="2" borderId="0" xfId="0" applyFont="1" applyFill="1" applyBorder="1" applyAlignment="1">
      <alignment horizontal="center"/>
    </xf>
    <xf numFmtId="177" fontId="2" fillId="0" borderId="3" xfId="0" applyNumberFormat="1" applyFont="1" applyBorder="1" applyAlignment="1">
      <alignment horizontal="left"/>
    </xf>
    <xf numFmtId="177" fontId="10" fillId="8" borderId="0" xfId="0" applyNumberFormat="1" applyFont="1" applyFill="1" applyBorder="1" applyAlignment="1"/>
    <xf numFmtId="0" fontId="5" fillId="4" borderId="2" xfId="0" applyFont="1" applyFill="1" applyBorder="1" applyAlignment="1">
      <alignment vertical="top" wrapText="1"/>
    </xf>
    <xf numFmtId="0" fontId="5" fillId="4" borderId="12" xfId="0" applyFont="1" applyFill="1" applyBorder="1" applyAlignment="1"/>
    <xf numFmtId="0" fontId="2" fillId="4" borderId="13" xfId="0" applyFont="1" applyFill="1" applyBorder="1" applyAlignment="1"/>
    <xf numFmtId="0" fontId="2" fillId="4" borderId="14" xfId="0" applyFont="1" applyFill="1" applyBorder="1" applyAlignment="1"/>
    <xf numFmtId="0" fontId="2" fillId="4" borderId="15" xfId="0" applyFont="1" applyFill="1" applyBorder="1" applyAlignment="1"/>
    <xf numFmtId="2" fontId="2" fillId="0" borderId="0" xfId="0" applyNumberFormat="1" applyFont="1" applyAlignment="1"/>
    <xf numFmtId="0" fontId="7" fillId="2" borderId="16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/>
    </xf>
    <xf numFmtId="0" fontId="11" fillId="4" borderId="18" xfId="0" applyFont="1" applyFill="1" applyBorder="1" applyAlignment="1">
      <alignment horizontal="center" vertical="center"/>
    </xf>
    <xf numFmtId="0" fontId="11" fillId="4" borderId="19" xfId="0" applyFont="1" applyFill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/>
    </xf>
    <xf numFmtId="0" fontId="2" fillId="4" borderId="8" xfId="0" applyFont="1" applyFill="1" applyBorder="1" applyAlignment="1"/>
    <xf numFmtId="0" fontId="2" fillId="4" borderId="20" xfId="0" applyFont="1" applyFill="1" applyBorder="1" applyAlignment="1"/>
    <xf numFmtId="0" fontId="2" fillId="4" borderId="9" xfId="0" applyFont="1" applyFill="1" applyBorder="1" applyAlignment="1"/>
    <xf numFmtId="0" fontId="2" fillId="4" borderId="21" xfId="0" applyFont="1" applyFill="1" applyBorder="1" applyAlignment="1"/>
    <xf numFmtId="0" fontId="2" fillId="4" borderId="22" xfId="0" applyFont="1" applyFill="1" applyBorder="1" applyAlignment="1"/>
    <xf numFmtId="0" fontId="2" fillId="4" borderId="23" xfId="0" applyFont="1" applyFill="1" applyBorder="1" applyAlignment="1"/>
    <xf numFmtId="0" fontId="2" fillId="3" borderId="21" xfId="0" applyFont="1" applyFill="1" applyBorder="1" applyAlignment="1"/>
    <xf numFmtId="10" fontId="2" fillId="3" borderId="23" xfId="0" applyNumberFormat="1" applyFont="1" applyFill="1" applyBorder="1" applyAlignment="1"/>
    <xf numFmtId="177" fontId="2" fillId="4" borderId="9" xfId="0" applyNumberFormat="1" applyFont="1" applyFill="1" applyBorder="1" applyAlignment="1"/>
    <xf numFmtId="0" fontId="0" fillId="11" borderId="24" xfId="0" applyFont="1" applyFill="1" applyBorder="1" applyAlignment="1">
      <alignment wrapText="1"/>
    </xf>
    <xf numFmtId="0" fontId="2" fillId="0" borderId="24" xfId="0" applyFont="1" applyBorder="1" applyAlignment="1"/>
    <xf numFmtId="0" fontId="12" fillId="11" borderId="24" xfId="0" applyFont="1" applyFill="1" applyBorder="1" applyAlignment="1">
      <alignment wrapText="1"/>
    </xf>
    <xf numFmtId="0" fontId="2" fillId="0" borderId="5" xfId="0" applyFont="1" applyBorder="1" applyAlignment="1">
      <alignment horizontal="center"/>
    </xf>
    <xf numFmtId="10" fontId="2" fillId="3" borderId="3" xfId="0" applyNumberFormat="1" applyFont="1" applyFill="1" applyBorder="1" applyAlignment="1"/>
    <xf numFmtId="10" fontId="2" fillId="4" borderId="9" xfId="0" applyNumberFormat="1" applyFont="1" applyFill="1" applyBorder="1" applyAlignment="1"/>
    <xf numFmtId="177" fontId="2" fillId="3" borderId="23" xfId="0" applyNumberFormat="1" applyFont="1" applyFill="1" applyBorder="1" applyAlignment="1"/>
    <xf numFmtId="177" fontId="2" fillId="3" borderId="3" xfId="0" applyNumberFormat="1" applyFont="1" applyFill="1" applyBorder="1" applyAlignment="1"/>
    <xf numFmtId="0" fontId="2" fillId="3" borderId="8" xfId="0" applyFont="1" applyFill="1" applyBorder="1" applyAlignment="1"/>
    <xf numFmtId="177" fontId="2" fillId="3" borderId="9" xfId="0" applyNumberFormat="1" applyFont="1" applyFill="1" applyBorder="1" applyAlignment="1"/>
    <xf numFmtId="0" fontId="2" fillId="12" borderId="21" xfId="0" applyFont="1" applyFill="1" applyBorder="1" applyAlignment="1"/>
    <xf numFmtId="177" fontId="2" fillId="12" borderId="23" xfId="0" applyNumberFormat="1" applyFont="1" applyFill="1" applyBorder="1" applyAlignment="1"/>
    <xf numFmtId="0" fontId="5" fillId="4" borderId="8" xfId="0" applyFont="1" applyFill="1" applyBorder="1" applyAlignment="1"/>
    <xf numFmtId="177" fontId="5" fillId="4" borderId="9" xfId="0" applyNumberFormat="1" applyFont="1" applyFill="1" applyBorder="1" applyAlignment="1"/>
    <xf numFmtId="177" fontId="2" fillId="4" borderId="23" xfId="0" applyNumberFormat="1" applyFont="1" applyFill="1" applyBorder="1" applyAlignment="1"/>
    <xf numFmtId="4" fontId="2" fillId="13" borderId="0" xfId="0" applyNumberFormat="1" applyFont="1" applyFill="1" applyBorder="1" applyAlignment="1"/>
    <xf numFmtId="0" fontId="2" fillId="12" borderId="2" xfId="0" applyFont="1" applyFill="1" applyBorder="1" applyAlignment="1"/>
    <xf numFmtId="177" fontId="2" fillId="12" borderId="3" xfId="0" applyNumberFormat="1" applyFont="1" applyFill="1" applyBorder="1" applyAlignment="1"/>
    <xf numFmtId="0" fontId="2" fillId="12" borderId="8" xfId="0" applyFont="1" applyFill="1" applyBorder="1" applyAlignment="1"/>
    <xf numFmtId="177" fontId="4" fillId="12" borderId="9" xfId="0" applyNumberFormat="1" applyFont="1" applyFill="1" applyBorder="1" applyAlignment="1"/>
    <xf numFmtId="0" fontId="5" fillId="5" borderId="4" xfId="0" applyFont="1" applyFill="1" applyBorder="1" applyAlignment="1">
      <alignment horizontal="left"/>
    </xf>
    <xf numFmtId="177" fontId="5" fillId="5" borderId="4" xfId="0" applyNumberFormat="1" applyFont="1" applyFill="1" applyBorder="1" applyAlignment="1">
      <alignment horizontal="left"/>
    </xf>
    <xf numFmtId="177" fontId="5" fillId="5" borderId="25" xfId="0" applyNumberFormat="1" applyFont="1" applyFill="1" applyBorder="1" applyAlignment="1">
      <alignment horizontal="left"/>
    </xf>
    <xf numFmtId="10" fontId="5" fillId="5" borderId="4" xfId="0" applyNumberFormat="1" applyFont="1" applyFill="1" applyBorder="1" applyAlignment="1">
      <alignment horizontal="left"/>
    </xf>
    <xf numFmtId="177" fontId="2" fillId="4" borderId="0" xfId="0" applyNumberFormat="1" applyFont="1" applyFill="1" applyBorder="1" applyAlignment="1">
      <alignment horizontal="left"/>
    </xf>
    <xf numFmtId="177" fontId="2" fillId="4" borderId="3" xfId="0" applyNumberFormat="1" applyFont="1" applyFill="1" applyBorder="1" applyAlignment="1">
      <alignment horizontal="left"/>
    </xf>
    <xf numFmtId="0" fontId="11" fillId="4" borderId="8" xfId="0" applyFont="1" applyFill="1" applyBorder="1" applyAlignment="1"/>
    <xf numFmtId="0" fontId="2" fillId="4" borderId="2" xfId="0" applyFont="1" applyFill="1" applyBorder="1"/>
    <xf numFmtId="0" fontId="2" fillId="4" borderId="0" xfId="0" applyFont="1" applyFill="1"/>
    <xf numFmtId="0" fontId="2" fillId="4" borderId="3" xfId="0" applyFont="1" applyFill="1" applyBorder="1"/>
    <xf numFmtId="0" fontId="13" fillId="14" borderId="2" xfId="0" applyFont="1" applyFill="1" applyBorder="1"/>
    <xf numFmtId="0" fontId="13" fillId="14" borderId="0" xfId="0" applyFont="1" applyFill="1"/>
    <xf numFmtId="177" fontId="13" fillId="14" borderId="0" xfId="0" applyNumberFormat="1" applyFont="1" applyFill="1" applyAlignment="1">
      <alignment horizontal="left"/>
    </xf>
    <xf numFmtId="0" fontId="2" fillId="14" borderId="3" xfId="0" applyFont="1" applyFill="1" applyBorder="1"/>
    <xf numFmtId="177" fontId="2" fillId="5" borderId="5" xfId="0" applyNumberFormat="1" applyFont="1" applyFill="1" applyBorder="1" applyAlignment="1">
      <alignment horizontal="right"/>
    </xf>
    <xf numFmtId="177" fontId="13" fillId="14" borderId="2" xfId="0" applyNumberFormat="1" applyFont="1" applyFill="1" applyBorder="1" applyAlignment="1">
      <alignment horizontal="left"/>
    </xf>
    <xf numFmtId="180" fontId="13" fillId="14" borderId="0" xfId="1" applyNumberFormat="1" applyFont="1" applyFill="1" applyBorder="1" applyAlignment="1" applyProtection="1">
      <alignment horizontal="left"/>
    </xf>
    <xf numFmtId="0" fontId="2" fillId="14" borderId="0" xfId="0" applyFont="1" applyFill="1"/>
    <xf numFmtId="179" fontId="2" fillId="14" borderId="0" xfId="0" applyNumberFormat="1" applyFont="1" applyFill="1"/>
    <xf numFmtId="0" fontId="13" fillId="4" borderId="2" xfId="0" applyFont="1" applyFill="1" applyBorder="1" applyAlignment="1"/>
    <xf numFmtId="0" fontId="13" fillId="4" borderId="0" xfId="0" applyFont="1" applyFill="1" applyBorder="1" applyAlignment="1"/>
    <xf numFmtId="0" fontId="2" fillId="4" borderId="2" xfId="0" applyFont="1" applyFill="1" applyBorder="1" applyAlignment="1">
      <alignment horizontal="left" vertical="top"/>
    </xf>
    <xf numFmtId="0" fontId="2" fillId="4" borderId="0" xfId="0" applyFont="1" applyFill="1" applyAlignment="1">
      <alignment horizontal="left" vertical="top"/>
    </xf>
    <xf numFmtId="0" fontId="2" fillId="4" borderId="0" xfId="0" applyFont="1" applyFill="1" applyAlignment="1">
      <alignment vertical="top"/>
    </xf>
    <xf numFmtId="177" fontId="13" fillId="0" borderId="2" xfId="0" applyNumberFormat="1" applyFont="1" applyBorder="1" applyAlignment="1">
      <alignment horizontal="left"/>
    </xf>
    <xf numFmtId="177" fontId="13" fillId="4" borderId="0" xfId="0" applyNumberFormat="1" applyFont="1" applyFill="1" applyBorder="1" applyAlignment="1">
      <alignment horizontal="left"/>
    </xf>
    <xf numFmtId="177" fontId="5" fillId="4" borderId="0" xfId="0" applyNumberFormat="1" applyFont="1" applyFill="1" applyAlignment="1">
      <alignment horizontal="left"/>
    </xf>
    <xf numFmtId="177" fontId="2" fillId="0" borderId="2" xfId="0" applyNumberFormat="1" applyFont="1" applyBorder="1" applyAlignment="1">
      <alignment horizontal="left"/>
    </xf>
    <xf numFmtId="177" fontId="2" fillId="4" borderId="0" xfId="0" applyNumberFormat="1" applyFont="1" applyFill="1" applyAlignment="1">
      <alignment horizontal="left"/>
    </xf>
    <xf numFmtId="0" fontId="5" fillId="4" borderId="0" xfId="0" applyFont="1" applyFill="1"/>
    <xf numFmtId="177" fontId="2" fillId="0" borderId="0" xfId="0" applyNumberFormat="1" applyFont="1" applyAlignment="1">
      <alignment horizontal="left"/>
    </xf>
    <xf numFmtId="177" fontId="5" fillId="0" borderId="2" xfId="0" applyNumberFormat="1" applyFont="1" applyBorder="1" applyAlignment="1">
      <alignment horizontal="left"/>
    </xf>
    <xf numFmtId="177" fontId="5" fillId="4" borderId="0" xfId="0" applyNumberFormat="1" applyFont="1" applyFill="1" applyBorder="1" applyAlignment="1">
      <alignment horizontal="left"/>
    </xf>
    <xf numFmtId="177" fontId="5" fillId="4" borderId="2" xfId="0" applyNumberFormat="1" applyFont="1" applyFill="1" applyBorder="1" applyAlignment="1">
      <alignment horizontal="left"/>
    </xf>
    <xf numFmtId="0" fontId="5" fillId="4" borderId="0" xfId="0" applyFont="1" applyFill="1" applyAlignment="1">
      <alignment horizontal="right"/>
    </xf>
    <xf numFmtId="0" fontId="5" fillId="4" borderId="0" xfId="0" applyFont="1" applyFill="1" applyAlignment="1">
      <alignment horizontal="left"/>
    </xf>
    <xf numFmtId="177" fontId="2" fillId="4" borderId="2" xfId="0" applyNumberFormat="1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81" fontId="2" fillId="4" borderId="2" xfId="0" applyNumberFormat="1" applyFont="1" applyFill="1" applyBorder="1" applyAlignment="1">
      <alignment horizontal="left"/>
    </xf>
    <xf numFmtId="181" fontId="2" fillId="4" borderId="0" xfId="0" applyNumberFormat="1" applyFont="1" applyFill="1" applyAlignment="1">
      <alignment horizontal="left"/>
    </xf>
    <xf numFmtId="177" fontId="5" fillId="4" borderId="3" xfId="0" applyNumberFormat="1" applyFont="1" applyFill="1" applyBorder="1" applyAlignment="1">
      <alignment horizontal="left"/>
    </xf>
    <xf numFmtId="182" fontId="5" fillId="4" borderId="2" xfId="0" applyNumberFormat="1" applyFont="1" applyFill="1" applyBorder="1" applyAlignment="1">
      <alignment horizontal="left"/>
    </xf>
    <xf numFmtId="182" fontId="5" fillId="4" borderId="0" xfId="0" applyNumberFormat="1" applyFont="1" applyFill="1" applyAlignment="1">
      <alignment horizontal="left"/>
    </xf>
    <xf numFmtId="177" fontId="5" fillId="5" borderId="4" xfId="0" applyNumberFormat="1" applyFont="1" applyFill="1" applyBorder="1" applyAlignment="1">
      <alignment horizontal="right"/>
    </xf>
    <xf numFmtId="182" fontId="5" fillId="4" borderId="26" xfId="0" applyNumberFormat="1" applyFont="1" applyFill="1" applyBorder="1" applyAlignment="1">
      <alignment horizontal="left"/>
    </xf>
    <xf numFmtId="182" fontId="5" fillId="4" borderId="27" xfId="0" applyNumberFormat="1" applyFont="1" applyFill="1" applyBorder="1" applyAlignment="1">
      <alignment horizontal="left"/>
    </xf>
    <xf numFmtId="0" fontId="2" fillId="4" borderId="27" xfId="0" applyFont="1" applyFill="1" applyBorder="1"/>
    <xf numFmtId="0" fontId="2" fillId="4" borderId="28" xfId="0" applyFont="1" applyFill="1" applyBorder="1"/>
    <xf numFmtId="0" fontId="5" fillId="4" borderId="12" xfId="0" applyFont="1" applyFill="1" applyBorder="1"/>
    <xf numFmtId="0" fontId="2" fillId="4" borderId="13" xfId="0" applyFont="1" applyFill="1" applyBorder="1"/>
    <xf numFmtId="0" fontId="2" fillId="4" borderId="14" xfId="0" applyFont="1" applyFill="1" applyBorder="1"/>
    <xf numFmtId="0" fontId="2" fillId="4" borderId="15" xfId="0" applyFont="1" applyFill="1" applyBorder="1"/>
    <xf numFmtId="0" fontId="9" fillId="4" borderId="29" xfId="0" applyFont="1" applyFill="1" applyBorder="1" applyAlignment="1">
      <alignment horizontal="left"/>
    </xf>
    <xf numFmtId="0" fontId="2" fillId="4" borderId="0" xfId="0" applyFont="1" applyFill="1" applyBorder="1"/>
    <xf numFmtId="0" fontId="13" fillId="14" borderId="0" xfId="0" applyFont="1" applyFill="1" applyBorder="1"/>
    <xf numFmtId="177" fontId="13" fillId="14" borderId="0" xfId="0" applyNumberFormat="1" applyFont="1" applyFill="1" applyBorder="1" applyAlignment="1">
      <alignment horizontal="left"/>
    </xf>
    <xf numFmtId="180" fontId="13" fillId="14" borderId="0" xfId="1" applyNumberFormat="1" applyFont="1" applyFill="1" applyBorder="1" applyAlignment="1" applyProtection="1">
      <alignment horizontal="right"/>
    </xf>
    <xf numFmtId="0" fontId="2" fillId="14" borderId="0" xfId="0" applyFont="1" applyFill="1" applyBorder="1"/>
    <xf numFmtId="179" fontId="2" fillId="14" borderId="0" xfId="0" applyNumberFormat="1" applyFont="1" applyFill="1" applyBorder="1"/>
    <xf numFmtId="0" fontId="2" fillId="4" borderId="0" xfId="0" applyFont="1" applyFill="1" applyBorder="1" applyAlignment="1">
      <alignment horizontal="left" vertical="top"/>
    </xf>
    <xf numFmtId="0" fontId="5" fillId="4" borderId="0" xfId="0" applyFont="1" applyFill="1" applyBorder="1"/>
    <xf numFmtId="0" fontId="5" fillId="4" borderId="0" xfId="0" applyFont="1" applyFill="1" applyBorder="1" applyAlignment="1">
      <alignment horizontal="right"/>
    </xf>
    <xf numFmtId="0" fontId="5" fillId="4" borderId="0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181" fontId="2" fillId="4" borderId="0" xfId="0" applyNumberFormat="1" applyFont="1" applyFill="1" applyBorder="1" applyAlignment="1">
      <alignment horizontal="left"/>
    </xf>
    <xf numFmtId="182" fontId="5" fillId="4" borderId="0" xfId="0" applyNumberFormat="1" applyFont="1" applyFill="1" applyBorder="1" applyAlignment="1">
      <alignment horizontal="left"/>
    </xf>
    <xf numFmtId="177" fontId="13" fillId="0" borderId="0" xfId="0" applyNumberFormat="1" applyFont="1" applyAlignment="1">
      <alignment horizontal="left" vertical="top"/>
    </xf>
    <xf numFmtId="0" fontId="0" fillId="0" borderId="0" xfId="0" applyFont="1" applyAlignment="1"/>
    <xf numFmtId="0" fontId="2" fillId="4" borderId="8" xfId="0" applyFont="1" applyFill="1" applyBorder="1"/>
    <xf numFmtId="0" fontId="2" fillId="4" borderId="20" xfId="0" applyFont="1" applyFill="1" applyBorder="1"/>
    <xf numFmtId="0" fontId="2" fillId="4" borderId="9" xfId="0" applyFont="1" applyFill="1" applyBorder="1"/>
    <xf numFmtId="183" fontId="13" fillId="14" borderId="0" xfId="0" applyNumberFormat="1" applyFont="1" applyFill="1" applyAlignment="1">
      <alignment horizontal="left"/>
    </xf>
    <xf numFmtId="177" fontId="13" fillId="14" borderId="0" xfId="0" applyNumberFormat="1" applyFont="1" applyFill="1"/>
    <xf numFmtId="0" fontId="13" fillId="14" borderId="0" xfId="0" applyFont="1" applyFill="1" applyAlignment="1">
      <alignment horizontal="left"/>
    </xf>
    <xf numFmtId="183" fontId="2" fillId="5" borderId="4" xfId="3" applyNumberFormat="1" applyFont="1" applyFill="1" applyBorder="1" applyAlignment="1" applyProtection="1">
      <alignment horizontal="left"/>
    </xf>
    <xf numFmtId="0" fontId="5" fillId="4" borderId="2" xfId="0" applyFont="1" applyFill="1" applyBorder="1"/>
    <xf numFmtId="0" fontId="5" fillId="4" borderId="0" xfId="0" applyFont="1" applyFill="1" applyAlignment="1">
      <alignment vertical="top"/>
    </xf>
    <xf numFmtId="10" fontId="2" fillId="4" borderId="3" xfId="0" applyNumberFormat="1" applyFont="1" applyFill="1" applyBorder="1"/>
    <xf numFmtId="10" fontId="2" fillId="4" borderId="3" xfId="3" applyNumberFormat="1" applyFont="1" applyFill="1" applyBorder="1" applyAlignment="1" applyProtection="1"/>
    <xf numFmtId="177" fontId="2" fillId="4" borderId="3" xfId="0" applyNumberFormat="1" applyFont="1" applyFill="1" applyBorder="1"/>
    <xf numFmtId="181" fontId="5" fillId="4" borderId="2" xfId="0" applyNumberFormat="1" applyFont="1" applyFill="1" applyBorder="1" applyAlignment="1">
      <alignment horizontal="left"/>
    </xf>
    <xf numFmtId="182" fontId="2" fillId="4" borderId="27" xfId="0" applyNumberFormat="1" applyFont="1" applyFill="1" applyBorder="1" applyAlignment="1">
      <alignment horizontal="left"/>
    </xf>
    <xf numFmtId="182" fontId="2" fillId="4" borderId="0" xfId="0" applyNumberFormat="1" applyFont="1" applyFill="1" applyAlignment="1">
      <alignment horizontal="left"/>
    </xf>
    <xf numFmtId="177" fontId="2" fillId="5" borderId="4" xfId="0" applyNumberFormat="1" applyFont="1" applyFill="1" applyBorder="1" applyAlignment="1">
      <alignment horizontal="right"/>
    </xf>
    <xf numFmtId="10" fontId="2" fillId="5" borderId="4" xfId="3" applyNumberFormat="1" applyFont="1" applyFill="1" applyBorder="1" applyAlignment="1" applyProtection="1">
      <alignment horizontal="left"/>
    </xf>
    <xf numFmtId="0" fontId="5" fillId="15" borderId="0" xfId="0" applyFont="1" applyFill="1"/>
    <xf numFmtId="182" fontId="5" fillId="15" borderId="0" xfId="0" applyNumberFormat="1" applyFont="1" applyFill="1" applyAlignment="1">
      <alignment horizontal="left"/>
    </xf>
    <xf numFmtId="0" fontId="2" fillId="15" borderId="0" xfId="0" applyFont="1" applyFill="1"/>
    <xf numFmtId="0" fontId="2" fillId="15" borderId="3" xfId="0" applyFont="1" applyFill="1" applyBorder="1"/>
    <xf numFmtId="177" fontId="5" fillId="15" borderId="0" xfId="0" applyNumberFormat="1" applyFont="1" applyFill="1" applyAlignment="1">
      <alignment horizontal="left"/>
    </xf>
    <xf numFmtId="10" fontId="2" fillId="5" borderId="0" xfId="0" applyNumberFormat="1" applyFont="1" applyFill="1" applyBorder="1" applyAlignment="1"/>
    <xf numFmtId="10" fontId="2" fillId="5" borderId="4" xfId="0" applyNumberFormat="1" applyFont="1" applyFill="1" applyBorder="1" applyAlignment="1">
      <alignment horizontal="left"/>
    </xf>
    <xf numFmtId="177" fontId="14" fillId="4" borderId="0" xfId="0" applyNumberFormat="1" applyFont="1" applyFill="1" applyAlignment="1">
      <alignment horizontal="left"/>
    </xf>
    <xf numFmtId="4" fontId="2" fillId="4" borderId="3" xfId="0" applyNumberFormat="1" applyFont="1" applyFill="1" applyBorder="1" applyAlignment="1"/>
    <xf numFmtId="184" fontId="2" fillId="4" borderId="3" xfId="0" applyNumberFormat="1" applyFont="1" applyFill="1" applyBorder="1" applyAlignment="1"/>
    <xf numFmtId="184" fontId="2" fillId="4" borderId="0" xfId="0" applyNumberFormat="1" applyFont="1" applyFill="1" applyBorder="1" applyAlignment="1"/>
    <xf numFmtId="177" fontId="5" fillId="5" borderId="30" xfId="0" applyNumberFormat="1" applyFont="1" applyFill="1" applyBorder="1" applyAlignment="1">
      <alignment horizontal="left"/>
    </xf>
    <xf numFmtId="0" fontId="15" fillId="3" borderId="21" xfId="0" applyFont="1" applyFill="1" applyBorder="1" applyAlignment="1"/>
    <xf numFmtId="177" fontId="15" fillId="3" borderId="23" xfId="0" applyNumberFormat="1" applyFont="1" applyFill="1" applyBorder="1" applyAlignment="1"/>
    <xf numFmtId="0" fontId="15" fillId="3" borderId="2" xfId="0" applyFont="1" applyFill="1" applyBorder="1" applyAlignment="1"/>
    <xf numFmtId="177" fontId="15" fillId="3" borderId="3" xfId="0" applyNumberFormat="1" applyFont="1" applyFill="1" applyBorder="1" applyAlignment="1"/>
    <xf numFmtId="0" fontId="15" fillId="4" borderId="8" xfId="0" applyFont="1" applyFill="1" applyBorder="1" applyAlignment="1"/>
    <xf numFmtId="177" fontId="15" fillId="4" borderId="9" xfId="0" applyNumberFormat="1" applyFont="1" applyFill="1" applyBorder="1" applyAlignment="1"/>
    <xf numFmtId="177" fontId="5" fillId="4" borderId="4" xfId="0" applyNumberFormat="1" applyFont="1" applyFill="1" applyBorder="1" applyAlignment="1">
      <alignment horizontal="left"/>
    </xf>
    <xf numFmtId="10" fontId="5" fillId="0" borderId="4" xfId="0" applyNumberFormat="1" applyFont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wrapText="1"/>
    </xf>
    <xf numFmtId="4" fontId="2" fillId="0" borderId="0" xfId="0" applyNumberFormat="1" applyFont="1" applyAlignment="1"/>
    <xf numFmtId="185" fontId="2" fillId="0" borderId="0" xfId="0" applyNumberFormat="1" applyFont="1" applyAlignment="1"/>
    <xf numFmtId="4" fontId="4" fillId="6" borderId="3" xfId="0" applyNumberFormat="1" applyFont="1" applyFill="1" applyBorder="1" applyAlignment="1"/>
    <xf numFmtId="2" fontId="0" fillId="0" borderId="0" xfId="0" applyNumberFormat="1"/>
    <xf numFmtId="186" fontId="2" fillId="0" borderId="0" xfId="0" applyNumberFormat="1" applyFont="1" applyAlignment="1"/>
    <xf numFmtId="0" fontId="2" fillId="5" borderId="0" xfId="0" applyFont="1" applyFill="1" applyBorder="1" applyAlignment="1">
      <alignment vertical="top" wrapText="1"/>
    </xf>
    <xf numFmtId="177" fontId="2" fillId="5" borderId="0" xfId="0" applyNumberFormat="1" applyFont="1" applyFill="1" applyBorder="1" applyAlignment="1">
      <alignment vertical="center"/>
    </xf>
    <xf numFmtId="0" fontId="16" fillId="4" borderId="0" xfId="0" applyFont="1" applyFill="1" applyBorder="1" applyAlignment="1"/>
    <xf numFmtId="177" fontId="16" fillId="0" borderId="0" xfId="0" applyNumberFormat="1" applyFont="1" applyAlignment="1">
      <alignment horizontal="left" vertical="top"/>
    </xf>
    <xf numFmtId="177" fontId="17" fillId="8" borderId="9" xfId="0" applyNumberFormat="1" applyFont="1" applyFill="1" applyBorder="1" applyAlignment="1"/>
    <xf numFmtId="0" fontId="2" fillId="4" borderId="2" xfId="0" applyFont="1" applyFill="1" applyBorder="1" applyAlignment="1">
      <alignment horizontal="left"/>
    </xf>
    <xf numFmtId="0" fontId="0" fillId="5" borderId="0" xfId="0" applyFont="1" applyFill="1"/>
    <xf numFmtId="0" fontId="0" fillId="5" borderId="0" xfId="0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2" fontId="2" fillId="4" borderId="0" xfId="0" applyNumberFormat="1" applyFont="1" applyFill="1" applyBorder="1" applyAlignment="1"/>
    <xf numFmtId="2" fontId="2" fillId="4" borderId="3" xfId="0" applyNumberFormat="1" applyFont="1" applyFill="1" applyBorder="1" applyAlignment="1"/>
    <xf numFmtId="187" fontId="2" fillId="4" borderId="0" xfId="0" applyNumberFormat="1" applyFont="1" applyFill="1" applyBorder="1" applyAlignment="1"/>
    <xf numFmtId="188" fontId="2" fillId="4" borderId="0" xfId="0" applyNumberFormat="1" applyFont="1" applyFill="1" applyBorder="1" applyAlignment="1"/>
    <xf numFmtId="9" fontId="2" fillId="4" borderId="0" xfId="0" applyNumberFormat="1" applyFont="1" applyFill="1" applyBorder="1" applyAlignment="1"/>
    <xf numFmtId="189" fontId="2" fillId="4" borderId="0" xfId="0" applyNumberFormat="1" applyFont="1" applyFill="1" applyBorder="1" applyAlignment="1"/>
    <xf numFmtId="177" fontId="18" fillId="4" borderId="0" xfId="0" applyNumberFormat="1" applyFont="1" applyFill="1" applyBorder="1" applyAlignment="1"/>
    <xf numFmtId="4" fontId="2" fillId="4" borderId="0" xfId="0" applyNumberFormat="1" applyFont="1" applyFill="1" applyBorder="1" applyAlignment="1"/>
    <xf numFmtId="190" fontId="2" fillId="4" borderId="0" xfId="0" applyNumberFormat="1" applyFont="1" applyFill="1" applyBorder="1" applyAlignment="1"/>
    <xf numFmtId="191" fontId="2" fillId="4" borderId="0" xfId="0" applyNumberFormat="1" applyFont="1" applyFill="1" applyBorder="1" applyAlignment="1"/>
    <xf numFmtId="192" fontId="2" fillId="4" borderId="3" xfId="0" applyNumberFormat="1" applyFont="1" applyFill="1" applyBorder="1" applyAlignment="1"/>
    <xf numFmtId="193" fontId="2" fillId="4" borderId="0" xfId="0" applyNumberFormat="1" applyFont="1" applyFill="1" applyBorder="1" applyAlignment="1"/>
    <xf numFmtId="177" fontId="2" fillId="4" borderId="20" xfId="0" applyNumberFormat="1" applyFont="1" applyFill="1" applyBorder="1" applyAlignment="1"/>
    <xf numFmtId="0" fontId="2" fillId="4" borderId="0" xfId="0" applyFont="1" applyFill="1" applyBorder="1" applyAlignment="1">
      <alignment horizontal="center" vertical="center"/>
    </xf>
    <xf numFmtId="9" fontId="2" fillId="4" borderId="9" xfId="0" applyNumberFormat="1" applyFont="1" applyFill="1" applyBorder="1" applyAlignment="1"/>
    <xf numFmtId="0" fontId="2" fillId="0" borderId="0" xfId="0" applyFont="1"/>
    <xf numFmtId="0" fontId="0" fillId="5" borderId="0" xfId="0" applyFont="1" applyFill="1" applyBorder="1"/>
    <xf numFmtId="177" fontId="0" fillId="0" borderId="0" xfId="0" applyNumberFormat="1"/>
    <xf numFmtId="177" fontId="2" fillId="0" borderId="0" xfId="0" applyNumberFormat="1" applyFont="1"/>
    <xf numFmtId="177" fontId="1" fillId="2" borderId="1" xfId="0" applyNumberFormat="1" applyFont="1" applyFill="1" applyBorder="1" applyAlignment="1">
      <alignment horizontal="center" wrapText="1"/>
    </xf>
    <xf numFmtId="177" fontId="2" fillId="3" borderId="2" xfId="0" applyNumberFormat="1" applyFont="1" applyFill="1" applyBorder="1"/>
    <xf numFmtId="177" fontId="3" fillId="3" borderId="0" xfId="0" applyNumberFormat="1" applyFont="1" applyFill="1" applyBorder="1" applyAlignment="1">
      <alignment horizontal="right"/>
    </xf>
    <xf numFmtId="177" fontId="3" fillId="3" borderId="3" xfId="0" applyNumberFormat="1" applyFont="1" applyFill="1" applyBorder="1" applyAlignment="1">
      <alignment horizontal="right"/>
    </xf>
    <xf numFmtId="177" fontId="2" fillId="4" borderId="2" xfId="0" applyNumberFormat="1" applyFont="1" applyFill="1" applyBorder="1"/>
    <xf numFmtId="177" fontId="2" fillId="5" borderId="0" xfId="0" applyNumberFormat="1" applyFont="1" applyFill="1" applyBorder="1" applyAlignment="1">
      <alignment horizontal="right"/>
    </xf>
    <xf numFmtId="177" fontId="2" fillId="5" borderId="3" xfId="0" applyNumberFormat="1" applyFont="1" applyFill="1" applyBorder="1"/>
    <xf numFmtId="4" fontId="19" fillId="0" borderId="0" xfId="3" applyNumberFormat="1" applyBorder="1" applyProtection="1"/>
    <xf numFmtId="177" fontId="2" fillId="4" borderId="3" xfId="3" applyNumberFormat="1" applyFont="1" applyFill="1" applyBorder="1" applyAlignment="1" applyProtection="1"/>
    <xf numFmtId="177" fontId="2" fillId="4" borderId="0" xfId="0" applyNumberFormat="1" applyFont="1" applyFill="1" applyBorder="1"/>
    <xf numFmtId="177" fontId="3" fillId="16" borderId="2" xfId="0" applyNumberFormat="1" applyFont="1" applyFill="1" applyBorder="1" applyAlignment="1">
      <alignment horizontal="right"/>
    </xf>
    <xf numFmtId="177" fontId="3" fillId="16" borderId="0" xfId="0" applyNumberFormat="1" applyFont="1" applyFill="1" applyBorder="1" applyAlignment="1">
      <alignment horizontal="right"/>
    </xf>
    <xf numFmtId="177" fontId="4" fillId="16" borderId="3" xfId="0" applyNumberFormat="1" applyFont="1" applyFill="1" applyBorder="1"/>
    <xf numFmtId="177" fontId="2" fillId="4" borderId="2" xfId="0" applyNumberFormat="1" applyFont="1" applyFill="1" applyBorder="1" applyAlignment="1">
      <alignment horizontal="right"/>
    </xf>
    <xf numFmtId="177" fontId="2" fillId="7" borderId="4" xfId="0" applyNumberFormat="1" applyFont="1" applyFill="1" applyBorder="1"/>
    <xf numFmtId="177" fontId="2" fillId="4" borderId="6" xfId="0" applyNumberFormat="1" applyFont="1" applyFill="1" applyBorder="1" applyAlignment="1">
      <alignment horizontal="center"/>
    </xf>
    <xf numFmtId="177" fontId="6" fillId="4" borderId="5" xfId="0" applyNumberFormat="1" applyFont="1" applyFill="1" applyBorder="1" applyAlignment="1">
      <alignment horizontal="left"/>
    </xf>
    <xf numFmtId="177" fontId="2" fillId="4" borderId="7" xfId="0" applyNumberFormat="1" applyFont="1" applyFill="1" applyBorder="1"/>
    <xf numFmtId="177" fontId="7" fillId="8" borderId="8" xfId="0" applyNumberFormat="1" applyFont="1" applyFill="1" applyBorder="1" applyAlignment="1">
      <alignment horizontal="right"/>
    </xf>
    <xf numFmtId="177" fontId="7" fillId="8" borderId="20" xfId="0" applyNumberFormat="1" applyFont="1" applyFill="1" applyBorder="1" applyAlignment="1">
      <alignment horizontal="right"/>
    </xf>
    <xf numFmtId="177" fontId="8" fillId="8" borderId="9" xfId="0" applyNumberFormat="1" applyFont="1" applyFill="1" applyBorder="1"/>
    <xf numFmtId="177" fontId="0" fillId="4" borderId="0" xfId="0" applyNumberFormat="1" applyFill="1"/>
    <xf numFmtId="177" fontId="1" fillId="2" borderId="4" xfId="0" applyNumberFormat="1" applyFont="1" applyFill="1" applyBorder="1" applyAlignment="1">
      <alignment horizontal="center" wrapText="1"/>
    </xf>
    <xf numFmtId="177" fontId="2" fillId="4" borderId="21" xfId="0" applyNumberFormat="1" applyFont="1" applyFill="1" applyBorder="1"/>
    <xf numFmtId="177" fontId="2" fillId="4" borderId="22" xfId="0" applyNumberFormat="1" applyFont="1" applyFill="1" applyBorder="1"/>
    <xf numFmtId="177" fontId="2" fillId="4" borderId="23" xfId="0" applyNumberFormat="1" applyFont="1" applyFill="1" applyBorder="1"/>
    <xf numFmtId="177" fontId="5" fillId="4" borderId="2" xfId="0" applyNumberFormat="1" applyFont="1" applyFill="1" applyBorder="1"/>
    <xf numFmtId="177" fontId="2" fillId="5" borderId="4" xfId="0" applyNumberFormat="1" applyFont="1" applyFill="1" applyBorder="1"/>
    <xf numFmtId="177" fontId="9" fillId="4" borderId="11" xfId="0" applyNumberFormat="1" applyFont="1" applyFill="1" applyBorder="1" applyAlignment="1">
      <alignment horizontal="left"/>
    </xf>
    <xf numFmtId="177" fontId="5" fillId="4" borderId="2" xfId="0" applyNumberFormat="1" applyFont="1" applyFill="1" applyBorder="1" applyAlignment="1">
      <alignment horizontal="left" vertical="top"/>
    </xf>
    <xf numFmtId="177" fontId="5" fillId="4" borderId="3" xfId="0" applyNumberFormat="1" applyFont="1" applyFill="1" applyBorder="1"/>
    <xf numFmtId="177" fontId="5" fillId="4" borderId="0" xfId="0" applyNumberFormat="1" applyFont="1" applyFill="1" applyBorder="1"/>
    <xf numFmtId="177" fontId="0" fillId="0" borderId="0" xfId="0" applyNumberFormat="1" applyBorder="1"/>
    <xf numFmtId="177" fontId="5" fillId="0" borderId="0" xfId="0" applyNumberFormat="1" applyFont="1" applyBorder="1" applyAlignment="1">
      <alignment horizontal="left"/>
    </xf>
    <xf numFmtId="177" fontId="2" fillId="4" borderId="8" xfId="0" applyNumberFormat="1" applyFont="1" applyFill="1" applyBorder="1"/>
    <xf numFmtId="177" fontId="2" fillId="4" borderId="20" xfId="0" applyNumberFormat="1" applyFont="1" applyFill="1" applyBorder="1"/>
    <xf numFmtId="177" fontId="5" fillId="4" borderId="20" xfId="0" applyNumberFormat="1" applyFont="1" applyFill="1" applyBorder="1"/>
    <xf numFmtId="177" fontId="5" fillId="4" borderId="9" xfId="0" applyNumberFormat="1" applyFont="1" applyFill="1" applyBorder="1"/>
    <xf numFmtId="4" fontId="2" fillId="5" borderId="4" xfId="3" applyNumberFormat="1" applyFont="1" applyFill="1" applyBorder="1" applyAlignment="1" applyProtection="1"/>
    <xf numFmtId="4" fontId="2" fillId="5" borderId="4" xfId="3" applyNumberFormat="1" applyFont="1" applyFill="1" applyBorder="1" applyAlignment="1" applyProtection="1">
      <alignment horizontal="right"/>
    </xf>
    <xf numFmtId="177" fontId="2" fillId="4" borderId="9" xfId="0" applyNumberFormat="1" applyFont="1" applyFill="1" applyBorder="1"/>
    <xf numFmtId="177" fontId="5" fillId="4" borderId="31" xfId="0" applyNumberFormat="1" applyFont="1" applyFill="1" applyBorder="1"/>
    <xf numFmtId="177" fontId="2" fillId="4" borderId="32" xfId="0" applyNumberFormat="1" applyFont="1" applyFill="1" applyBorder="1"/>
    <xf numFmtId="177" fontId="2" fillId="4" borderId="33" xfId="0" applyNumberFormat="1" applyFont="1" applyFill="1" applyBorder="1"/>
    <xf numFmtId="177" fontId="2" fillId="4" borderId="34" xfId="0" applyNumberFormat="1" applyFont="1" applyFill="1" applyBorder="1"/>
    <xf numFmtId="177" fontId="7" fillId="2" borderId="0" xfId="0" applyNumberFormat="1" applyFont="1" applyFill="1" applyBorder="1" applyAlignment="1">
      <alignment horizontal="center" vertical="center"/>
    </xf>
    <xf numFmtId="177" fontId="7" fillId="2" borderId="0" xfId="0" applyNumberFormat="1" applyFont="1" applyFill="1" applyBorder="1" applyAlignment="1">
      <alignment horizontal="center"/>
    </xf>
    <xf numFmtId="177" fontId="11" fillId="4" borderId="35" xfId="0" applyNumberFormat="1" applyFont="1" applyFill="1" applyBorder="1" applyAlignment="1">
      <alignment horizontal="center" vertical="center"/>
    </xf>
    <xf numFmtId="177" fontId="11" fillId="4" borderId="36" xfId="0" applyNumberFormat="1" applyFont="1" applyFill="1" applyBorder="1" applyAlignment="1">
      <alignment horizontal="center" vertical="center"/>
    </xf>
    <xf numFmtId="177" fontId="0" fillId="4" borderId="22" xfId="0" applyNumberFormat="1" applyFill="1" applyBorder="1"/>
    <xf numFmtId="177" fontId="0" fillId="4" borderId="0" xfId="0" applyNumberFormat="1" applyFill="1" applyBorder="1"/>
    <xf numFmtId="177" fontId="2" fillId="16" borderId="2" xfId="0" applyNumberFormat="1" applyFont="1" applyFill="1" applyBorder="1"/>
    <xf numFmtId="177" fontId="2" fillId="3" borderId="3" xfId="0" applyNumberFormat="1" applyFont="1" applyFill="1" applyBorder="1"/>
    <xf numFmtId="177" fontId="2" fillId="3" borderId="21" xfId="0" applyNumberFormat="1" applyFont="1" applyFill="1" applyBorder="1"/>
    <xf numFmtId="10" fontId="2" fillId="3" borderId="23" xfId="3" applyNumberFormat="1" applyFont="1" applyFill="1" applyBorder="1" applyAlignment="1" applyProtection="1"/>
    <xf numFmtId="10" fontId="2" fillId="3" borderId="3" xfId="3" applyNumberFormat="1" applyFont="1" applyFill="1" applyBorder="1" applyAlignment="1" applyProtection="1"/>
    <xf numFmtId="177" fontId="2" fillId="3" borderId="8" xfId="0" applyNumberFormat="1" applyFont="1" applyFill="1" applyBorder="1"/>
    <xf numFmtId="10" fontId="2" fillId="3" borderId="9" xfId="3" applyNumberFormat="1" applyFont="1" applyFill="1" applyBorder="1" applyAlignment="1" applyProtection="1"/>
    <xf numFmtId="177" fontId="2" fillId="5" borderId="5" xfId="0" applyNumberFormat="1" applyFont="1" applyFill="1" applyBorder="1"/>
    <xf numFmtId="177" fontId="20" fillId="9" borderId="0" xfId="0" applyNumberFormat="1" applyFont="1" applyFill="1" applyAlignment="1">
      <alignment vertical="top" wrapText="1"/>
    </xf>
    <xf numFmtId="177" fontId="20" fillId="9" borderId="0" xfId="0" applyNumberFormat="1" applyFont="1" applyFill="1" applyAlignment="1">
      <alignment vertical="top"/>
    </xf>
    <xf numFmtId="177" fontId="20" fillId="10" borderId="0" xfId="0" applyNumberFormat="1" applyFont="1" applyFill="1" applyAlignment="1">
      <alignment vertical="top" wrapText="1"/>
    </xf>
    <xf numFmtId="177" fontId="2" fillId="10" borderId="0" xfId="0" applyNumberFormat="1" applyFont="1" applyFill="1" applyAlignment="1">
      <alignment vertical="top" wrapText="1"/>
    </xf>
    <xf numFmtId="4" fontId="2" fillId="5" borderId="0" xfId="0" applyNumberFormat="1" applyFont="1" applyFill="1" applyAlignment="1">
      <alignment vertical="top" wrapText="1"/>
    </xf>
    <xf numFmtId="177" fontId="2" fillId="5" borderId="0" xfId="0" applyNumberFormat="1" applyFont="1" applyFill="1" applyAlignment="1">
      <alignment vertical="top" wrapText="1"/>
    </xf>
    <xf numFmtId="177" fontId="17" fillId="8" borderId="9" xfId="0" applyNumberFormat="1" applyFont="1" applyFill="1" applyBorder="1"/>
    <xf numFmtId="177" fontId="21" fillId="9" borderId="0" xfId="0" applyNumberFormat="1" applyFont="1" applyFill="1" applyAlignment="1">
      <alignment vertical="top" wrapText="1"/>
    </xf>
    <xf numFmtId="177" fontId="10" fillId="2" borderId="0" xfId="0" applyNumberFormat="1" applyFont="1" applyFill="1" applyBorder="1" applyAlignment="1">
      <alignment horizontal="center"/>
    </xf>
    <xf numFmtId="177" fontId="2" fillId="0" borderId="0" xfId="0" applyNumberFormat="1" applyFont="1" applyAlignment="1">
      <alignment wrapText="1"/>
    </xf>
    <xf numFmtId="177" fontId="2" fillId="0" borderId="5" xfId="0" applyNumberFormat="1" applyFont="1" applyBorder="1" applyAlignment="1">
      <alignment horizontal="center"/>
    </xf>
    <xf numFmtId="10" fontId="2" fillId="4" borderId="9" xfId="3" applyNumberFormat="1" applyFont="1" applyFill="1" applyBorder="1" applyAlignment="1" applyProtection="1"/>
    <xf numFmtId="177" fontId="2" fillId="3" borderId="23" xfId="0" applyNumberFormat="1" applyFont="1" applyFill="1" applyBorder="1"/>
    <xf numFmtId="177" fontId="2" fillId="3" borderId="9" xfId="0" applyNumberFormat="1" applyFont="1" applyFill="1" applyBorder="1"/>
    <xf numFmtId="177" fontId="2" fillId="17" borderId="21" xfId="0" applyNumberFormat="1" applyFont="1" applyFill="1" applyBorder="1"/>
    <xf numFmtId="177" fontId="2" fillId="17" borderId="23" xfId="0" applyNumberFormat="1" applyFont="1" applyFill="1" applyBorder="1"/>
    <xf numFmtId="177" fontId="5" fillId="4" borderId="8" xfId="0" applyNumberFormat="1" applyFont="1" applyFill="1" applyBorder="1"/>
    <xf numFmtId="10" fontId="2" fillId="5" borderId="3" xfId="3" applyNumberFormat="1" applyFont="1" applyFill="1" applyBorder="1" applyAlignment="1" applyProtection="1"/>
    <xf numFmtId="177" fontId="2" fillId="17" borderId="23" xfId="0" applyNumberFormat="1" applyFont="1" applyFill="1" applyBorder="1" applyAlignment="1">
      <alignment horizontal="right"/>
    </xf>
    <xf numFmtId="177" fontId="2" fillId="17" borderId="2" xfId="0" applyNumberFormat="1" applyFont="1" applyFill="1" applyBorder="1"/>
    <xf numFmtId="177" fontId="2" fillId="17" borderId="3" xfId="0" applyNumberFormat="1" applyFont="1" applyFill="1" applyBorder="1"/>
    <xf numFmtId="177" fontId="2" fillId="17" borderId="8" xfId="0" applyNumberFormat="1" applyFont="1" applyFill="1" applyBorder="1"/>
    <xf numFmtId="177" fontId="4" fillId="17" borderId="9" xfId="0" applyNumberFormat="1" applyFont="1" applyFill="1" applyBorder="1"/>
    <xf numFmtId="177" fontId="0" fillId="4" borderId="20" xfId="0" applyNumberFormat="1" applyFill="1" applyBorder="1"/>
    <xf numFmtId="177" fontId="0" fillId="4" borderId="23" xfId="0" applyNumberFormat="1" applyFill="1" applyBorder="1"/>
    <xf numFmtId="177" fontId="0" fillId="4" borderId="3" xfId="0" applyNumberFormat="1" applyFill="1" applyBorder="1"/>
    <xf numFmtId="10" fontId="5" fillId="5" borderId="25" xfId="3" applyNumberFormat="1" applyFont="1" applyFill="1" applyBorder="1" applyAlignment="1" applyProtection="1">
      <alignment horizontal="left"/>
    </xf>
    <xf numFmtId="10" fontId="5" fillId="4" borderId="0" xfId="3" applyNumberFormat="1" applyFont="1" applyFill="1" applyBorder="1" applyAlignment="1" applyProtection="1">
      <alignment horizontal="left"/>
    </xf>
    <xf numFmtId="177" fontId="0" fillId="4" borderId="2" xfId="0" applyNumberFormat="1" applyFill="1" applyBorder="1"/>
    <xf numFmtId="177" fontId="3" fillId="3" borderId="1" xfId="0" applyNumberFormat="1" applyFont="1" applyFill="1" applyBorder="1" applyAlignment="1">
      <alignment horizontal="center"/>
    </xf>
    <xf numFmtId="177" fontId="3" fillId="3" borderId="23" xfId="0" applyNumberFormat="1" applyFont="1" applyFill="1" applyBorder="1" applyAlignment="1">
      <alignment horizontal="center"/>
    </xf>
    <xf numFmtId="177" fontId="5" fillId="3" borderId="8" xfId="0" applyNumberFormat="1" applyFont="1" applyFill="1" applyBorder="1" applyAlignment="1">
      <alignment horizontal="right"/>
    </xf>
    <xf numFmtId="177" fontId="5" fillId="3" borderId="9" xfId="0" applyNumberFormat="1" applyFont="1" applyFill="1" applyBorder="1" applyAlignment="1">
      <alignment horizontal="right"/>
    </xf>
    <xf numFmtId="177" fontId="5" fillId="3" borderId="3" xfId="0" applyNumberFormat="1" applyFont="1" applyFill="1" applyBorder="1" applyAlignment="1">
      <alignment horizontal="right"/>
    </xf>
    <xf numFmtId="177" fontId="3" fillId="3" borderId="9" xfId="0" applyNumberFormat="1" applyFont="1" applyFill="1" applyBorder="1" applyAlignment="1">
      <alignment horizontal="right"/>
    </xf>
    <xf numFmtId="177" fontId="2" fillId="4" borderId="21" xfId="0" applyNumberFormat="1" applyFont="1" applyFill="1" applyBorder="1" applyAlignment="1"/>
    <xf numFmtId="177" fontId="2" fillId="5" borderId="4" xfId="0" applyNumberFormat="1" applyFont="1" applyFill="1" applyBorder="1" applyAlignment="1"/>
    <xf numFmtId="177" fontId="2" fillId="5" borderId="23" xfId="0" applyNumberFormat="1" applyFont="1" applyFill="1" applyBorder="1"/>
    <xf numFmtId="177" fontId="2" fillId="4" borderId="2" xfId="3" applyNumberFormat="1" applyFont="1" applyFill="1" applyBorder="1" applyAlignment="1" applyProtection="1"/>
    <xf numFmtId="0" fontId="19" fillId="0" borderId="0" xfId="3" applyNumberFormat="1" applyBorder="1" applyProtection="1"/>
    <xf numFmtId="177" fontId="2" fillId="4" borderId="2" xfId="0" applyNumberFormat="1" applyFont="1" applyFill="1" applyBorder="1" applyAlignment="1"/>
    <xf numFmtId="177" fontId="2" fillId="4" borderId="8" xfId="0" applyNumberFormat="1" applyFont="1" applyFill="1" applyBorder="1" applyAlignment="1"/>
    <xf numFmtId="177" fontId="22" fillId="16" borderId="2" xfId="0" applyNumberFormat="1" applyFont="1" applyFill="1" applyBorder="1"/>
    <xf numFmtId="177" fontId="22" fillId="16" borderId="0" xfId="0" applyNumberFormat="1" applyFont="1" applyFill="1" applyBorder="1"/>
    <xf numFmtId="177" fontId="3" fillId="16" borderId="3" xfId="0" applyNumberFormat="1" applyFont="1" applyFill="1" applyBorder="1" applyAlignment="1">
      <alignment horizontal="right"/>
    </xf>
    <xf numFmtId="177" fontId="2" fillId="4" borderId="37" xfId="0" applyNumberFormat="1" applyFont="1" applyFill="1" applyBorder="1"/>
    <xf numFmtId="177" fontId="2" fillId="4" borderId="38" xfId="0" applyNumberFormat="1" applyFont="1" applyFill="1" applyBorder="1"/>
    <xf numFmtId="177" fontId="5" fillId="4" borderId="38" xfId="0" applyNumberFormat="1" applyFont="1" applyFill="1" applyBorder="1" applyAlignment="1">
      <alignment horizontal="right"/>
    </xf>
    <xf numFmtId="177" fontId="5" fillId="4" borderId="39" xfId="0" applyNumberFormat="1" applyFont="1" applyFill="1" applyBorder="1" applyAlignment="1">
      <alignment horizontal="right"/>
    </xf>
    <xf numFmtId="177" fontId="5" fillId="4" borderId="0" xfId="3" applyNumberFormat="1" applyFont="1" applyFill="1" applyBorder="1" applyAlignment="1" applyProtection="1">
      <alignment horizontal="left"/>
    </xf>
    <xf numFmtId="177" fontId="5" fillId="4" borderId="0" xfId="0" applyNumberFormat="1" applyFont="1" applyFill="1" applyBorder="1" applyAlignment="1">
      <alignment horizontal="right"/>
    </xf>
    <xf numFmtId="177" fontId="5" fillId="4" borderId="3" xfId="0" applyNumberFormat="1" applyFont="1" applyFill="1" applyBorder="1" applyAlignment="1">
      <alignment horizontal="right"/>
    </xf>
    <xf numFmtId="177" fontId="5" fillId="4" borderId="26" xfId="0" applyNumberFormat="1" applyFont="1" applyFill="1" applyBorder="1"/>
    <xf numFmtId="177" fontId="2" fillId="5" borderId="4" xfId="3" applyNumberFormat="1" applyFont="1" applyFill="1" applyBorder="1" applyAlignment="1" applyProtection="1">
      <alignment horizontal="right"/>
    </xf>
    <xf numFmtId="177" fontId="23" fillId="16" borderId="3" xfId="0" applyNumberFormat="1" applyFont="1" applyFill="1" applyBorder="1"/>
    <xf numFmtId="177" fontId="16" fillId="4" borderId="0" xfId="0" applyNumberFormat="1" applyFont="1" applyFill="1" applyBorder="1" applyAlignment="1">
      <alignment horizontal="right"/>
    </xf>
    <xf numFmtId="177" fontId="16" fillId="7" borderId="4" xfId="0" applyNumberFormat="1" applyFont="1" applyFill="1" applyBorder="1"/>
    <xf numFmtId="177" fontId="2" fillId="4" borderId="40" xfId="0" applyNumberFormat="1" applyFont="1" applyFill="1" applyBorder="1" applyAlignment="1">
      <alignment horizontal="center"/>
    </xf>
    <xf numFmtId="177" fontId="6" fillId="4" borderId="41" xfId="0" applyNumberFormat="1" applyFont="1" applyFill="1" applyBorder="1" applyAlignment="1">
      <alignment horizontal="left"/>
    </xf>
    <xf numFmtId="177" fontId="16" fillId="4" borderId="3" xfId="0" applyNumberFormat="1" applyFont="1" applyFill="1" applyBorder="1"/>
    <xf numFmtId="177" fontId="2" fillId="4" borderId="23" xfId="0" applyNumberFormat="1" applyFont="1" applyFill="1" applyBorder="1" applyAlignment="1">
      <alignment horizontal="right"/>
    </xf>
    <xf numFmtId="177" fontId="16" fillId="4" borderId="2" xfId="0" applyNumberFormat="1" applyFont="1" applyFill="1" applyBorder="1"/>
    <xf numFmtId="177" fontId="3" fillId="4" borderId="3" xfId="0" applyNumberFormat="1" applyFont="1" applyFill="1" applyBorder="1" applyAlignment="1">
      <alignment horizontal="right"/>
    </xf>
    <xf numFmtId="177" fontId="2" fillId="4" borderId="9" xfId="0" applyNumberFormat="1" applyFont="1" applyFill="1" applyBorder="1" applyAlignment="1">
      <alignment horizontal="right"/>
    </xf>
    <xf numFmtId="177" fontId="13" fillId="4" borderId="2" xfId="0" applyNumberFormat="1" applyFont="1" applyFill="1" applyBorder="1"/>
    <xf numFmtId="177" fontId="13" fillId="4" borderId="0" xfId="0" applyNumberFormat="1" applyFont="1" applyFill="1" applyBorder="1"/>
    <xf numFmtId="177" fontId="13" fillId="4" borderId="2" xfId="0" applyNumberFormat="1" applyFont="1" applyFill="1" applyBorder="1" applyAlignment="1">
      <alignment horizontal="left"/>
    </xf>
    <xf numFmtId="177" fontId="2" fillId="4" borderId="0" xfId="0" applyNumberFormat="1" applyFont="1" applyFill="1" applyBorder="1" applyAlignment="1">
      <alignment vertical="top"/>
    </xf>
    <xf numFmtId="177" fontId="2" fillId="4" borderId="0" xfId="0" applyNumberFormat="1" applyFont="1" applyFill="1"/>
    <xf numFmtId="177" fontId="9" fillId="4" borderId="29" xfId="0" applyNumberFormat="1" applyFont="1" applyFill="1" applyBorder="1" applyAlignment="1">
      <alignment horizontal="left"/>
    </xf>
    <xf numFmtId="177" fontId="24" fillId="4" borderId="2" xfId="0" applyNumberFormat="1" applyFont="1" applyFill="1" applyBorder="1"/>
    <xf numFmtId="177" fontId="24" fillId="4" borderId="0" xfId="0" applyNumberFormat="1" applyFont="1" applyFill="1" applyBorder="1"/>
    <xf numFmtId="177" fontId="25" fillId="4" borderId="0" xfId="0" applyNumberFormat="1" applyFont="1" applyFill="1" applyBorder="1"/>
    <xf numFmtId="177" fontId="13" fillId="4" borderId="2" xfId="0" applyNumberFormat="1" applyFont="1" applyFill="1" applyBorder="1" applyAlignment="1">
      <alignment wrapText="1"/>
    </xf>
    <xf numFmtId="177" fontId="9" fillId="4" borderId="42" xfId="0" applyNumberFormat="1" applyFont="1" applyFill="1" applyBorder="1" applyAlignment="1">
      <alignment horizontal="left"/>
    </xf>
    <xf numFmtId="10" fontId="13" fillId="0" borderId="0" xfId="3" applyNumberFormat="1" applyFont="1" applyBorder="1" applyProtection="1"/>
    <xf numFmtId="177" fontId="24" fillId="4" borderId="0" xfId="0" applyNumberFormat="1" applyFont="1" applyFill="1" applyAlignment="1">
      <alignment horizontal="left"/>
    </xf>
    <xf numFmtId="177" fontId="24" fillId="4" borderId="0" xfId="0" applyNumberFormat="1" applyFont="1" applyFill="1" applyBorder="1" applyAlignment="1">
      <alignment horizontal="left"/>
    </xf>
    <xf numFmtId="177" fontId="13" fillId="4" borderId="0" xfId="0" applyNumberFormat="1" applyFont="1" applyFill="1" applyAlignment="1">
      <alignment horizontal="right"/>
    </xf>
    <xf numFmtId="177" fontId="24" fillId="4" borderId="26" xfId="0" applyNumberFormat="1" applyFont="1" applyFill="1" applyBorder="1"/>
    <xf numFmtId="177" fontId="24" fillId="4" borderId="27" xfId="0" applyNumberFormat="1" applyFont="1" applyFill="1" applyBorder="1" applyAlignment="1">
      <alignment horizontal="left"/>
    </xf>
    <xf numFmtId="177" fontId="0" fillId="4" borderId="27" xfId="0" applyNumberFormat="1" applyFill="1" applyBorder="1"/>
    <xf numFmtId="177" fontId="2" fillId="4" borderId="28" xfId="0" applyNumberFormat="1" applyFont="1" applyFill="1" applyBorder="1"/>
    <xf numFmtId="10" fontId="5" fillId="5" borderId="4" xfId="3" applyNumberFormat="1" applyFont="1" applyFill="1" applyBorder="1" applyProtection="1"/>
    <xf numFmtId="177" fontId="2" fillId="4" borderId="26" xfId="0" applyNumberFormat="1" applyFont="1" applyFill="1" applyBorder="1"/>
    <xf numFmtId="177" fontId="2" fillId="4" borderId="27" xfId="0" applyNumberFormat="1" applyFont="1" applyFill="1" applyBorder="1" applyAlignment="1">
      <alignment horizontal="right"/>
    </xf>
    <xf numFmtId="177" fontId="2" fillId="4" borderId="27" xfId="0" applyNumberFormat="1" applyFont="1" applyFill="1" applyBorder="1"/>
    <xf numFmtId="10" fontId="5" fillId="4" borderId="0" xfId="3" applyNumberFormat="1" applyFont="1" applyFill="1" applyBorder="1" applyProtection="1"/>
    <xf numFmtId="177" fontId="5" fillId="4" borderId="0" xfId="0" applyNumberFormat="1" applyFont="1" applyFill="1"/>
    <xf numFmtId="177" fontId="5" fillId="4" borderId="0" xfId="0" applyNumberFormat="1" applyFont="1" applyFill="1" applyAlignment="1">
      <alignment horizontal="right"/>
    </xf>
    <xf numFmtId="177" fontId="2" fillId="4" borderId="22" xfId="0" applyNumberFormat="1" applyFont="1" applyFill="1" applyBorder="1" applyAlignment="1">
      <alignment horizontal="left"/>
    </xf>
    <xf numFmtId="10" fontId="5" fillId="0" borderId="0" xfId="3" applyNumberFormat="1" applyFont="1" applyBorder="1" applyProtection="1"/>
    <xf numFmtId="177" fontId="2" fillId="4" borderId="0" xfId="0" applyNumberFormat="1" applyFont="1" applyFill="1" applyAlignment="1">
      <alignment horizontal="right"/>
    </xf>
    <xf numFmtId="4" fontId="13" fillId="4" borderId="0" xfId="0" applyNumberFormat="1" applyFont="1" applyFill="1" applyAlignment="1">
      <alignment horizontal="right"/>
    </xf>
    <xf numFmtId="4" fontId="19" fillId="5" borderId="0" xfId="3" applyNumberFormat="1" applyFont="1" applyFill="1" applyBorder="1" applyAlignment="1" applyProtection="1">
      <alignment horizontal="right"/>
    </xf>
    <xf numFmtId="10" fontId="2" fillId="5" borderId="4" xfId="3" applyNumberFormat="1" applyFont="1" applyFill="1" applyBorder="1" applyAlignment="1" applyProtection="1"/>
    <xf numFmtId="10" fontId="2" fillId="5" borderId="4" xfId="3" applyNumberFormat="1" applyFont="1" applyFill="1" applyBorder="1" applyAlignment="1" applyProtection="1">
      <alignment horizontal="right"/>
    </xf>
    <xf numFmtId="177" fontId="2" fillId="5" borderId="4" xfId="0" applyNumberFormat="1" applyFont="1" applyFill="1" applyBorder="1" applyAlignment="1">
      <alignment horizontal="center" vertical="center"/>
    </xf>
    <xf numFmtId="4" fontId="13" fillId="4" borderId="2" xfId="0" applyNumberFormat="1" applyFont="1" applyFill="1" applyBorder="1" applyAlignment="1">
      <alignment horizontal="left"/>
    </xf>
    <xf numFmtId="0" fontId="2" fillId="5" borderId="0" xfId="0" applyFont="1" applyFill="1" applyAlignment="1"/>
    <xf numFmtId="177" fontId="2" fillId="18" borderId="4" xfId="0" applyNumberFormat="1" applyFont="1" applyFill="1" applyBorder="1" applyAlignment="1">
      <alignment horizontal="left"/>
    </xf>
    <xf numFmtId="10" fontId="2" fillId="18" borderId="4" xfId="0" applyNumberFormat="1" applyFont="1" applyFill="1" applyBorder="1" applyAlignment="1">
      <alignment horizontal="left"/>
    </xf>
    <xf numFmtId="179" fontId="0" fillId="0" borderId="0" xfId="0" applyNumberFormat="1" applyFont="1"/>
    <xf numFmtId="177" fontId="2" fillId="11" borderId="0" xfId="0" applyNumberFormat="1" applyFont="1" applyFill="1" applyBorder="1"/>
    <xf numFmtId="0" fontId="26" fillId="0" borderId="24" xfId="0" applyFont="1" applyBorder="1"/>
    <xf numFmtId="0" fontId="0" fillId="0" borderId="24" xfId="0" applyBorder="1"/>
    <xf numFmtId="0" fontId="0" fillId="5" borderId="24" xfId="0" applyFont="1" applyFill="1" applyBorder="1"/>
    <xf numFmtId="0" fontId="0" fillId="4" borderId="24" xfId="0" applyFill="1" applyBorder="1"/>
    <xf numFmtId="0" fontId="0" fillId="0" borderId="0" xfId="0" applyBorder="1"/>
    <xf numFmtId="9" fontId="19" fillId="0" borderId="0" xfId="3" applyBorder="1" applyProtection="1"/>
    <xf numFmtId="177" fontId="2" fillId="5" borderId="0" xfId="0" applyNumberFormat="1" applyFont="1" applyFill="1" applyBorder="1"/>
    <xf numFmtId="0" fontId="5" fillId="5" borderId="25" xfId="3" applyNumberFormat="1" applyFont="1" applyFill="1" applyBorder="1" applyAlignment="1" applyProtection="1">
      <alignment horizontal="left"/>
    </xf>
    <xf numFmtId="177" fontId="19" fillId="0" borderId="0" xfId="3" applyNumberFormat="1" applyBorder="1" applyProtection="1"/>
    <xf numFmtId="0" fontId="0" fillId="5" borderId="24" xfId="0" applyFont="1" applyFill="1" applyBorder="1" applyAlignment="1">
      <alignment wrapText="1"/>
    </xf>
    <xf numFmtId="179" fontId="2" fillId="4" borderId="0" xfId="0" applyNumberFormat="1" applyFont="1" applyFill="1" applyBorder="1" applyAlignment="1"/>
    <xf numFmtId="0" fontId="27" fillId="19" borderId="0" xfId="0" applyFont="1" applyFill="1" applyBorder="1" applyAlignment="1">
      <alignment horizontal="center" vertical="center"/>
    </xf>
    <xf numFmtId="0" fontId="28" fillId="20" borderId="24" xfId="0" applyFont="1" applyFill="1" applyBorder="1" applyAlignment="1">
      <alignment horizontal="center" wrapText="1"/>
    </xf>
    <xf numFmtId="0" fontId="29" fillId="20" borderId="24" xfId="0" applyFont="1" applyFill="1" applyBorder="1" applyAlignment="1">
      <alignment horizontal="left"/>
    </xf>
    <xf numFmtId="0" fontId="28" fillId="20" borderId="24" xfId="0" applyFont="1" applyFill="1" applyBorder="1" applyAlignment="1">
      <alignment horizontal="left" wrapText="1"/>
    </xf>
    <xf numFmtId="0" fontId="29" fillId="20" borderId="43" xfId="0" applyFont="1" applyFill="1" applyBorder="1" applyAlignment="1">
      <alignment horizontal="center"/>
    </xf>
    <xf numFmtId="0" fontId="29" fillId="20" borderId="0" xfId="0" applyFont="1" applyFill="1" applyAlignment="1">
      <alignment horizontal="center"/>
    </xf>
    <xf numFmtId="0" fontId="28" fillId="20" borderId="44" xfId="0" applyFont="1" applyFill="1" applyBorder="1" applyAlignment="1">
      <alignment horizontal="center" wrapText="1"/>
    </xf>
    <xf numFmtId="0" fontId="29" fillId="20" borderId="45" xfId="0" applyFont="1" applyFill="1" applyBorder="1" applyAlignment="1">
      <alignment horizontal="center"/>
    </xf>
    <xf numFmtId="0" fontId="28" fillId="20" borderId="46" xfId="0" applyFont="1" applyFill="1" applyBorder="1" applyAlignment="1">
      <alignment horizontal="center" wrapText="1"/>
    </xf>
    <xf numFmtId="0" fontId="30" fillId="0" borderId="24" xfId="0" applyFont="1" applyBorder="1" applyAlignment="1">
      <alignment horizontal="center" vertical="top" wrapText="1"/>
    </xf>
    <xf numFmtId="0" fontId="0" fillId="0" borderId="47" xfId="0" applyBorder="1" applyAlignment="1">
      <alignment horizontal="center" vertical="center"/>
    </xf>
    <xf numFmtId="0" fontId="0" fillId="0" borderId="43" xfId="0" applyBorder="1"/>
    <xf numFmtId="0" fontId="2" fillId="5" borderId="24" xfId="0" applyFont="1" applyFill="1" applyBorder="1" applyAlignment="1"/>
    <xf numFmtId="0" fontId="30" fillId="0" borderId="43" xfId="0" applyFont="1" applyBorder="1" applyAlignment="1">
      <alignment horizontal="center" vertical="top" wrapText="1"/>
    </xf>
    <xf numFmtId="0" fontId="2" fillId="0" borderId="43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 wrapText="1"/>
    </xf>
    <xf numFmtId="0" fontId="2" fillId="0" borderId="43" xfId="0" applyFont="1" applyBorder="1" applyAlignment="1"/>
    <xf numFmtId="0" fontId="2" fillId="0" borderId="44" xfId="0" applyFont="1" applyBorder="1" applyAlignment="1"/>
    <xf numFmtId="0" fontId="2" fillId="5" borderId="0" xfId="3" applyNumberFormat="1" applyFont="1" applyFill="1" applyBorder="1" applyAlignment="1" applyProtection="1">
      <alignment horizontal="right"/>
    </xf>
    <xf numFmtId="177" fontId="2" fillId="5" borderId="0" xfId="3" applyNumberFormat="1" applyFont="1" applyFill="1" applyBorder="1" applyAlignment="1" applyProtection="1">
      <alignment horizontal="right"/>
    </xf>
    <xf numFmtId="177" fontId="2" fillId="4" borderId="3" xfId="3" applyNumberFormat="1" applyFont="1" applyFill="1" applyBorder="1" applyProtection="1"/>
    <xf numFmtId="177" fontId="3" fillId="16" borderId="0" xfId="0" applyNumberFormat="1" applyFont="1" applyFill="1" applyAlignment="1">
      <alignment horizontal="right"/>
    </xf>
    <xf numFmtId="177" fontId="2" fillId="5" borderId="4" xfId="0" applyNumberFormat="1" applyFont="1" applyFill="1" applyBorder="1" applyAlignment="1">
      <alignment horizontal="center"/>
    </xf>
    <xf numFmtId="177" fontId="5" fillId="4" borderId="0" xfId="0" applyNumberFormat="1" applyFont="1" applyFill="1" applyAlignment="1">
      <alignment horizontal="left" wrapText="1"/>
    </xf>
    <xf numFmtId="177" fontId="5" fillId="4" borderId="0" xfId="0" applyNumberFormat="1" applyFont="1" applyFill="1" applyBorder="1" applyAlignment="1">
      <alignment horizontal="center"/>
    </xf>
    <xf numFmtId="10" fontId="2" fillId="5" borderId="4" xfId="3" applyNumberFormat="1" applyFont="1" applyFill="1" applyBorder="1" applyProtection="1"/>
    <xf numFmtId="177" fontId="7" fillId="2" borderId="2" xfId="0" applyNumberFormat="1" applyFont="1" applyFill="1" applyBorder="1" applyAlignment="1">
      <alignment horizontal="center" vertical="center"/>
    </xf>
    <xf numFmtId="177" fontId="2" fillId="5" borderId="0" xfId="0" applyNumberFormat="1" applyFont="1" applyFill="1" applyAlignment="1">
      <alignment vertical="center"/>
    </xf>
    <xf numFmtId="177" fontId="5" fillId="9" borderId="0" xfId="0" applyNumberFormat="1" applyFont="1" applyFill="1" applyAlignment="1">
      <alignment vertical="top" wrapText="1"/>
    </xf>
    <xf numFmtId="10" fontId="2" fillId="3" borderId="23" xfId="3" applyNumberFormat="1" applyFont="1" applyFill="1" applyBorder="1" applyProtection="1"/>
    <xf numFmtId="10" fontId="2" fillId="3" borderId="3" xfId="3" applyNumberFormat="1" applyFont="1" applyFill="1" applyBorder="1" applyProtection="1"/>
    <xf numFmtId="10" fontId="2" fillId="3" borderId="9" xfId="3" applyNumberFormat="1" applyFont="1" applyFill="1" applyBorder="1" applyProtection="1"/>
    <xf numFmtId="10" fontId="2" fillId="4" borderId="3" xfId="3" applyNumberFormat="1" applyFont="1" applyFill="1" applyBorder="1" applyProtection="1"/>
    <xf numFmtId="10" fontId="2" fillId="4" borderId="9" xfId="3" applyNumberFormat="1" applyFont="1" applyFill="1" applyBorder="1" applyProtection="1"/>
    <xf numFmtId="177" fontId="2" fillId="4" borderId="2" xfId="3" applyNumberFormat="1" applyFont="1" applyFill="1" applyBorder="1" applyProtection="1"/>
    <xf numFmtId="0" fontId="2" fillId="5" borderId="4" xfId="3" applyNumberFormat="1" applyFont="1" applyFill="1" applyBorder="1" applyProtection="1"/>
    <xf numFmtId="177" fontId="2" fillId="5" borderId="4" xfId="3" applyNumberFormat="1" applyFont="1" applyFill="1" applyBorder="1" applyProtection="1"/>
    <xf numFmtId="177" fontId="22" fillId="16" borderId="0" xfId="0" applyNumberFormat="1" applyFont="1" applyFill="1"/>
    <xf numFmtId="177" fontId="16" fillId="4" borderId="0" xfId="0" applyNumberFormat="1" applyFont="1" applyFill="1" applyAlignment="1">
      <alignment horizontal="right"/>
    </xf>
    <xf numFmtId="177" fontId="5" fillId="4" borderId="20" xfId="0" applyNumberFormat="1" applyFont="1" applyFill="1" applyBorder="1" applyAlignment="1">
      <alignment horizontal="right"/>
    </xf>
    <xf numFmtId="177" fontId="5" fillId="4" borderId="26" xfId="0" applyNumberFormat="1" applyFont="1" applyFill="1" applyBorder="1" applyAlignment="1">
      <alignment horizontal="left"/>
    </xf>
    <xf numFmtId="177" fontId="2" fillId="4" borderId="21" xfId="0" applyNumberFormat="1" applyFont="1" applyFill="1" applyBorder="1" applyAlignment="1">
      <alignment horizontal="right"/>
    </xf>
    <xf numFmtId="177" fontId="13" fillId="4" borderId="0" xfId="0" applyNumberFormat="1" applyFont="1" applyFill="1"/>
    <xf numFmtId="177" fontId="13" fillId="4" borderId="0" xfId="0" applyNumberFormat="1" applyFont="1" applyFill="1" applyAlignment="1">
      <alignment horizontal="left"/>
    </xf>
    <xf numFmtId="177" fontId="2" fillId="4" borderId="0" xfId="0" applyNumberFormat="1" applyFont="1" applyFill="1" applyAlignment="1">
      <alignment vertical="top"/>
    </xf>
    <xf numFmtId="177" fontId="7" fillId="2" borderId="48" xfId="0" applyNumberFormat="1" applyFont="1" applyFill="1" applyBorder="1" applyAlignment="1">
      <alignment horizontal="center"/>
    </xf>
    <xf numFmtId="177" fontId="11" fillId="4" borderId="49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3" fillId="3" borderId="0" xfId="0" applyFont="1" applyFill="1" applyAlignment="1">
      <alignment horizontal="right"/>
    </xf>
    <xf numFmtId="177" fontId="2" fillId="5" borderId="0" xfId="0" applyNumberFormat="1" applyFont="1" applyFill="1"/>
    <xf numFmtId="0" fontId="2" fillId="5" borderId="0" xfId="0" applyFont="1" applyFill="1"/>
    <xf numFmtId="177" fontId="4" fillId="6" borderId="3" xfId="0" applyNumberFormat="1" applyFont="1" applyFill="1" applyBorder="1"/>
    <xf numFmtId="0" fontId="2" fillId="5" borderId="4" xfId="0" applyFont="1" applyFill="1" applyBorder="1"/>
    <xf numFmtId="178" fontId="2" fillId="5" borderId="4" xfId="0" applyNumberFormat="1" applyFont="1" applyFill="1" applyBorder="1" applyAlignment="1">
      <alignment horizontal="left"/>
    </xf>
    <xf numFmtId="0" fontId="5" fillId="0" borderId="0" xfId="0" applyFont="1" applyBorder="1" applyAlignment="1">
      <alignment horizontal="left" vertical="top"/>
    </xf>
    <xf numFmtId="177" fontId="5" fillId="0" borderId="0" xfId="0" applyNumberFormat="1" applyFont="1" applyBorder="1" applyAlignment="1">
      <alignment horizontal="left" vertical="top"/>
    </xf>
    <xf numFmtId="10" fontId="19" fillId="0" borderId="0" xfId="3" applyNumberFormat="1" applyBorder="1" applyProtection="1"/>
    <xf numFmtId="2" fontId="2" fillId="0" borderId="0" xfId="0" applyNumberFormat="1" applyFont="1"/>
    <xf numFmtId="179" fontId="2" fillId="4" borderId="0" xfId="0" applyNumberFormat="1" applyFont="1" applyFill="1" applyBorder="1"/>
    <xf numFmtId="0" fontId="2" fillId="4" borderId="21" xfId="0" applyFont="1" applyFill="1" applyBorder="1"/>
    <xf numFmtId="0" fontId="2" fillId="4" borderId="22" xfId="0" applyFont="1" applyFill="1" applyBorder="1"/>
    <xf numFmtId="0" fontId="2" fillId="4" borderId="23" xfId="0" applyFont="1" applyFill="1" applyBorder="1"/>
    <xf numFmtId="0" fontId="2" fillId="3" borderId="21" xfId="0" applyFont="1" applyFill="1" applyBorder="1"/>
    <xf numFmtId="10" fontId="2" fillId="3" borderId="23" xfId="0" applyNumberFormat="1" applyFont="1" applyFill="1" applyBorder="1"/>
    <xf numFmtId="10" fontId="2" fillId="3" borderId="3" xfId="0" applyNumberFormat="1" applyFont="1" applyFill="1" applyBorder="1"/>
    <xf numFmtId="10" fontId="2" fillId="4" borderId="9" xfId="0" applyNumberFormat="1" applyFont="1" applyFill="1" applyBorder="1"/>
    <xf numFmtId="4" fontId="2" fillId="4" borderId="3" xfId="0" applyNumberFormat="1" applyFont="1" applyFill="1" applyBorder="1"/>
    <xf numFmtId="0" fontId="2" fillId="3" borderId="8" xfId="0" applyFont="1" applyFill="1" applyBorder="1"/>
    <xf numFmtId="0" fontId="2" fillId="12" borderId="21" xfId="0" applyFont="1" applyFill="1" applyBorder="1"/>
    <xf numFmtId="177" fontId="2" fillId="12" borderId="23" xfId="0" applyNumberFormat="1" applyFont="1" applyFill="1" applyBorder="1"/>
    <xf numFmtId="0" fontId="5" fillId="4" borderId="8" xfId="0" applyFont="1" applyFill="1" applyBorder="1"/>
    <xf numFmtId="184" fontId="2" fillId="4" borderId="3" xfId="0" applyNumberFormat="1" applyFont="1" applyFill="1" applyBorder="1"/>
    <xf numFmtId="0" fontId="2" fillId="12" borderId="2" xfId="0" applyFont="1" applyFill="1" applyBorder="1"/>
    <xf numFmtId="177" fontId="2" fillId="12" borderId="3" xfId="0" applyNumberFormat="1" applyFont="1" applyFill="1" applyBorder="1"/>
    <xf numFmtId="0" fontId="2" fillId="12" borderId="8" xfId="0" applyFont="1" applyFill="1" applyBorder="1"/>
    <xf numFmtId="177" fontId="4" fillId="12" borderId="9" xfId="0" applyNumberFormat="1" applyFont="1" applyFill="1" applyBorder="1"/>
    <xf numFmtId="184" fontId="2" fillId="4" borderId="0" xfId="0" applyNumberFormat="1" applyFont="1" applyFill="1"/>
    <xf numFmtId="0" fontId="11" fillId="4" borderId="8" xfId="0" applyFont="1" applyFill="1" applyBorder="1"/>
    <xf numFmtId="0" fontId="15" fillId="3" borderId="21" xfId="0" applyFont="1" applyFill="1" applyBorder="1"/>
    <xf numFmtId="177" fontId="15" fillId="3" borderId="23" xfId="0" applyNumberFormat="1" applyFont="1" applyFill="1" applyBorder="1"/>
    <xf numFmtId="0" fontId="15" fillId="3" borderId="2" xfId="0" applyFont="1" applyFill="1" applyBorder="1"/>
    <xf numFmtId="177" fontId="15" fillId="3" borderId="3" xfId="0" applyNumberFormat="1" applyFont="1" applyFill="1" applyBorder="1"/>
    <xf numFmtId="0" fontId="15" fillId="4" borderId="8" xfId="0" applyFont="1" applyFill="1" applyBorder="1"/>
    <xf numFmtId="177" fontId="15" fillId="4" borderId="9" xfId="0" applyNumberFormat="1" applyFont="1" applyFill="1" applyBorder="1"/>
    <xf numFmtId="0" fontId="13" fillId="4" borderId="2" xfId="0" applyFont="1" applyFill="1" applyBorder="1"/>
    <xf numFmtId="0" fontId="13" fillId="4" borderId="0" xfId="0" applyFont="1" applyFill="1"/>
    <xf numFmtId="0" fontId="27" fillId="19" borderId="24" xfId="0" applyFont="1" applyFill="1" applyBorder="1" applyAlignment="1">
      <alignment horizontal="center" vertical="center"/>
    </xf>
    <xf numFmtId="0" fontId="29" fillId="20" borderId="24" xfId="0" applyFont="1" applyFill="1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177" fontId="2" fillId="0" borderId="24" xfId="0" applyNumberFormat="1" applyFont="1" applyBorder="1"/>
    <xf numFmtId="177" fontId="2" fillId="4" borderId="24" xfId="0" applyNumberFormat="1" applyFont="1" applyFill="1" applyBorder="1" applyAlignment="1"/>
    <xf numFmtId="0" fontId="5" fillId="9" borderId="0" xfId="0" applyFont="1" applyFill="1" applyAlignment="1">
      <alignment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0000"/>
      <rgbColor rgb="00008000"/>
      <rgbColor rgb="00000080"/>
      <rgbColor rgb="00808000"/>
      <rgbColor rgb="00800080"/>
      <rgbColor rgb="00008080"/>
      <rgbColor rgb="00BFBFBF"/>
      <rgbColor rgb="00808080"/>
      <rgbColor rgb="00A6A6A6"/>
      <rgbColor rgb="007E3794"/>
      <rgbColor rgb="00FFFFD7"/>
      <rgbColor rgb="00E7E6E6"/>
      <rgbColor rgb="00660066"/>
      <rgbColor rgb="00FF8080"/>
      <rgbColor rgb="002A6099"/>
      <rgbColor rgb="00D0CECE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A9D18E"/>
      <rgbColor rgb="00D9D9D9"/>
      <rgbColor rgb="00FFEBEB"/>
      <rgbColor rgb="00AFD095"/>
      <rgbColor rgb="00FF99CC"/>
      <rgbColor rgb="00A8D08D"/>
      <rgbColor rgb="00D8D8D8"/>
      <rgbColor rgb="003366FF"/>
      <rgbColor rgb="0033CCCC"/>
      <rgbColor rgb="0081D41A"/>
      <rgbColor rgb="00FFC000"/>
      <rgbColor rgb="00FF9900"/>
      <rgbColor rgb="00FF6600"/>
      <rgbColor rgb="00666699"/>
      <rgbColor rgb="00A5A5A5"/>
      <rgbColor rgb="00003366"/>
      <rgbColor rgb="0070AD47"/>
      <rgbColor rgb="00003300"/>
      <rgbColor rgb="00333300"/>
      <rgbColor rgb="00C9211E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worksheets/sheet33.xml" Type="http://schemas.openxmlformats.org/officeDocument/2006/relationships/worksheet"/><Relationship Id="rId34" Target="worksheets/sheet34.xml" Type="http://schemas.openxmlformats.org/officeDocument/2006/relationships/worksheet"/><Relationship Id="rId35" Target="worksheets/sheet35.xml" Type="http://schemas.openxmlformats.org/officeDocument/2006/relationships/worksheet"/><Relationship Id="rId36" Target="worksheets/sheet36.xml" Type="http://schemas.openxmlformats.org/officeDocument/2006/relationships/worksheet"/><Relationship Id="rId37" Target="worksheets/sheet37.xml" Type="http://schemas.openxmlformats.org/officeDocument/2006/relationships/worksheet"/><Relationship Id="rId38" Target="worksheets/sheet38.xml" Type="http://schemas.openxmlformats.org/officeDocument/2006/relationships/worksheet"/><Relationship Id="rId39" Target="worksheets/sheet39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40.xml" Type="http://schemas.openxmlformats.org/officeDocument/2006/relationships/worksheet"/><Relationship Id="rId41" Target="worksheets/sheet41.xml" Type="http://schemas.openxmlformats.org/officeDocument/2006/relationships/worksheet"/><Relationship Id="rId42" Target="worksheets/sheet42.xml" Type="http://schemas.openxmlformats.org/officeDocument/2006/relationships/worksheet"/><Relationship Id="rId43" Target="worksheets/sheet43.xml" Type="http://schemas.openxmlformats.org/officeDocument/2006/relationships/worksheet"/><Relationship Id="rId44" Target="worksheets/sheet44.xml" Type="http://schemas.openxmlformats.org/officeDocument/2006/relationships/worksheet"/><Relationship Id="rId45" Target="worksheets/sheet45.xml" Type="http://schemas.openxmlformats.org/officeDocument/2006/relationships/worksheet"/><Relationship Id="rId46" Target="worksheets/sheet46.xml" Type="http://schemas.openxmlformats.org/officeDocument/2006/relationships/worksheet"/><Relationship Id="rId47" Target="worksheets/sheet47.xml" Type="http://schemas.openxmlformats.org/officeDocument/2006/relationships/worksheet"/><Relationship Id="rId48" Target="worksheets/sheet48.xml" Type="http://schemas.openxmlformats.org/officeDocument/2006/relationships/worksheet"/><Relationship Id="rId49" Target="worksheets/sheet49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50.xml" Type="http://schemas.openxmlformats.org/officeDocument/2006/relationships/worksheet"/><Relationship Id="rId51" Target="worksheets/sheet51.xml" Type="http://schemas.openxmlformats.org/officeDocument/2006/relationships/worksheet"/><Relationship Id="rId52" Target="worksheets/sheet52.xml" Type="http://schemas.openxmlformats.org/officeDocument/2006/relationships/worksheet"/><Relationship Id="rId53" Target="worksheets/sheet53.xml" Type="http://schemas.openxmlformats.org/officeDocument/2006/relationships/worksheet"/><Relationship Id="rId54" Target="worksheets/sheet54.xml" Type="http://schemas.openxmlformats.org/officeDocument/2006/relationships/worksheet"/><Relationship Id="rId55" Target="worksheets/sheet55.xml" Type="http://schemas.openxmlformats.org/officeDocument/2006/relationships/worksheet"/><Relationship Id="rId56" Target="worksheets/sheet56.xml" Type="http://schemas.openxmlformats.org/officeDocument/2006/relationships/worksheet"/><Relationship Id="rId57" Target="worksheets/sheet57.xml" Type="http://schemas.openxmlformats.org/officeDocument/2006/relationships/worksheet"/><Relationship Id="rId58" Target="worksheets/sheet58.xml" Type="http://schemas.openxmlformats.org/officeDocument/2006/relationships/worksheet"/><Relationship Id="rId59" Target="worksheets/sheet59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60.xml" Type="http://schemas.openxmlformats.org/officeDocument/2006/relationships/worksheet"/><Relationship Id="rId61" Target="worksheets/sheet61.xml" Type="http://schemas.openxmlformats.org/officeDocument/2006/relationships/worksheet"/><Relationship Id="rId62" Target="worksheets/sheet62.xml" Type="http://schemas.openxmlformats.org/officeDocument/2006/relationships/worksheet"/><Relationship Id="rId63" Target="worksheets/sheet63.xml" Type="http://schemas.openxmlformats.org/officeDocument/2006/relationships/worksheet"/><Relationship Id="rId64" Target="worksheets/sheet64.xml" Type="http://schemas.openxmlformats.org/officeDocument/2006/relationships/worksheet"/><Relationship Id="rId65" Target="worksheets/sheet65.xml" Type="http://schemas.openxmlformats.org/officeDocument/2006/relationships/worksheet"/><Relationship Id="rId66" Target="worksheets/sheet66.xml" Type="http://schemas.openxmlformats.org/officeDocument/2006/relationships/worksheet"/><Relationship Id="rId67" Target="worksheets/sheet67.xml" Type="http://schemas.openxmlformats.org/officeDocument/2006/relationships/worksheet"/><Relationship Id="rId68" Target="worksheets/sheet68.xml" Type="http://schemas.openxmlformats.org/officeDocument/2006/relationships/worksheet"/><Relationship Id="rId69" Target="worksheets/sheet69.xml" Type="http://schemas.openxmlformats.org/officeDocument/2006/relationships/worksheet"/><Relationship Id="rId7" Target="worksheets/sheet7.xml" Type="http://schemas.openxmlformats.org/officeDocument/2006/relationships/worksheet"/><Relationship Id="rId70" Target="worksheets/sheet70.xml" Type="http://schemas.openxmlformats.org/officeDocument/2006/relationships/worksheet"/><Relationship Id="rId71" Target="theme/theme1.xml" Type="http://schemas.openxmlformats.org/officeDocument/2006/relationships/theme"/><Relationship Id="rId72" Target="styles.xml" Type="http://schemas.openxmlformats.org/officeDocument/2006/relationships/styles"/><Relationship Id="rId73" Target="sharedStrings.xml" Type="http://schemas.openxmlformats.org/officeDocument/2006/relationships/sharedStrings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10" workbookViewId="0">
      <selection activeCell="A37" sqref="A37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2" customWidth="true" style="239" width="18.8833333333333"/>
    <col min="13" max="13" customWidth="true" style="239" width="22.4666666666667"/>
    <col min="14" max="14" customWidth="true" style="239" width="20.9333333333333"/>
    <col min="15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17166.67</v>
      </c>
      <c r="C2" s="416" t="s">
        <v>2</v>
      </c>
      <c r="D2" s="417">
        <f>C9</f>
        <v>3433.334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20600.004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 t="s">
        <v>4</v>
      </c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17166.67</v>
      </c>
      <c r="C9" s="82">
        <f>B9*0.2</f>
        <v>3433.334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17166.67</v>
      </c>
      <c r="C15" s="82">
        <f>SUM(C9:C13)</f>
        <v>3433.334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20600.004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17166.67</v>
      </c>
      <c r="F21" s="82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12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4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 t="str">
        <f>A46</f>
        <v>50</v>
      </c>
      <c r="M32" s="404" t="s">
        <v>37</v>
      </c>
      <c r="N32" s="413" t="s">
        <v>38</v>
      </c>
    </row>
    <row r="33" ht="19.5" spans="1:14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  <c r="M33" s="404"/>
      <c r="N33" s="405"/>
    </row>
    <row r="34" ht="19.5" spans="1:14">
      <c r="A34" s="268" t="s">
        <v>42</v>
      </c>
      <c r="B34" s="368"/>
      <c r="C34" s="437" t="s">
        <v>43</v>
      </c>
      <c r="D34" s="437"/>
      <c r="E34" s="368"/>
      <c r="F34" s="437">
        <f>(A34/12)*C34</f>
        <v>5000</v>
      </c>
      <c r="G34" s="437"/>
      <c r="H34" s="271"/>
      <c r="I34" s="240"/>
      <c r="J34" s="240"/>
      <c r="K34" s="240"/>
      <c r="M34" s="404" t="s">
        <v>44</v>
      </c>
      <c r="N34" s="406" t="s">
        <v>45</v>
      </c>
    </row>
    <row r="35" spans="1:14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507">
        <v>0.065</v>
      </c>
      <c r="M35" s="404"/>
      <c r="N35" s="405" t="s">
        <v>4</v>
      </c>
    </row>
    <row r="36" ht="19.5" spans="1:14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11</v>
      </c>
      <c r="M36" s="404" t="s">
        <v>51</v>
      </c>
      <c r="N36" s="407">
        <f>N32-N34</f>
        <v>22125</v>
      </c>
    </row>
    <row r="37" ht="19.5" spans="1:11">
      <c r="A37" s="267">
        <f>E19</f>
        <v>20600.004</v>
      </c>
      <c r="B37" s="368"/>
      <c r="C37" s="437" t="s">
        <v>45</v>
      </c>
      <c r="D37" s="437"/>
      <c r="E37" s="368"/>
      <c r="F37" s="388">
        <f>A37-C37</f>
        <v>19600.004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11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C15</f>
        <v>3433.334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 t="str">
        <f>IF(F43="Yes",A46,0)</f>
        <v>50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12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202.777833333333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347.222166666667</v>
      </c>
      <c r="L45" s="240"/>
    </row>
    <row r="46" ht="19.5" spans="1:12">
      <c r="A46" s="268" t="s">
        <v>70</v>
      </c>
      <c r="B46" s="368"/>
      <c r="C46" s="437">
        <v>1</v>
      </c>
      <c r="D46" s="437"/>
      <c r="E46" s="368"/>
      <c r="F46" s="437">
        <v>0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1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1.66666666666667</v>
      </c>
      <c r="L48" s="240"/>
    </row>
    <row r="49" spans="1:12">
      <c r="A49" s="267">
        <f>C46+F46</f>
        <v>1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349.888833333333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299.888833333333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80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600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12</v>
      </c>
      <c r="B60" s="71">
        <f>K49</f>
        <v>349.888833333333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/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/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/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/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11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11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11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11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40526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40526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40526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40526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0.0105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14078.5984679751</v>
      </c>
      <c r="C74" s="368"/>
      <c r="D74" s="368"/>
      <c r="E74" s="262"/>
      <c r="F74" s="262"/>
      <c r="G74" s="262"/>
      <c r="H74" s="180"/>
      <c r="J74" s="275" t="s">
        <v>91</v>
      </c>
      <c r="K74" s="281" t="e">
        <f>(K98*K68)-(K47*K29)</f>
        <v>#VALUE!</v>
      </c>
      <c r="L74" s="368"/>
      <c r="M74" s="368"/>
      <c r="N74" s="262"/>
      <c r="O74" s="262"/>
      <c r="P74" s="262"/>
      <c r="Q74" s="180"/>
      <c r="S74" s="275" t="s">
        <v>91</v>
      </c>
      <c r="T74" s="281" t="e">
        <f>(T98*T68)-(K47*K29)</f>
        <v>#VALUE!</v>
      </c>
      <c r="U74" s="368"/>
      <c r="V74" s="368"/>
      <c r="W74" s="262"/>
      <c r="X74" s="262"/>
      <c r="Y74" s="262"/>
      <c r="Z74" s="180"/>
      <c r="AB74" s="275" t="s">
        <v>91</v>
      </c>
      <c r="AC74" s="281" t="e">
        <f>(AC98*AC68)-(K47*K29)</f>
        <v>#VALUE!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0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2026.3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202.63</v>
      </c>
      <c r="U77" s="368"/>
      <c r="V77" s="368"/>
      <c r="W77" s="262"/>
      <c r="X77" s="262"/>
      <c r="Y77" s="262"/>
      <c r="Z77" s="180"/>
      <c r="AB77" s="275" t="s">
        <v>94</v>
      </c>
      <c r="AC77" s="281" t="e">
        <f>AH167*AC76</f>
        <v>#VALUE!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349.888833333333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1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349.888833333333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349.888833333333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19600.004</v>
      </c>
      <c r="C90" s="368"/>
      <c r="D90" s="368"/>
      <c r="E90" s="262"/>
      <c r="F90" s="264" t="s">
        <v>106</v>
      </c>
      <c r="G90" s="266">
        <f>F37</f>
        <v>19600.004</v>
      </c>
      <c r="H90" s="180"/>
      <c r="J90" s="264" t="s">
        <v>106</v>
      </c>
      <c r="K90" s="266" t="e">
        <f>P167</f>
        <v>#VALUE!</v>
      </c>
      <c r="L90" s="368"/>
      <c r="M90" s="368"/>
      <c r="N90" s="262"/>
      <c r="O90" s="262"/>
      <c r="P90" s="262"/>
      <c r="Q90" s="180"/>
      <c r="S90" s="264" t="s">
        <v>106</v>
      </c>
      <c r="T90" s="266" t="e">
        <f>Y167</f>
        <v>#VALUE!</v>
      </c>
      <c r="U90" s="368"/>
      <c r="V90" s="368"/>
      <c r="W90" s="262"/>
      <c r="X90" s="262"/>
      <c r="Y90" s="262"/>
      <c r="Z90" s="180"/>
      <c r="AB90" s="264" t="s">
        <v>106</v>
      </c>
      <c r="AC90" s="266" t="e">
        <f>AH167</f>
        <v>#VALUE!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IF(A111="YES",A43,0)*1.2</f>
        <v>7200</v>
      </c>
      <c r="C91" s="368"/>
      <c r="D91" s="368"/>
      <c r="E91" s="262"/>
      <c r="F91" s="245" t="s">
        <v>107</v>
      </c>
      <c r="G91" s="180">
        <f>IF(A111="YES",A43,0)*1.2</f>
        <v>7200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0.1255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0.0104583333333333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11</v>
      </c>
      <c r="C94" s="368"/>
      <c r="D94" s="368"/>
      <c r="E94" s="262"/>
      <c r="F94" s="245" t="s">
        <v>110</v>
      </c>
      <c r="G94" s="180">
        <f>IF(G91=0,(B68+B67),(B68))</f>
        <v>11</v>
      </c>
      <c r="H94" s="180"/>
      <c r="J94" s="245" t="s">
        <v>110</v>
      </c>
      <c r="K94" s="180">
        <f>IF(K91=0,(K68+K67),(K68))</f>
        <v>12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11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11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6354.94179987962</v>
      </c>
      <c r="C95" s="368"/>
      <c r="D95" s="368"/>
      <c r="E95" s="262"/>
      <c r="F95" s="245" t="s">
        <v>111</v>
      </c>
      <c r="G95" s="180">
        <f>(G91/((1+G93)^(G94+1)))</f>
        <v>6748.06930144099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10.6125560515631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10.6125560515631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10.3399216528992</v>
      </c>
      <c r="C96" s="368"/>
      <c r="D96" s="368"/>
      <c r="E96" s="262"/>
      <c r="F96" s="245" t="s">
        <v>112</v>
      </c>
      <c r="G96" s="180">
        <f>((1-(1/((1+G93)^G94)))/G93)</f>
        <v>10.6507347822959</v>
      </c>
      <c r="H96" s="180"/>
      <c r="J96" s="245" t="s">
        <v>112</v>
      </c>
      <c r="K96" s="180">
        <f>((1-(1/((1+K93)^K94)))/K93)</f>
        <v>10.5753412209172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10.3499842839909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10.3499842839909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13245.0622001204</v>
      </c>
      <c r="C97" s="368"/>
      <c r="D97" s="368"/>
      <c r="E97" s="262"/>
      <c r="F97" s="245" t="s">
        <v>113</v>
      </c>
      <c r="G97" s="180">
        <f>G90-G95</f>
        <v>12851.934698559</v>
      </c>
      <c r="H97" s="180"/>
      <c r="J97" s="245" t="s">
        <v>113</v>
      </c>
      <c r="K97" s="180" t="e">
        <f>K90-K95</f>
        <v>#VALUE!</v>
      </c>
      <c r="L97" s="368"/>
      <c r="M97" s="368"/>
      <c r="N97" s="262"/>
      <c r="O97" s="262"/>
      <c r="P97" s="262"/>
      <c r="Q97" s="180"/>
      <c r="S97" s="245" t="s">
        <v>113</v>
      </c>
      <c r="T97" s="180" t="e">
        <f>T90-T95</f>
        <v>#VALUE!</v>
      </c>
      <c r="U97" s="368"/>
      <c r="V97" s="368"/>
      <c r="W97" s="262"/>
      <c r="X97" s="262"/>
      <c r="Y97" s="262"/>
      <c r="Z97" s="180"/>
      <c r="AB97" s="245" t="s">
        <v>113</v>
      </c>
      <c r="AC97" s="180" t="e">
        <f>AC90-AC95</f>
        <v>#VALUE!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1280.96349708865</v>
      </c>
      <c r="C98" s="368"/>
      <c r="D98" s="368"/>
      <c r="E98" s="262"/>
      <c r="F98" s="245" t="s">
        <v>114</v>
      </c>
      <c r="G98" s="180">
        <f>(G97/G96)</f>
        <v>1206.67117914926</v>
      </c>
      <c r="H98" s="180"/>
      <c r="J98" s="245" t="s">
        <v>114</v>
      </c>
      <c r="K98" s="180" t="e">
        <f>(K97/K96)</f>
        <v>#VALUE!</v>
      </c>
      <c r="L98" s="368"/>
      <c r="M98" s="368"/>
      <c r="N98" s="262"/>
      <c r="O98" s="262"/>
      <c r="P98" s="262"/>
      <c r="Q98" s="180"/>
      <c r="S98" s="245" t="s">
        <v>114</v>
      </c>
      <c r="T98" s="180" t="e">
        <f>(T97/T96)</f>
        <v>#VALUE!</v>
      </c>
      <c r="U98" s="368"/>
      <c r="V98" s="368"/>
      <c r="W98" s="262"/>
      <c r="X98" s="262"/>
      <c r="Y98" s="262"/>
      <c r="Z98" s="180"/>
      <c r="AB98" s="245" t="s">
        <v>114</v>
      </c>
      <c r="AC98" s="180" t="e">
        <f>(AC97/AC96)</f>
        <v>#VALUE!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14090.5984679751</v>
      </c>
      <c r="C99" s="368"/>
      <c r="D99" s="368"/>
      <c r="E99" s="262"/>
      <c r="F99" s="245" t="s">
        <v>115</v>
      </c>
      <c r="G99" s="180">
        <f>((G98*(G94))+G86)</f>
        <v>13273.3829706419</v>
      </c>
      <c r="H99" s="180"/>
      <c r="J99" s="245" t="s">
        <v>115</v>
      </c>
      <c r="K99" s="180" t="e">
        <f>((K98*(K94))+K86)</f>
        <v>#VALUE!</v>
      </c>
      <c r="L99" s="368"/>
      <c r="M99" s="368"/>
      <c r="N99" s="262"/>
      <c r="O99" s="262"/>
      <c r="P99" s="262"/>
      <c r="Q99" s="180"/>
      <c r="S99" s="245" t="s">
        <v>115</v>
      </c>
      <c r="T99" s="180" t="e">
        <f>(T98*(T94))+T86</f>
        <v>#VALUE!</v>
      </c>
      <c r="U99" s="368"/>
      <c r="V99" s="368"/>
      <c r="W99" s="262"/>
      <c r="X99" s="262"/>
      <c r="Y99" s="262"/>
      <c r="Z99" s="180"/>
      <c r="AB99" s="245" t="s">
        <v>115</v>
      </c>
      <c r="AC99" s="180" t="e">
        <f>(AC98*(AC68))+AC86</f>
        <v>#VALUE!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 t="e">
        <f>(K99/(1-K80))*K80</f>
        <v>#VALUE!</v>
      </c>
      <c r="L100" s="368"/>
      <c r="M100" s="368"/>
      <c r="N100" s="262"/>
      <c r="O100" s="262"/>
      <c r="P100" s="262"/>
      <c r="Q100" s="180"/>
      <c r="S100" s="245" t="s">
        <v>116</v>
      </c>
      <c r="T100" s="180" t="e">
        <f>(T99/(1-T80))*T80</f>
        <v>#VALUE!</v>
      </c>
      <c r="U100" s="368"/>
      <c r="V100" s="368"/>
      <c r="W100" s="262"/>
      <c r="X100" s="262"/>
      <c r="Y100" s="262"/>
      <c r="Z100" s="180"/>
      <c r="AB100" s="245" t="s">
        <v>116</v>
      </c>
      <c r="AC100" s="180" t="e">
        <f>(AC99/(1-AC80))*AC80</f>
        <v>#VALUE!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14090.5984679751</v>
      </c>
      <c r="C101" s="368"/>
      <c r="D101" s="368"/>
      <c r="E101" s="262"/>
      <c r="F101" s="275" t="s">
        <v>117</v>
      </c>
      <c r="G101" s="281">
        <f>(G99+G100)</f>
        <v>13273.3829706419</v>
      </c>
      <c r="H101" s="180"/>
      <c r="J101" s="275" t="s">
        <v>117</v>
      </c>
      <c r="K101" s="281" t="e">
        <f>(K99+K100)</f>
        <v>#VALUE!</v>
      </c>
      <c r="L101" s="368"/>
      <c r="M101" s="368"/>
      <c r="N101" s="262"/>
      <c r="O101" s="262"/>
      <c r="P101" s="262"/>
      <c r="Q101" s="180"/>
      <c r="S101" s="275" t="s">
        <v>117</v>
      </c>
      <c r="T101" s="281" t="e">
        <f>(T99+T100)</f>
        <v>#VALUE!</v>
      </c>
      <c r="U101" s="368"/>
      <c r="V101" s="368"/>
      <c r="W101" s="262"/>
      <c r="X101" s="262"/>
      <c r="Y101" s="262"/>
      <c r="Z101" s="180"/>
      <c r="AB101" s="275" t="s">
        <v>117</v>
      </c>
      <c r="AC101" s="281" t="e">
        <f>(AC99+AC100)</f>
        <v>#VALUE!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((A46*A34)+((A46*A34)*A117))/(B68)*1.2</f>
        <v>85.0909090909091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1280.96349708865</v>
      </c>
      <c r="C104" s="368"/>
      <c r="D104" s="368"/>
      <c r="E104" s="262"/>
      <c r="F104" s="319" t="s">
        <v>119</v>
      </c>
      <c r="G104" s="320">
        <f>G101/(G94)</f>
        <v>1206.67117914926</v>
      </c>
      <c r="H104" s="180"/>
      <c r="J104" s="319" t="s">
        <v>119</v>
      </c>
      <c r="K104" s="320" t="e">
        <f>K101/(K94)</f>
        <v>#VALUE!</v>
      </c>
      <c r="L104" s="368"/>
      <c r="M104" s="368"/>
      <c r="N104" s="262"/>
      <c r="O104" s="262"/>
      <c r="P104" s="262"/>
      <c r="Q104" s="180"/>
      <c r="S104" s="319" t="s">
        <v>119</v>
      </c>
      <c r="T104" s="320" t="e">
        <f>T101/(T94)</f>
        <v>#VALUE!</v>
      </c>
      <c r="U104" s="368"/>
      <c r="V104" s="368"/>
      <c r="W104" s="262"/>
      <c r="X104" s="262"/>
      <c r="Y104" s="262"/>
      <c r="Z104" s="180"/>
      <c r="AB104" s="319" t="s">
        <v>119</v>
      </c>
      <c r="AC104" s="320" t="e">
        <f>AC101/(AC68)</f>
        <v>#VALUE!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1366.05440617956</v>
      </c>
      <c r="C105" s="368"/>
      <c r="D105" s="368"/>
      <c r="E105" s="262" t="s">
        <v>18</v>
      </c>
      <c r="F105" s="321" t="s">
        <v>120</v>
      </c>
      <c r="G105" s="322">
        <f>G103+G104</f>
        <v>1206.67117914926</v>
      </c>
      <c r="H105" s="180"/>
      <c r="J105" s="321" t="s">
        <v>120</v>
      </c>
      <c r="K105" s="322" t="e">
        <f>(K103+K104)</f>
        <v>#VALUE!</v>
      </c>
      <c r="L105" s="368"/>
      <c r="M105" s="368"/>
      <c r="N105" s="262"/>
      <c r="O105" s="262"/>
      <c r="P105" s="262"/>
      <c r="Q105" s="180"/>
      <c r="S105" s="321" t="s">
        <v>120</v>
      </c>
      <c r="T105" s="322" t="e">
        <f>T103+T104</f>
        <v>#VALUE!</v>
      </c>
      <c r="U105" s="368"/>
      <c r="V105" s="368"/>
      <c r="W105" s="262"/>
      <c r="X105" s="262"/>
      <c r="Y105" s="262"/>
      <c r="Z105" s="180"/>
      <c r="AB105" s="321" t="s">
        <v>120</v>
      </c>
      <c r="AC105" s="322" t="e">
        <f>AC103+AC104</f>
        <v>#VALUE!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 t="s">
        <v>121</v>
      </c>
      <c r="C108" s="262"/>
      <c r="D108" s="262">
        <v>0</v>
      </c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 t="s">
        <v>130</v>
      </c>
      <c r="C114" s="133"/>
      <c r="D114" s="133"/>
      <c r="E114" s="48" t="s">
        <v>19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0.3</v>
      </c>
      <c r="B117" s="102" t="s">
        <v>134</v>
      </c>
      <c r="C117" s="102"/>
      <c r="D117" s="102"/>
      <c r="E117" s="327">
        <f>B92</f>
        <v>0.1255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/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143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91"/>
      <c r="C127" s="291"/>
      <c r="D127" s="291"/>
      <c r="E127" s="291"/>
      <c r="F127" s="291"/>
      <c r="G127" s="291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335">
        <f>E19</f>
        <v>20600.004</v>
      </c>
      <c r="C130" s="336">
        <v>0</v>
      </c>
      <c r="D130" s="335">
        <f>D12</f>
        <v>0</v>
      </c>
      <c r="E130" s="336">
        <f>D130</f>
        <v>0</v>
      </c>
      <c r="F130" s="335">
        <v>0</v>
      </c>
      <c r="G130" s="336">
        <f>F130</f>
        <v>0</v>
      </c>
      <c r="H130" s="337">
        <f>H12</f>
        <v>0</v>
      </c>
      <c r="J130" s="264" t="s">
        <v>151</v>
      </c>
      <c r="K130" s="264">
        <f>B3</f>
        <v>0</v>
      </c>
      <c r="L130" s="268">
        <v>28629.17</v>
      </c>
      <c r="M130" s="264">
        <f>D3</f>
        <v>0</v>
      </c>
      <c r="N130" s="268">
        <f>M130</f>
        <v>0</v>
      </c>
      <c r="O130" s="264" t="str">
        <f>F3</f>
        <v> </v>
      </c>
      <c r="P130" s="268" t="str">
        <f>O130</f>
        <v> </v>
      </c>
      <c r="Q130" s="337">
        <f>H3</f>
        <v>0</v>
      </c>
      <c r="S130" s="264" t="s">
        <v>151</v>
      </c>
      <c r="T130" s="264">
        <f>B3</f>
        <v>0</v>
      </c>
      <c r="U130" s="268">
        <f>T130</f>
        <v>0</v>
      </c>
      <c r="V130" s="264">
        <f>D3</f>
        <v>0</v>
      </c>
      <c r="W130" s="268">
        <f>V130</f>
        <v>0</v>
      </c>
      <c r="X130" s="264" t="str">
        <f>F3</f>
        <v> </v>
      </c>
      <c r="Y130" s="268" t="str">
        <f>X130</f>
        <v> </v>
      </c>
      <c r="Z130" s="337">
        <f>H3</f>
        <v>0</v>
      </c>
      <c r="AB130" s="264" t="s">
        <v>151</v>
      </c>
      <c r="AC130" s="264">
        <f>B3</f>
        <v>0</v>
      </c>
      <c r="AD130" s="268">
        <f>AC130</f>
        <v>0</v>
      </c>
      <c r="AE130" s="264">
        <f>D3</f>
        <v>0</v>
      </c>
      <c r="AF130" s="268">
        <f>AE130</f>
        <v>0</v>
      </c>
      <c r="AG130" s="264" t="str">
        <f>F3</f>
        <v> </v>
      </c>
      <c r="AH130" s="268" t="str">
        <f>AG130</f>
        <v> </v>
      </c>
      <c r="AI130" s="337">
        <f>H3</f>
        <v>0</v>
      </c>
    </row>
    <row r="131" ht="19.5" spans="1:35">
      <c r="A131" s="245" t="s">
        <v>152</v>
      </c>
      <c r="B131" s="338">
        <v>0</v>
      </c>
      <c r="C131" s="248">
        <f>B131</f>
        <v>0</v>
      </c>
      <c r="D131" s="338">
        <v>0</v>
      </c>
      <c r="E131" s="248">
        <f>D131</f>
        <v>0</v>
      </c>
      <c r="F131" s="338">
        <v>0</v>
      </c>
      <c r="G131" s="412">
        <f>F131</f>
        <v>0</v>
      </c>
      <c r="H131" s="249"/>
      <c r="J131" s="245" t="s">
        <v>152</v>
      </c>
      <c r="K131" s="449">
        <f>B4</f>
        <v>20600.004</v>
      </c>
      <c r="L131" s="451">
        <v>0</v>
      </c>
      <c r="M131" s="449">
        <f>D4</f>
        <v>0</v>
      </c>
      <c r="N131" s="451">
        <f>M131</f>
        <v>0</v>
      </c>
      <c r="O131" s="449" t="str">
        <f>F4</f>
        <v> </v>
      </c>
      <c r="P131" s="451" t="str">
        <f>O131</f>
        <v> </v>
      </c>
      <c r="Q131" s="435"/>
      <c r="S131" s="245" t="s">
        <v>152</v>
      </c>
      <c r="T131" s="449">
        <f>B4</f>
        <v>20600.004</v>
      </c>
      <c r="U131" s="451">
        <v>0.25</v>
      </c>
      <c r="V131" s="449">
        <f>D4</f>
        <v>0</v>
      </c>
      <c r="W131" s="451">
        <f>V131</f>
        <v>0</v>
      </c>
      <c r="X131" s="449" t="str">
        <f>F4</f>
        <v> </v>
      </c>
      <c r="Y131" s="451" t="str">
        <f>X131</f>
        <v> </v>
      </c>
      <c r="Z131" s="435"/>
      <c r="AB131" s="245" t="s">
        <v>152</v>
      </c>
      <c r="AC131" s="449">
        <f>B4</f>
        <v>20600.004</v>
      </c>
      <c r="AD131" s="451">
        <v>0.25</v>
      </c>
      <c r="AE131" s="449">
        <f>D4</f>
        <v>0</v>
      </c>
      <c r="AF131" s="451">
        <f>AE131</f>
        <v>0</v>
      </c>
      <c r="AG131" s="449" t="str">
        <f>F4</f>
        <v> </v>
      </c>
      <c r="AH131" s="451" t="str">
        <f>AG131</f>
        <v> </v>
      </c>
      <c r="AI131" s="435"/>
    </row>
    <row r="132" ht="19.5" spans="1:35">
      <c r="A132" s="245" t="s">
        <v>153</v>
      </c>
      <c r="B132" s="340">
        <v>0</v>
      </c>
      <c r="C132" s="336">
        <f>B132</f>
        <v>0</v>
      </c>
      <c r="D132" s="340">
        <v>0</v>
      </c>
      <c r="E132" s="336">
        <f>D132</f>
        <v>0</v>
      </c>
      <c r="F132" s="340">
        <v>0</v>
      </c>
      <c r="G132" s="336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 t="str">
        <f>F5</f>
        <v> </v>
      </c>
      <c r="P132" s="268" t="str">
        <f>O132</f>
        <v> 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 t="str">
        <f>F5</f>
        <v> </v>
      </c>
      <c r="Y132" s="268" t="str">
        <f>X132</f>
        <v> 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 t="str">
        <f>F5</f>
        <v> </v>
      </c>
      <c r="AH132" s="268" t="str">
        <f>AG132</f>
        <v> </v>
      </c>
      <c r="AI132" s="180"/>
    </row>
    <row r="133" spans="1:35">
      <c r="A133" s="245" t="s">
        <v>154</v>
      </c>
      <c r="B133" s="340">
        <f>(B130*B131)+B132</f>
        <v>0</v>
      </c>
      <c r="C133" s="95">
        <f>(C130*C131/100)+C132</f>
        <v>0</v>
      </c>
      <c r="D133" s="340">
        <f>(D130*D131)+D132</f>
        <v>0</v>
      </c>
      <c r="E133" s="95">
        <f>(E130*E131/100)+E132</f>
        <v>0</v>
      </c>
      <c r="F133" s="340">
        <f>(F130*F131)+F132</f>
        <v>0</v>
      </c>
      <c r="G133" s="95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 t="e">
        <f t="shared" si="0"/>
        <v>#VALUE!</v>
      </c>
      <c r="P133" s="266" t="e">
        <f t="shared" si="0"/>
        <v>#VALUE!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0</v>
      </c>
      <c r="V133" s="245">
        <f t="shared" si="1"/>
        <v>0</v>
      </c>
      <c r="W133" s="266">
        <f t="shared" si="1"/>
        <v>0</v>
      </c>
      <c r="X133" s="245" t="e">
        <f t="shared" si="1"/>
        <v>#VALUE!</v>
      </c>
      <c r="Y133" s="266" t="e">
        <f t="shared" si="1"/>
        <v>#VALUE!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0</v>
      </c>
      <c r="AE133" s="245">
        <f t="shared" si="2"/>
        <v>0</v>
      </c>
      <c r="AF133" s="266">
        <f t="shared" si="2"/>
        <v>0</v>
      </c>
      <c r="AG133" s="245" t="e">
        <f t="shared" si="2"/>
        <v>#VALUE!</v>
      </c>
      <c r="AH133" s="266" t="e">
        <f t="shared" si="2"/>
        <v>#VALUE!</v>
      </c>
      <c r="AI133" s="180"/>
    </row>
    <row r="134" ht="19.5" spans="1:35">
      <c r="A134" s="275" t="s">
        <v>155</v>
      </c>
      <c r="B134" s="341">
        <f t="shared" ref="B134:G134" si="3">B130-B133</f>
        <v>20600.004</v>
      </c>
      <c r="C134" s="80">
        <f t="shared" si="3"/>
        <v>0</v>
      </c>
      <c r="D134" s="341">
        <f t="shared" si="3"/>
        <v>0</v>
      </c>
      <c r="E134" s="80">
        <f t="shared" si="3"/>
        <v>0</v>
      </c>
      <c r="F134" s="341">
        <f t="shared" si="3"/>
        <v>0</v>
      </c>
      <c r="G134" s="80">
        <f t="shared" si="3"/>
        <v>0</v>
      </c>
      <c r="H134" s="281"/>
      <c r="J134" s="275" t="s">
        <v>155</v>
      </c>
      <c r="K134" s="275">
        <f t="shared" ref="K134:P134" si="4">K130-K133</f>
        <v>0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 t="e">
        <f t="shared" si="4"/>
        <v>#VALUE!</v>
      </c>
      <c r="P134" s="281" t="e">
        <f t="shared" si="4"/>
        <v>#VALUE!</v>
      </c>
      <c r="Q134" s="281"/>
      <c r="S134" s="275" t="s">
        <v>155</v>
      </c>
      <c r="T134" s="275">
        <f t="shared" ref="T134:Y134" si="5">T130-T133</f>
        <v>0</v>
      </c>
      <c r="U134" s="281">
        <f t="shared" si="5"/>
        <v>0</v>
      </c>
      <c r="V134" s="275">
        <f t="shared" si="5"/>
        <v>0</v>
      </c>
      <c r="W134" s="281">
        <f t="shared" si="5"/>
        <v>0</v>
      </c>
      <c r="X134" s="275" t="e">
        <f t="shared" si="5"/>
        <v>#VALUE!</v>
      </c>
      <c r="Y134" s="281" t="e">
        <f t="shared" si="5"/>
        <v>#VALUE!</v>
      </c>
      <c r="Z134" s="281"/>
      <c r="AB134" s="275" t="s">
        <v>155</v>
      </c>
      <c r="AC134" s="275">
        <f t="shared" ref="AC134:AH134" si="6">AC130-AC133</f>
        <v>0</v>
      </c>
      <c r="AD134" s="281">
        <f t="shared" si="6"/>
        <v>0</v>
      </c>
      <c r="AE134" s="275">
        <f t="shared" si="6"/>
        <v>0</v>
      </c>
      <c r="AF134" s="281">
        <f t="shared" si="6"/>
        <v>0</v>
      </c>
      <c r="AG134" s="275" t="e">
        <f t="shared" si="6"/>
        <v>#VALUE!</v>
      </c>
      <c r="AH134" s="281" t="e">
        <f t="shared" si="6"/>
        <v>#VALUE!</v>
      </c>
      <c r="AI134" s="281"/>
    </row>
    <row r="135" spans="1:35">
      <c r="A135" s="245"/>
      <c r="B135" s="250"/>
      <c r="C135" s="250"/>
      <c r="D135" s="250"/>
      <c r="E135" s="250"/>
      <c r="F135" s="250"/>
      <c r="G135" s="250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343"/>
      <c r="C136" s="343"/>
      <c r="D136" s="343"/>
      <c r="E136" s="343"/>
      <c r="F136" s="343"/>
      <c r="G136" s="252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250"/>
      <c r="C138" s="250"/>
      <c r="D138" s="250"/>
      <c r="E138" s="250"/>
      <c r="F138" s="250"/>
      <c r="G138" s="350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250"/>
      <c r="C143" s="250"/>
      <c r="D143" s="250"/>
      <c r="E143" s="250"/>
      <c r="F143" s="250"/>
      <c r="G143" s="350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252">
        <f>E21</f>
        <v>17166.67</v>
      </c>
      <c r="H144" s="354">
        <f>C134+E134+G134+H137</f>
        <v>0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7">H9</f>
        <v>0</v>
      </c>
      <c r="Q144" s="354" t="e">
        <f>L134+N134+P134+Q137</f>
        <v>#VALUE!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8">H9</f>
        <v>0</v>
      </c>
      <c r="Z144" s="354" t="e">
        <f>U134+W134+Y134+Z137</f>
        <v>#VALUE!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9">H9</f>
        <v>0</v>
      </c>
      <c r="AI144" s="354" t="e">
        <f>AD134+AF134+AH134+AI137</f>
        <v>#VALUE!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5">
        <f>H19</f>
        <v>0</v>
      </c>
      <c r="H145" s="180">
        <f>G145</f>
        <v>0</v>
      </c>
      <c r="J145" s="254" t="s">
        <v>164</v>
      </c>
      <c r="K145" s="254"/>
      <c r="L145" s="254"/>
      <c r="M145" s="254"/>
      <c r="N145" s="254"/>
      <c r="O145" s="254"/>
      <c r="P145" s="392">
        <f t="shared" si="7"/>
        <v>0</v>
      </c>
      <c r="Q145" s="180">
        <f>P145</f>
        <v>0</v>
      </c>
      <c r="S145" s="254" t="s">
        <v>164</v>
      </c>
      <c r="T145" s="254"/>
      <c r="U145" s="254"/>
      <c r="V145" s="254"/>
      <c r="W145" s="254"/>
      <c r="X145" s="254"/>
      <c r="Y145" s="392">
        <f t="shared" si="8"/>
        <v>0</v>
      </c>
      <c r="Z145" s="180">
        <f>Y145</f>
        <v>0</v>
      </c>
      <c r="AB145" s="254" t="s">
        <v>164</v>
      </c>
      <c r="AC145" s="254"/>
      <c r="AD145" s="254"/>
      <c r="AE145" s="254"/>
      <c r="AF145" s="254"/>
      <c r="AG145" s="254"/>
      <c r="AH145" s="392">
        <f t="shared" si="9"/>
        <v>0</v>
      </c>
      <c r="AI145" s="180">
        <f>AH145</f>
        <v>0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180">
        <f>(G144+G145)*20%</f>
        <v>3433.334</v>
      </c>
      <c r="H146" s="180">
        <f>(H144+H145)*20%</f>
        <v>0</v>
      </c>
      <c r="J146" s="254" t="s">
        <v>165</v>
      </c>
      <c r="K146" s="254"/>
      <c r="L146" s="254"/>
      <c r="M146" s="254"/>
      <c r="N146" s="254"/>
      <c r="O146" s="254"/>
      <c r="P146" s="392">
        <f t="shared" si="7"/>
        <v>0</v>
      </c>
      <c r="Q146" s="180" t="e">
        <f>(Q144+Q145)*20%</f>
        <v>#VALUE!</v>
      </c>
      <c r="S146" s="254" t="s">
        <v>165</v>
      </c>
      <c r="T146" s="254"/>
      <c r="U146" s="254"/>
      <c r="V146" s="254"/>
      <c r="W146" s="254"/>
      <c r="X146" s="254"/>
      <c r="Y146" s="392">
        <f t="shared" si="8"/>
        <v>0</v>
      </c>
      <c r="Z146" s="180" t="e">
        <f>(Z144+Z145)*20%</f>
        <v>#VALUE!</v>
      </c>
      <c r="AB146" s="254" t="s">
        <v>165</v>
      </c>
      <c r="AC146" s="254"/>
      <c r="AD146" s="254"/>
      <c r="AE146" s="254"/>
      <c r="AF146" s="254"/>
      <c r="AG146" s="254"/>
      <c r="AH146" s="392">
        <f t="shared" si="9"/>
        <v>0</v>
      </c>
      <c r="AI146" s="180" t="e">
        <f>(AI144+AI145)*20%</f>
        <v>#VALUE!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5">
        <f>H21</f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7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8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9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5">
        <f>H22</f>
        <v>0</v>
      </c>
      <c r="H148" s="180">
        <f>G148</f>
        <v>0</v>
      </c>
      <c r="J148" s="254" t="s">
        <v>167</v>
      </c>
      <c r="K148" s="254"/>
      <c r="L148" s="254"/>
      <c r="M148" s="254"/>
      <c r="N148" s="254"/>
      <c r="O148" s="254"/>
      <c r="P148" s="392">
        <f t="shared" si="7"/>
        <v>0</v>
      </c>
      <c r="Q148" s="180">
        <f>P148</f>
        <v>0</v>
      </c>
      <c r="S148" s="254" t="s">
        <v>167</v>
      </c>
      <c r="T148" s="254"/>
      <c r="U148" s="254"/>
      <c r="V148" s="254"/>
      <c r="W148" s="254"/>
      <c r="X148" s="254"/>
      <c r="Y148" s="392">
        <f t="shared" si="8"/>
        <v>0</v>
      </c>
      <c r="Z148" s="180">
        <f>Y148</f>
        <v>0</v>
      </c>
      <c r="AB148" s="254" t="s">
        <v>167</v>
      </c>
      <c r="AC148" s="254"/>
      <c r="AD148" s="254"/>
      <c r="AE148" s="254"/>
      <c r="AF148" s="254"/>
      <c r="AG148" s="254"/>
      <c r="AH148" s="392">
        <f t="shared" si="9"/>
        <v>0</v>
      </c>
      <c r="AI148" s="180">
        <f>AH148</f>
        <v>0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5">
        <f>H23</f>
        <v>0</v>
      </c>
      <c r="H149" s="180">
        <f>G149</f>
        <v>0</v>
      </c>
      <c r="J149" s="254" t="s">
        <v>168</v>
      </c>
      <c r="K149" s="254"/>
      <c r="L149" s="254"/>
      <c r="M149" s="254"/>
      <c r="N149" s="254"/>
      <c r="O149" s="254"/>
      <c r="P149" s="392">
        <f t="shared" si="7"/>
        <v>0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8"/>
        <v>0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9"/>
        <v>0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356">
        <f>(G144+G145+G148+G149+G146)-G147</f>
        <v>20600.004</v>
      </c>
      <c r="H150" s="356">
        <f>(H144+H145+H148+H149+H146)-H147</f>
        <v>0</v>
      </c>
      <c r="J150" s="254" t="s">
        <v>169</v>
      </c>
      <c r="K150" s="254"/>
      <c r="L150" s="254"/>
      <c r="M150" s="254"/>
      <c r="N150" s="254"/>
      <c r="O150" s="254"/>
      <c r="P150" s="453">
        <f t="shared" si="7"/>
        <v>0</v>
      </c>
      <c r="Q150" s="356" t="e">
        <f>(Q144+Q145+Q148+Q149+Q146)-Q147</f>
        <v>#VALUE!</v>
      </c>
      <c r="S150" s="254" t="s">
        <v>169</v>
      </c>
      <c r="T150" s="254"/>
      <c r="U150" s="254"/>
      <c r="V150" s="254"/>
      <c r="W150" s="254"/>
      <c r="X150" s="254"/>
      <c r="Y150" s="453">
        <f t="shared" si="8"/>
        <v>0</v>
      </c>
      <c r="Z150" s="356" t="e">
        <f>(Z144+Z145+Z148+Z149+Z146)-Z147</f>
        <v>#VALUE!</v>
      </c>
      <c r="AB150" s="254" t="s">
        <v>169</v>
      </c>
      <c r="AC150" s="254"/>
      <c r="AD150" s="254"/>
      <c r="AE150" s="254"/>
      <c r="AF150" s="254"/>
      <c r="AG150" s="254"/>
      <c r="AH150" s="453">
        <f t="shared" si="9"/>
        <v>0</v>
      </c>
      <c r="AI150" s="356" t="e">
        <f>(AI144+AI145+AI148+AI149+AI146)-AI147</f>
        <v>#VALUE!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268">
        <f>F151</f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7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8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9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80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>
        <v>0</v>
      </c>
      <c r="C153" s="257"/>
      <c r="D153" s="257"/>
      <c r="E153" s="257"/>
      <c r="F153" s="257"/>
      <c r="G153" s="268">
        <v>0</v>
      </c>
      <c r="H153" s="268"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268"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268"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359">
        <f>G150-((G153*1.2)+(G154*1.2)+(G155*1.2)+(G151*1.2))</f>
        <v>20600.004</v>
      </c>
      <c r="H156" s="359">
        <f>H150-((H153*1.2)+(H154*1.2)+(H155*1.2)+(H151*1.2))</f>
        <v>0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0</v>
      </c>
      <c r="Q156" s="359" t="e">
        <f>Q150-((Q153*1.2)+(Q154*1.2)+(Q155*1.2)+(Q151*1.2))</f>
        <v>#VALUE!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0</v>
      </c>
      <c r="Z156" s="359" t="e">
        <f>Z150-((Z153*1.2)+(Z154*1.2)+(Z155*1.2)+(Z151*1.2))</f>
        <v>#VALUE!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0</v>
      </c>
      <c r="AI156" s="359" t="e">
        <f>AI150-((AI153*1.2)+(AI154*1.2)+(AI155*1.2)+(AI151*1.2))</f>
        <v>#VALUE!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5"/>
      <c r="H157" s="268">
        <f>((H156-G156)-(H146-G146))+((I155-I154)*0.2)</f>
        <v>-17166.67</v>
      </c>
      <c r="I157" s="239">
        <f>(H157-G90)/1.2</f>
        <v>-30638.895</v>
      </c>
      <c r="J157" s="254" t="s">
        <v>174</v>
      </c>
      <c r="K157" s="254"/>
      <c r="L157" s="254"/>
      <c r="M157" s="254"/>
      <c r="N157" s="254"/>
      <c r="O157" s="254"/>
      <c r="P157" s="392"/>
      <c r="Q157" s="268" t="e">
        <f>Q156-P156</f>
        <v>#VALUE!</v>
      </c>
      <c r="S157" s="254" t="s">
        <v>174</v>
      </c>
      <c r="T157" s="254"/>
      <c r="U157" s="254"/>
      <c r="V157" s="254"/>
      <c r="W157" s="254"/>
      <c r="X157" s="254"/>
      <c r="Y157" s="392"/>
      <c r="Z157" s="268" t="e">
        <f>Z156-Y156</f>
        <v>#VALUE!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 t="e">
        <f>AI156-AH156</f>
        <v>#VALUE!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0</v>
      </c>
      <c r="H167" s="362"/>
      <c r="J167" s="361" t="s">
        <v>181</v>
      </c>
      <c r="K167" s="368"/>
      <c r="L167" s="368"/>
      <c r="M167" s="262"/>
      <c r="N167" s="368"/>
      <c r="O167" s="262"/>
      <c r="P167" s="362" t="e">
        <f>Q156-P163-P166</f>
        <v>#VALUE!</v>
      </c>
      <c r="Q167" s="362"/>
      <c r="S167" s="361" t="s">
        <v>181</v>
      </c>
      <c r="T167" s="368"/>
      <c r="U167" s="368"/>
      <c r="V167" s="262"/>
      <c r="W167" s="368"/>
      <c r="X167" s="262"/>
      <c r="Y167" s="362" t="e">
        <f>Z156-Y163-Y166</f>
        <v>#VALUE!</v>
      </c>
      <c r="Z167" s="362"/>
      <c r="AB167" s="361" t="s">
        <v>181</v>
      </c>
      <c r="AC167" s="368"/>
      <c r="AD167" s="368"/>
      <c r="AE167" s="262"/>
      <c r="AF167" s="368"/>
      <c r="AG167" s="262"/>
      <c r="AH167" s="362" t="e">
        <f>AI156-AH163-AH166</f>
        <v>#VALUE!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239.99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7200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1280.96349708865</v>
      </c>
      <c r="B176" s="126">
        <f>B103</f>
        <v>85.0909090909091</v>
      </c>
      <c r="C176" s="365"/>
      <c r="D176" s="365"/>
      <c r="E176" s="126">
        <f>B105</f>
        <v>1366.05440617956</v>
      </c>
      <c r="F176" s="262"/>
      <c r="G176" s="262">
        <f>ROUND(G104,2)</f>
        <v>1206.67</v>
      </c>
      <c r="H176" s="180"/>
      <c r="J176" s="366" t="e">
        <f>K104</f>
        <v>#VALUE!</v>
      </c>
      <c r="K176" s="458">
        <f>K103</f>
        <v>0</v>
      </c>
      <c r="L176" s="457"/>
      <c r="M176" s="457"/>
      <c r="N176" s="458" t="e">
        <f>K105</f>
        <v>#VALUE!</v>
      </c>
      <c r="O176" s="262"/>
      <c r="P176" s="262"/>
      <c r="Q176" s="180"/>
      <c r="S176" s="366" t="e">
        <f>T104</f>
        <v>#VALUE!</v>
      </c>
      <c r="T176" s="458">
        <f>T103</f>
        <v>0</v>
      </c>
      <c r="U176" s="457"/>
      <c r="V176" s="457"/>
      <c r="W176" s="458" t="e">
        <f>T105</f>
        <v>#VALUE!</v>
      </c>
      <c r="X176" s="262"/>
      <c r="Y176" s="262"/>
      <c r="Z176" s="180"/>
      <c r="AB176" s="366" t="e">
        <f>AC104</f>
        <v>#VALUE!</v>
      </c>
      <c r="AC176" s="458">
        <f>AC103</f>
        <v>0</v>
      </c>
      <c r="AD176" s="457"/>
      <c r="AE176" s="457"/>
      <c r="AF176" s="458" t="e">
        <f>AC105</f>
        <v>#VALUE!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>
        <f>B38</f>
        <v>0</v>
      </c>
      <c r="B179" s="42">
        <f>B39</f>
        <v>0</v>
      </c>
      <c r="C179" s="367"/>
      <c r="D179" s="262"/>
      <c r="E179" s="274">
        <v>6000</v>
      </c>
      <c r="F179" s="262"/>
      <c r="G179" s="262"/>
      <c r="H179" s="180"/>
      <c r="J179" s="270" t="str">
        <f>K29</f>
        <v>12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12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12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0</v>
      </c>
      <c r="B182" s="133">
        <f>H146</f>
        <v>0</v>
      </c>
      <c r="C182" s="272"/>
      <c r="D182" s="262"/>
      <c r="E182" s="274">
        <f>H148+H149</f>
        <v>0</v>
      </c>
      <c r="F182" s="262"/>
      <c r="G182" s="262"/>
      <c r="H182" s="180"/>
      <c r="J182" s="132" t="e">
        <f>Q150-Q146-Q148-Q149</f>
        <v>#VALUE!</v>
      </c>
      <c r="K182" s="127" t="e">
        <f>Q146</f>
        <v>#VALUE!</v>
      </c>
      <c r="L182" s="388"/>
      <c r="M182" s="262"/>
      <c r="N182" s="53">
        <f>Q148+Q149</f>
        <v>55</v>
      </c>
      <c r="O182" s="262"/>
      <c r="P182" s="262"/>
      <c r="Q182" s="180"/>
      <c r="S182" s="132" t="e">
        <f>Z150-Z146-Z148-Z149</f>
        <v>#VALUE!</v>
      </c>
      <c r="T182" s="127" t="e">
        <f>Z146</f>
        <v>#VALUE!</v>
      </c>
      <c r="U182" s="388"/>
      <c r="V182" s="262"/>
      <c r="W182" s="53">
        <f>Z148+Z149</f>
        <v>55</v>
      </c>
      <c r="X182" s="262"/>
      <c r="Y182" s="262"/>
      <c r="Z182" s="180"/>
      <c r="AB182" s="132" t="e">
        <f>AI150-AI146-AI148-AI149</f>
        <v>#VALUE!</v>
      </c>
      <c r="AC182" s="127" t="e">
        <f>AI146</f>
        <v>#VALUE!</v>
      </c>
      <c r="AD182" s="388"/>
      <c r="AE182" s="262"/>
      <c r="AF182" s="53">
        <f>AI148+AI149</f>
        <v>55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0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 t="e">
        <f>Q150</f>
        <v>#VALUE!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 t="e">
        <f>Z150</f>
        <v>#VALUE!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 t="e">
        <f>AI150</f>
        <v>#VALUE!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0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 t="e">
        <f>J185-J188-K188</f>
        <v>#VALUE!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 t="e">
        <f>S185-S188-T188</f>
        <v>#VALUE!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 t="e">
        <f>AB185-AB188-AC188</f>
        <v>#VALUE!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20090.5984679751</v>
      </c>
      <c r="B191" s="133" t="str">
        <f>B123</f>
        <v>239.99</v>
      </c>
      <c r="C191" s="133"/>
      <c r="D191" s="262"/>
      <c r="E191" s="133">
        <f>E188+A191+B191+A194</f>
        <v>20340.5884679751</v>
      </c>
      <c r="F191" s="262"/>
      <c r="G191" s="262"/>
      <c r="H191" s="141"/>
      <c r="J191" s="134" t="e">
        <f>(J176*K68)+N194-N188-J194</f>
        <v>#VALUE!</v>
      </c>
      <c r="K191" s="127">
        <f>K123</f>
        <v>239.99</v>
      </c>
      <c r="L191" s="127"/>
      <c r="M191" s="262"/>
      <c r="N191" s="127" t="e">
        <f>N188+J191+K191+J194</f>
        <v>#VALUE!</v>
      </c>
      <c r="O191" s="262"/>
      <c r="P191" s="262"/>
      <c r="Q191" s="141"/>
      <c r="S191" s="134" t="e">
        <f>(S176*T68)+W194-W188-S194</f>
        <v>#VALUE!</v>
      </c>
      <c r="T191" s="127">
        <f>T123</f>
        <v>199.99</v>
      </c>
      <c r="U191" s="127"/>
      <c r="V191" s="262"/>
      <c r="W191" s="127" t="e">
        <f>W188+S191+T191+S194</f>
        <v>#VALUE!</v>
      </c>
      <c r="X191" s="262"/>
      <c r="Y191" s="262"/>
      <c r="Z191" s="141"/>
      <c r="AB191" s="134" t="e">
        <f>(AB176*AC68)+AF194-AF188-AB194</f>
        <v>#VALUE!</v>
      </c>
      <c r="AC191" s="127">
        <f>AC123</f>
        <v>239.99</v>
      </c>
      <c r="AD191" s="127"/>
      <c r="AE191" s="262"/>
      <c r="AF191" s="127" t="e">
        <f>AF188+AB191+AC191+AB194</f>
        <v>#VALUE!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</f>
        <v>239.99</v>
      </c>
      <c r="C194" s="133"/>
      <c r="D194" s="262"/>
      <c r="E194" s="133">
        <f>E179+A194</f>
        <v>6010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J18*0.000002*100*1.2</f>
        <v>9.72624</v>
      </c>
      <c r="B197" s="133">
        <f>(G167*B76)/1.2</f>
        <v>0</v>
      </c>
      <c r="C197" s="250"/>
      <c r="D197" s="250"/>
      <c r="E197" s="133">
        <f>IF(E114="YES",(K55*A117*0.1),0)</f>
        <v>0</v>
      </c>
      <c r="F197" s="262"/>
      <c r="G197" s="262"/>
      <c r="H197" s="180"/>
      <c r="J197" s="134">
        <f>IF(N114="YES",H15*0.000002,0)</f>
        <v>0</v>
      </c>
      <c r="K197" s="127" t="e">
        <f>(P167*K76)/1.2</f>
        <v>#VALUE!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 t="e">
        <f>(Y167*T76)/1.2</f>
        <v>#VALUE!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 t="e">
        <f>(AH167*AC76)/1.2</f>
        <v>#VALUE!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(B191/1.2)-100</f>
        <v>99.9916666666667</v>
      </c>
      <c r="B200" s="133">
        <f>B197+E197+A200</f>
        <v>99.9916666666667</v>
      </c>
      <c r="C200" s="250"/>
      <c r="D200" s="250"/>
      <c r="E200" s="133">
        <f>H157</f>
        <v>-17166.67</v>
      </c>
      <c r="F200" s="262"/>
      <c r="G200" s="262"/>
      <c r="H200" s="180"/>
      <c r="J200" s="134">
        <f>K194-100</f>
        <v>1139.99</v>
      </c>
      <c r="K200" s="127" t="e">
        <f>K197+N197+J200</f>
        <v>#VALUE!</v>
      </c>
      <c r="L200" s="368"/>
      <c r="M200" s="368"/>
      <c r="N200" s="127" t="e">
        <f>Q157</f>
        <v>#VALUE!</v>
      </c>
      <c r="O200" s="262"/>
      <c r="P200" s="262"/>
      <c r="Q200" s="180"/>
      <c r="S200" s="134">
        <f>T194-100</f>
        <v>1099.99</v>
      </c>
      <c r="T200" s="127" t="e">
        <f>T197+W197+S200</f>
        <v>#VALUE!</v>
      </c>
      <c r="U200" s="368"/>
      <c r="V200" s="368"/>
      <c r="W200" s="127" t="e">
        <f>Z157</f>
        <v>#VALUE!</v>
      </c>
      <c r="X200" s="368"/>
      <c r="Y200" s="368"/>
      <c r="Z200" s="180"/>
      <c r="AB200" s="134">
        <f>AC194-100</f>
        <v>1139.99</v>
      </c>
      <c r="AC200" s="127" t="e">
        <f>AC197+AF197+AB200</f>
        <v>#VALUE!</v>
      </c>
      <c r="AD200" s="368"/>
      <c r="AE200" s="368"/>
      <c r="AF200" s="127" t="e">
        <f>AI157</f>
        <v>#VALUE!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12</v>
      </c>
      <c r="B206" s="71">
        <f>B105</f>
        <v>1366.05440617956</v>
      </c>
      <c r="C206" s="71"/>
      <c r="D206" s="71"/>
      <c r="E206" s="262"/>
      <c r="F206" s="262"/>
      <c r="G206" s="262"/>
      <c r="H206" s="180"/>
      <c r="J206" s="289" t="str">
        <f>K29</f>
        <v>12</v>
      </c>
      <c r="K206" s="71" t="e">
        <f>K105</f>
        <v>#VALUE!</v>
      </c>
      <c r="L206" s="71"/>
      <c r="M206" s="71"/>
      <c r="N206" s="262"/>
      <c r="O206" s="262"/>
      <c r="P206" s="262"/>
      <c r="Q206" s="180"/>
      <c r="S206" s="289" t="str">
        <f>K29</f>
        <v>12</v>
      </c>
      <c r="T206" s="71" t="e">
        <f>T105</f>
        <v>#VALUE!</v>
      </c>
      <c r="U206" s="71"/>
      <c r="V206" s="71"/>
      <c r="W206" s="262"/>
      <c r="X206" s="262"/>
      <c r="Y206" s="262"/>
      <c r="Z206" s="180"/>
      <c r="AB206" s="289" t="str">
        <f>K29</f>
        <v>12</v>
      </c>
      <c r="AC206" s="71" t="e">
        <f>AC105</f>
        <v>#VALUE!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(G176*B68)+E194-E188-A194</f>
        <v>19273.37</v>
      </c>
      <c r="B210" s="272">
        <f>E188+A210+B191+A194</f>
        <v>19523.36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12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1280.96349708865</v>
      </c>
      <c r="B221" s="126">
        <f>B176</f>
        <v>85.0909090909091</v>
      </c>
      <c r="C221" s="365"/>
      <c r="D221" s="365"/>
      <c r="E221" s="126">
        <f>E176</f>
        <v>1366.05440617956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0</v>
      </c>
      <c r="B224" s="133">
        <f>B182</f>
        <v>0</v>
      </c>
      <c r="C224" s="272"/>
      <c r="D224" s="291"/>
      <c r="E224" s="274">
        <f>E182</f>
        <v>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0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0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20090.5984679751</v>
      </c>
      <c r="B233" s="133" t="str">
        <f>B191</f>
        <v>239.99</v>
      </c>
      <c r="C233" s="133"/>
      <c r="D233" s="291"/>
      <c r="E233" s="133">
        <f>E191</f>
        <v>20340.5884679751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239.99</v>
      </c>
      <c r="C236" s="133"/>
      <c r="D236" s="291"/>
      <c r="E236" s="133">
        <f>B68</f>
        <v>11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1280.96349708865</v>
      </c>
      <c r="B239" s="133">
        <f>B176</f>
        <v>85.0909090909091</v>
      </c>
      <c r="C239" s="272"/>
      <c r="D239" s="272"/>
      <c r="E239" s="133">
        <f>E176</f>
        <v>1366.05440617956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6000</v>
      </c>
      <c r="B242" s="133">
        <f>E194</f>
        <v>6010</v>
      </c>
      <c r="C242" s="250"/>
      <c r="D242" s="250"/>
      <c r="E242" s="133">
        <f>J18*0.000006*100*1.2</f>
        <v>29.17872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9.72624</v>
      </c>
      <c r="B245" s="133">
        <f>E242+A245</f>
        <v>38.90496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-17166.67</v>
      </c>
      <c r="B249" s="133">
        <f>B197</f>
        <v>0</v>
      </c>
      <c r="C249" s="250"/>
      <c r="D249" s="250"/>
      <c r="E249" s="133">
        <f>E197</f>
        <v>0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99.9916666666667</v>
      </c>
      <c r="B252" s="133">
        <f>B249+E249+A252+A249</f>
        <v>-17066.6783333333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0.1255</v>
      </c>
      <c r="G262" s="262"/>
      <c r="H262" s="180"/>
    </row>
    <row r="263" spans="1:8">
      <c r="A263" s="370" t="s">
        <v>217</v>
      </c>
      <c r="B263" s="393">
        <f>(E191-B191)-(B210-B191-A194)</f>
        <v>827.22846797511</v>
      </c>
      <c r="C263" s="376"/>
      <c r="D263" s="377" t="s">
        <v>218</v>
      </c>
      <c r="E263" s="377"/>
      <c r="F263" s="378">
        <f>F270+F276+F278+B279+B280</f>
        <v>0</v>
      </c>
      <c r="G263" s="262"/>
      <c r="H263" s="180"/>
    </row>
    <row r="264" spans="1:8">
      <c r="A264" s="370" t="s">
        <v>219</v>
      </c>
      <c r="B264" s="378">
        <f>F271+B272</f>
        <v>99.9916666666667</v>
      </c>
      <c r="C264" s="376"/>
      <c r="D264" s="377" t="s">
        <v>220</v>
      </c>
      <c r="E264" s="377"/>
      <c r="F264" s="378">
        <f>(B263-F263)+B264</f>
        <v>927.220134641777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0.1255</v>
      </c>
      <c r="C269" s="388"/>
      <c r="D269" s="105" t="s">
        <v>217</v>
      </c>
      <c r="E269" s="105"/>
      <c r="F269" s="389">
        <f>(B98*B68)-(C98*B68)</f>
        <v>14090.5984679751</v>
      </c>
      <c r="G269" s="262"/>
      <c r="H269" s="180"/>
    </row>
    <row r="270" ht="19.5" spans="1:8">
      <c r="A270" s="245" t="s">
        <v>223</v>
      </c>
      <c r="B270" s="387">
        <f>B76</f>
        <v>0.005</v>
      </c>
      <c r="C270" s="368"/>
      <c r="D270" s="105" t="s">
        <v>223</v>
      </c>
      <c r="E270" s="105"/>
      <c r="F270" s="144">
        <f>B77</f>
        <v>0</v>
      </c>
      <c r="G270" s="262"/>
      <c r="H270" s="180"/>
    </row>
    <row r="271" ht="19.5" spans="1:8">
      <c r="A271" s="245" t="s">
        <v>224</v>
      </c>
      <c r="B271" s="383">
        <f>A117</f>
        <v>0.3</v>
      </c>
      <c r="C271" s="368"/>
      <c r="D271" s="105" t="s">
        <v>224</v>
      </c>
      <c r="E271" s="105"/>
      <c r="F271" s="389">
        <f>E249*10</f>
        <v>0</v>
      </c>
      <c r="G271" s="262"/>
      <c r="H271" s="180"/>
    </row>
    <row r="272" spans="1:8">
      <c r="A272" s="245" t="s">
        <v>225</v>
      </c>
      <c r="B272" s="389">
        <f>A252</f>
        <v>99.9916666666667</v>
      </c>
      <c r="C272" s="368"/>
      <c r="D272" s="129" t="s">
        <v>220</v>
      </c>
      <c r="E272" s="129"/>
      <c r="F272" s="389">
        <f>(B263-F263)+B264</f>
        <v>927.220134641777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67">
    <mergeCell ref="A1:F1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  <mergeCell ref="D7:E18"/>
    <mergeCell ref="A16:C18"/>
  </mergeCells>
  <dataValidations count="5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53:A155">
      <formula1>#REF!</formula1>
    </dataValidation>
    <dataValidation type="list" allowBlank="1" showInputMessage="1" showErrorMessage="1" sqref="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10" workbookViewId="0">
      <selection activeCell="A38" sqref="A38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2" customWidth="true" style="239" width="18.8833333333333"/>
    <col min="13" max="13" customWidth="true" style="239" width="24.2333333333333"/>
    <col min="14" max="14" customWidth="true" style="239" width="16.7166666666667"/>
    <col min="15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21099.996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 t="s">
        <v>4</v>
      </c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17583.33</v>
      </c>
      <c r="C9" s="82">
        <f>B9*0.2</f>
        <v>3516.666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17583.33</v>
      </c>
      <c r="C15" s="82">
        <f>SUM(C9:C13)</f>
        <v>3516.666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82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12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4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>
        <f>A46</f>
        <v>0</v>
      </c>
      <c r="M32" s="404" t="s">
        <v>37</v>
      </c>
      <c r="N32" s="413" t="s">
        <v>38</v>
      </c>
    </row>
    <row r="33" ht="19.5" spans="1:14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  <c r="M33" s="404"/>
      <c r="N33" s="405"/>
    </row>
    <row r="34" ht="19.5" spans="1:14">
      <c r="A34" s="268" t="s">
        <v>42</v>
      </c>
      <c r="B34" s="368"/>
      <c r="C34" s="437" t="s">
        <v>43</v>
      </c>
      <c r="D34" s="437"/>
      <c r="E34" s="368"/>
      <c r="F34" s="437">
        <f>(A34/12)*C34</f>
        <v>5000</v>
      </c>
      <c r="G34" s="437"/>
      <c r="H34" s="271"/>
      <c r="I34" s="240"/>
      <c r="J34" s="240"/>
      <c r="K34" s="240"/>
      <c r="M34" s="404" t="s">
        <v>44</v>
      </c>
      <c r="N34" s="406" t="s">
        <v>45</v>
      </c>
    </row>
    <row r="35" spans="1:14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507">
        <v>0.065</v>
      </c>
      <c r="M35" s="404"/>
      <c r="N35" s="405">
        <v>0.065</v>
      </c>
    </row>
    <row r="36" ht="19.5" spans="1:14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11</v>
      </c>
      <c r="M36" s="404" t="s">
        <v>51</v>
      </c>
      <c r="N36" s="407">
        <f>N32-N34</f>
        <v>22125</v>
      </c>
    </row>
    <row r="37" ht="19.5" spans="1:11">
      <c r="A37" s="267">
        <f>E19</f>
        <v>21099.996</v>
      </c>
      <c r="B37" s="368"/>
      <c r="C37" s="437" t="s">
        <v>45</v>
      </c>
      <c r="D37" s="437"/>
      <c r="E37" s="368"/>
      <c r="F37" s="388">
        <f>A37-C37</f>
        <v>20099.996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11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C15</f>
        <v>3516.666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>
        <f>IF(F43="Yes",A46,0)</f>
        <v>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12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209.722166666667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290.277833333333</v>
      </c>
      <c r="L45" s="240"/>
    </row>
    <row r="46" ht="19.5" spans="1:12">
      <c r="A46" s="268">
        <v>0</v>
      </c>
      <c r="B46" s="368"/>
      <c r="C46" s="437">
        <v>1</v>
      </c>
      <c r="D46" s="437"/>
      <c r="E46" s="368"/>
      <c r="F46" s="437">
        <v>1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1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1.66666666666667</v>
      </c>
      <c r="L48" s="240"/>
    </row>
    <row r="49" spans="1:12">
      <c r="A49" s="267">
        <f>C46+F46</f>
        <v>2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292.9445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292.9445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80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12</v>
      </c>
      <c r="B60" s="71">
        <f>K49</f>
        <v>292.9445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 t="s">
        <v>4</v>
      </c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 t="s">
        <v>4</v>
      </c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 t="s">
        <v>4</v>
      </c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 t="s">
        <v>4</v>
      </c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11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11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11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11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40526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40526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40526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40526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0.0105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14610.5088812864</v>
      </c>
      <c r="C74" s="368"/>
      <c r="D74" s="368"/>
      <c r="E74" s="262"/>
      <c r="F74" s="262"/>
      <c r="G74" s="262"/>
      <c r="H74" s="180"/>
      <c r="J74" s="275" t="s">
        <v>91</v>
      </c>
      <c r="K74" s="281" t="e">
        <f>(K98*K68)-(K47*K29)</f>
        <v>#VALUE!</v>
      </c>
      <c r="L74" s="368"/>
      <c r="M74" s="368"/>
      <c r="N74" s="262"/>
      <c r="O74" s="262"/>
      <c r="P74" s="262"/>
      <c r="Q74" s="180"/>
      <c r="S74" s="275" t="s">
        <v>91</v>
      </c>
      <c r="T74" s="281" t="e">
        <f>(T98*T68)-(K47*K29)</f>
        <v>#VALUE!</v>
      </c>
      <c r="U74" s="368"/>
      <c r="V74" s="368"/>
      <c r="W74" s="262"/>
      <c r="X74" s="262"/>
      <c r="Y74" s="262"/>
      <c r="Z74" s="180"/>
      <c r="AB74" s="275" t="s">
        <v>91</v>
      </c>
      <c r="AC74" s="281" t="e">
        <f>(AC98*AC68)-(K47*K29)</f>
        <v>#VALUE!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117.49998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2026.3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202.63</v>
      </c>
      <c r="U77" s="368"/>
      <c r="V77" s="368"/>
      <c r="W77" s="262"/>
      <c r="X77" s="262"/>
      <c r="Y77" s="262"/>
      <c r="Z77" s="180"/>
      <c r="AB77" s="275" t="s">
        <v>94</v>
      </c>
      <c r="AC77" s="281" t="e">
        <f>AH167*AC76</f>
        <v>#VALUE!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292.9445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1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292.9445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292.9445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20099.996</v>
      </c>
      <c r="C90" s="368"/>
      <c r="D90" s="368"/>
      <c r="E90" s="262"/>
      <c r="F90" s="264" t="s">
        <v>106</v>
      </c>
      <c r="G90" s="266">
        <f>F37</f>
        <v>20099.996</v>
      </c>
      <c r="H90" s="180"/>
      <c r="J90" s="264" t="s">
        <v>106</v>
      </c>
      <c r="K90" s="266" t="e">
        <f>P167</f>
        <v>#VALUE!</v>
      </c>
      <c r="L90" s="368"/>
      <c r="M90" s="368"/>
      <c r="N90" s="262"/>
      <c r="O90" s="262"/>
      <c r="P90" s="262"/>
      <c r="Q90" s="180"/>
      <c r="S90" s="264" t="s">
        <v>106</v>
      </c>
      <c r="T90" s="266" t="e">
        <f>Y167</f>
        <v>#VALUE!</v>
      </c>
      <c r="U90" s="368"/>
      <c r="V90" s="368"/>
      <c r="W90" s="262"/>
      <c r="X90" s="262"/>
      <c r="Y90" s="262"/>
      <c r="Z90" s="180"/>
      <c r="AB90" s="264" t="s">
        <v>106</v>
      </c>
      <c r="AC90" s="266" t="e">
        <f>AH167</f>
        <v>#VALUE!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IF(A111="YES",A43,0)*1.2</f>
        <v>7200</v>
      </c>
      <c r="C91" s="368"/>
      <c r="D91" s="368"/>
      <c r="E91" s="262"/>
      <c r="F91" s="245" t="s">
        <v>107</v>
      </c>
      <c r="G91" s="180">
        <f>IF(A111="YES",A43,0)*1.2</f>
        <v>7200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0.1255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0.0104583333333333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11</v>
      </c>
      <c r="C94" s="368"/>
      <c r="D94" s="368"/>
      <c r="E94" s="262"/>
      <c r="F94" s="245" t="s">
        <v>110</v>
      </c>
      <c r="G94" s="180">
        <f>IF(G91=0,(B68+B67),(B68))</f>
        <v>11</v>
      </c>
      <c r="H94" s="180"/>
      <c r="J94" s="245" t="s">
        <v>110</v>
      </c>
      <c r="K94" s="180">
        <f>IF(K91=0,(K68+K67),(K68))</f>
        <v>12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11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11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6354.94179987962</v>
      </c>
      <c r="C95" s="368"/>
      <c r="D95" s="368"/>
      <c r="E95" s="262"/>
      <c r="F95" s="245" t="s">
        <v>111</v>
      </c>
      <c r="G95" s="180">
        <f>(G91/((1+G93)^(G94+1)))</f>
        <v>6748.06930144099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10.6125560515631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10.6125560515631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10.3399216528992</v>
      </c>
      <c r="C96" s="368"/>
      <c r="D96" s="368"/>
      <c r="E96" s="262"/>
      <c r="F96" s="245" t="s">
        <v>112</v>
      </c>
      <c r="G96" s="180">
        <f>((1-(1/((1+G93)^G94)))/G93)</f>
        <v>10.6507347822959</v>
      </c>
      <c r="H96" s="180"/>
      <c r="J96" s="245" t="s">
        <v>112</v>
      </c>
      <c r="K96" s="180">
        <f>((1-(1/((1+K93)^K94)))/K93)</f>
        <v>10.5753412209172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10.3499842839909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10.3499842839909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13745.0542001204</v>
      </c>
      <c r="C97" s="368"/>
      <c r="D97" s="368"/>
      <c r="E97" s="262"/>
      <c r="F97" s="245" t="s">
        <v>113</v>
      </c>
      <c r="G97" s="180">
        <f>G90-G95</f>
        <v>13351.926698559</v>
      </c>
      <c r="H97" s="180"/>
      <c r="J97" s="245" t="s">
        <v>113</v>
      </c>
      <c r="K97" s="180" t="e">
        <f>K90-K95</f>
        <v>#VALUE!</v>
      </c>
      <c r="L97" s="368"/>
      <c r="M97" s="368"/>
      <c r="N97" s="262"/>
      <c r="O97" s="262"/>
      <c r="P97" s="262"/>
      <c r="Q97" s="180"/>
      <c r="S97" s="245" t="s">
        <v>113</v>
      </c>
      <c r="T97" s="180" t="e">
        <f>T90-T95</f>
        <v>#VALUE!</v>
      </c>
      <c r="U97" s="368"/>
      <c r="V97" s="368"/>
      <c r="W97" s="262"/>
      <c r="X97" s="262"/>
      <c r="Y97" s="262"/>
      <c r="Z97" s="180"/>
      <c r="AB97" s="245" t="s">
        <v>113</v>
      </c>
      <c r="AC97" s="180" t="e">
        <f>AC90-AC95</f>
        <v>#VALUE!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1329.31898920786</v>
      </c>
      <c r="C98" s="368"/>
      <c r="D98" s="368"/>
      <c r="E98" s="262"/>
      <c r="F98" s="245" t="s">
        <v>114</v>
      </c>
      <c r="G98" s="180">
        <f>(G97/G96)</f>
        <v>1253.61554592019</v>
      </c>
      <c r="H98" s="180"/>
      <c r="J98" s="245" t="s">
        <v>114</v>
      </c>
      <c r="K98" s="180" t="e">
        <f>(K97/K96)</f>
        <v>#VALUE!</v>
      </c>
      <c r="L98" s="368"/>
      <c r="M98" s="368"/>
      <c r="N98" s="262"/>
      <c r="O98" s="262"/>
      <c r="P98" s="262"/>
      <c r="Q98" s="180"/>
      <c r="S98" s="245" t="s">
        <v>114</v>
      </c>
      <c r="T98" s="180" t="e">
        <f>(T97/T96)</f>
        <v>#VALUE!</v>
      </c>
      <c r="U98" s="368"/>
      <c r="V98" s="368"/>
      <c r="W98" s="262"/>
      <c r="X98" s="262"/>
      <c r="Y98" s="262"/>
      <c r="Z98" s="180"/>
      <c r="AB98" s="245" t="s">
        <v>114</v>
      </c>
      <c r="AC98" s="180" t="e">
        <f>(AC97/AC96)</f>
        <v>#VALUE!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14622.5088812864</v>
      </c>
      <c r="C99" s="368"/>
      <c r="D99" s="368"/>
      <c r="E99" s="262"/>
      <c r="F99" s="245" t="s">
        <v>115</v>
      </c>
      <c r="G99" s="180">
        <f>((G98*(G94))+G86)</f>
        <v>13789.7710051221</v>
      </c>
      <c r="H99" s="180"/>
      <c r="J99" s="245" t="s">
        <v>115</v>
      </c>
      <c r="K99" s="180" t="e">
        <f>((K98*(K94))+K86)</f>
        <v>#VALUE!</v>
      </c>
      <c r="L99" s="368"/>
      <c r="M99" s="368"/>
      <c r="N99" s="262"/>
      <c r="O99" s="262"/>
      <c r="P99" s="262"/>
      <c r="Q99" s="180"/>
      <c r="S99" s="245" t="s">
        <v>115</v>
      </c>
      <c r="T99" s="180" t="e">
        <f>(T98*(T94))+T86</f>
        <v>#VALUE!</v>
      </c>
      <c r="U99" s="368"/>
      <c r="V99" s="368"/>
      <c r="W99" s="262"/>
      <c r="X99" s="262"/>
      <c r="Y99" s="262"/>
      <c r="Z99" s="180"/>
      <c r="AB99" s="245" t="s">
        <v>115</v>
      </c>
      <c r="AC99" s="180" t="e">
        <f>(AC98*(AC68))+AC86</f>
        <v>#VALUE!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 t="e">
        <f>(K99/(1-K80))*K80</f>
        <v>#VALUE!</v>
      </c>
      <c r="L100" s="368"/>
      <c r="M100" s="368"/>
      <c r="N100" s="262"/>
      <c r="O100" s="262"/>
      <c r="P100" s="262"/>
      <c r="Q100" s="180"/>
      <c r="S100" s="245" t="s">
        <v>116</v>
      </c>
      <c r="T100" s="180" t="e">
        <f>(T99/(1-T80))*T80</f>
        <v>#VALUE!</v>
      </c>
      <c r="U100" s="368"/>
      <c r="V100" s="368"/>
      <c r="W100" s="262"/>
      <c r="X100" s="262"/>
      <c r="Y100" s="262"/>
      <c r="Z100" s="180"/>
      <c r="AB100" s="245" t="s">
        <v>116</v>
      </c>
      <c r="AC100" s="180" t="e">
        <f>(AC99/(1-AC80))*AC80</f>
        <v>#VALUE!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14622.5088812864</v>
      </c>
      <c r="C101" s="368"/>
      <c r="D101" s="368"/>
      <c r="E101" s="262"/>
      <c r="F101" s="275" t="s">
        <v>117</v>
      </c>
      <c r="G101" s="281">
        <f>(G99+G100)</f>
        <v>13789.7710051221</v>
      </c>
      <c r="H101" s="180"/>
      <c r="J101" s="275" t="s">
        <v>117</v>
      </c>
      <c r="K101" s="281" t="e">
        <f>(K99+K100)</f>
        <v>#VALUE!</v>
      </c>
      <c r="L101" s="368"/>
      <c r="M101" s="368"/>
      <c r="N101" s="262"/>
      <c r="O101" s="262"/>
      <c r="P101" s="262"/>
      <c r="Q101" s="180"/>
      <c r="S101" s="275" t="s">
        <v>117</v>
      </c>
      <c r="T101" s="281" t="e">
        <f>(T99+T100)</f>
        <v>#VALUE!</v>
      </c>
      <c r="U101" s="368"/>
      <c r="V101" s="368"/>
      <c r="W101" s="262"/>
      <c r="X101" s="262"/>
      <c r="Y101" s="262"/>
      <c r="Z101" s="180"/>
      <c r="AB101" s="275" t="s">
        <v>117</v>
      </c>
      <c r="AC101" s="281" t="e">
        <f>(AC99+AC100)</f>
        <v>#VALUE!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</f>
        <v>0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1329.31898920786</v>
      </c>
      <c r="C104" s="368"/>
      <c r="D104" s="368"/>
      <c r="E104" s="262"/>
      <c r="F104" s="319" t="s">
        <v>119</v>
      </c>
      <c r="G104" s="320">
        <f>G101/(G94)</f>
        <v>1253.61554592019</v>
      </c>
      <c r="H104" s="180"/>
      <c r="J104" s="319" t="s">
        <v>119</v>
      </c>
      <c r="K104" s="320" t="e">
        <f>K101/(K94)</f>
        <v>#VALUE!</v>
      </c>
      <c r="L104" s="368"/>
      <c r="M104" s="368"/>
      <c r="N104" s="262"/>
      <c r="O104" s="262"/>
      <c r="P104" s="262"/>
      <c r="Q104" s="180"/>
      <c r="S104" s="319" t="s">
        <v>119</v>
      </c>
      <c r="T104" s="320" t="e">
        <f>T101/(T94)</f>
        <v>#VALUE!</v>
      </c>
      <c r="U104" s="368"/>
      <c r="V104" s="368"/>
      <c r="W104" s="262"/>
      <c r="X104" s="262"/>
      <c r="Y104" s="262"/>
      <c r="Z104" s="180"/>
      <c r="AB104" s="319" t="s">
        <v>119</v>
      </c>
      <c r="AC104" s="320" t="e">
        <f>AC101/(AC68)</f>
        <v>#VALUE!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1329.31898920786</v>
      </c>
      <c r="C105" s="368"/>
      <c r="D105" s="368"/>
      <c r="E105" s="262" t="s">
        <v>18</v>
      </c>
      <c r="F105" s="321" t="s">
        <v>120</v>
      </c>
      <c r="G105" s="322">
        <f>G103+G104</f>
        <v>1253.61554592019</v>
      </c>
      <c r="H105" s="180"/>
      <c r="J105" s="321" t="s">
        <v>120</v>
      </c>
      <c r="K105" s="322" t="e">
        <f>(K103+K104)</f>
        <v>#VALUE!</v>
      </c>
      <c r="L105" s="368"/>
      <c r="M105" s="368"/>
      <c r="N105" s="262"/>
      <c r="O105" s="262"/>
      <c r="P105" s="262"/>
      <c r="Q105" s="180"/>
      <c r="S105" s="321" t="s">
        <v>120</v>
      </c>
      <c r="T105" s="322" t="e">
        <f>T103+T104</f>
        <v>#VALUE!</v>
      </c>
      <c r="U105" s="368"/>
      <c r="V105" s="368"/>
      <c r="W105" s="262"/>
      <c r="X105" s="262"/>
      <c r="Y105" s="262"/>
      <c r="Z105" s="180"/>
      <c r="AB105" s="321" t="s">
        <v>120</v>
      </c>
      <c r="AC105" s="322" t="e">
        <f>AC103+AC104</f>
        <v>#VALUE!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>
        <v>0</v>
      </c>
      <c r="C108" s="262"/>
      <c r="D108" s="262">
        <v>0</v>
      </c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 t="s">
        <v>235</v>
      </c>
      <c r="C114" s="133"/>
      <c r="D114" s="133"/>
      <c r="E114" s="48" t="s">
        <v>19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0.2</v>
      </c>
      <c r="B117" s="102" t="s">
        <v>134</v>
      </c>
      <c r="C117" s="102"/>
      <c r="D117" s="102"/>
      <c r="E117" s="327">
        <f>B92</f>
        <v>0.1255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 t="s">
        <v>4</v>
      </c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235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91"/>
      <c r="C127" s="291"/>
      <c r="D127" s="291"/>
      <c r="E127" s="291"/>
      <c r="F127" s="291"/>
      <c r="G127" s="291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335">
        <f>E19</f>
        <v>21099.996</v>
      </c>
      <c r="C130" s="336">
        <v>19583.33</v>
      </c>
      <c r="D130" s="335">
        <f>D12</f>
        <v>0</v>
      </c>
      <c r="E130" s="336">
        <f>D130</f>
        <v>0</v>
      </c>
      <c r="F130" s="335">
        <v>0</v>
      </c>
      <c r="G130" s="336">
        <f>F130</f>
        <v>0</v>
      </c>
      <c r="H130" s="337">
        <f>H12</f>
        <v>0</v>
      </c>
      <c r="J130" s="264" t="s">
        <v>151</v>
      </c>
      <c r="K130" s="264">
        <f>B3</f>
        <v>0</v>
      </c>
      <c r="L130" s="268">
        <v>28629.17</v>
      </c>
      <c r="M130" s="264">
        <f>D3</f>
        <v>0</v>
      </c>
      <c r="N130" s="268">
        <f>M130</f>
        <v>0</v>
      </c>
      <c r="O130" s="264" t="str">
        <f>F3</f>
        <v> </v>
      </c>
      <c r="P130" s="268" t="str">
        <f>O130</f>
        <v> </v>
      </c>
      <c r="Q130" s="337">
        <f>H3</f>
        <v>0</v>
      </c>
      <c r="S130" s="264" t="s">
        <v>151</v>
      </c>
      <c r="T130" s="264">
        <f>B3</f>
        <v>0</v>
      </c>
      <c r="U130" s="268">
        <f>T130</f>
        <v>0</v>
      </c>
      <c r="V130" s="264">
        <f>D3</f>
        <v>0</v>
      </c>
      <c r="W130" s="268">
        <f>V130</f>
        <v>0</v>
      </c>
      <c r="X130" s="264" t="str">
        <f>F3</f>
        <v> </v>
      </c>
      <c r="Y130" s="268" t="str">
        <f>X130</f>
        <v> </v>
      </c>
      <c r="Z130" s="337">
        <f>H3</f>
        <v>0</v>
      </c>
      <c r="AB130" s="264" t="s">
        <v>151</v>
      </c>
      <c r="AC130" s="264">
        <f>B3</f>
        <v>0</v>
      </c>
      <c r="AD130" s="268">
        <f>AC130</f>
        <v>0</v>
      </c>
      <c r="AE130" s="264">
        <f>D3</f>
        <v>0</v>
      </c>
      <c r="AF130" s="268">
        <f>AE130</f>
        <v>0</v>
      </c>
      <c r="AG130" s="264" t="str">
        <f>F3</f>
        <v> </v>
      </c>
      <c r="AH130" s="268" t="str">
        <f>AG130</f>
        <v> </v>
      </c>
      <c r="AI130" s="337">
        <f>H3</f>
        <v>0</v>
      </c>
    </row>
    <row r="131" ht="19.5" spans="1:35">
      <c r="A131" s="245" t="s">
        <v>152</v>
      </c>
      <c r="B131" s="338">
        <v>0</v>
      </c>
      <c r="C131" s="248">
        <f>B131</f>
        <v>0</v>
      </c>
      <c r="D131" s="338">
        <v>0</v>
      </c>
      <c r="E131" s="248">
        <f>D131</f>
        <v>0</v>
      </c>
      <c r="F131" s="338">
        <v>0</v>
      </c>
      <c r="G131" s="412">
        <f>F131</f>
        <v>0</v>
      </c>
      <c r="H131" s="249"/>
      <c r="J131" s="245" t="s">
        <v>152</v>
      </c>
      <c r="K131" s="449">
        <f>B4</f>
        <v>21099.996</v>
      </c>
      <c r="L131" s="451">
        <v>0</v>
      </c>
      <c r="M131" s="449">
        <f>D4</f>
        <v>0</v>
      </c>
      <c r="N131" s="451">
        <f>M131</f>
        <v>0</v>
      </c>
      <c r="O131" s="449" t="str">
        <f>F4</f>
        <v> </v>
      </c>
      <c r="P131" s="451" t="str">
        <f>O131</f>
        <v> </v>
      </c>
      <c r="Q131" s="435"/>
      <c r="S131" s="245" t="s">
        <v>152</v>
      </c>
      <c r="T131" s="449">
        <f>B4</f>
        <v>21099.996</v>
      </c>
      <c r="U131" s="451">
        <v>0.25</v>
      </c>
      <c r="V131" s="449">
        <f>D4</f>
        <v>0</v>
      </c>
      <c r="W131" s="451">
        <f>V131</f>
        <v>0</v>
      </c>
      <c r="X131" s="449" t="str">
        <f>F4</f>
        <v> </v>
      </c>
      <c r="Y131" s="451" t="str">
        <f>X131</f>
        <v> </v>
      </c>
      <c r="Z131" s="435"/>
      <c r="AB131" s="245" t="s">
        <v>152</v>
      </c>
      <c r="AC131" s="449">
        <f>B4</f>
        <v>21099.996</v>
      </c>
      <c r="AD131" s="451">
        <v>0.25</v>
      </c>
      <c r="AE131" s="449">
        <f>D4</f>
        <v>0</v>
      </c>
      <c r="AF131" s="451">
        <f>AE131</f>
        <v>0</v>
      </c>
      <c r="AG131" s="449" t="str">
        <f>F4</f>
        <v> </v>
      </c>
      <c r="AH131" s="451" t="str">
        <f>AG131</f>
        <v> </v>
      </c>
      <c r="AI131" s="435"/>
    </row>
    <row r="132" ht="19.5" spans="1:35">
      <c r="A132" s="245" t="s">
        <v>153</v>
      </c>
      <c r="B132" s="340">
        <v>0</v>
      </c>
      <c r="C132" s="336">
        <f>B132</f>
        <v>0</v>
      </c>
      <c r="D132" s="340">
        <v>0</v>
      </c>
      <c r="E132" s="336">
        <f>D132</f>
        <v>0</v>
      </c>
      <c r="F132" s="340">
        <v>0</v>
      </c>
      <c r="G132" s="336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 t="str">
        <f>F5</f>
        <v> </v>
      </c>
      <c r="P132" s="268" t="str">
        <f>O132</f>
        <v> 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 t="str">
        <f>F5</f>
        <v> </v>
      </c>
      <c r="Y132" s="268" t="str">
        <f>X132</f>
        <v> 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 t="str">
        <f>F5</f>
        <v> </v>
      </c>
      <c r="AH132" s="268" t="str">
        <f>AG132</f>
        <v> </v>
      </c>
      <c r="AI132" s="180"/>
    </row>
    <row r="133" spans="1:35">
      <c r="A133" s="245" t="s">
        <v>154</v>
      </c>
      <c r="B133" s="340">
        <f>(B130*B131)+B132</f>
        <v>0</v>
      </c>
      <c r="C133" s="95">
        <f>(C130*C131/100)+C132</f>
        <v>0</v>
      </c>
      <c r="D133" s="340">
        <f>(D130*D131)+D132</f>
        <v>0</v>
      </c>
      <c r="E133" s="95">
        <f>(E130*E131/100)+E132</f>
        <v>0</v>
      </c>
      <c r="F133" s="340">
        <f>(F130*F131)+F132</f>
        <v>0</v>
      </c>
      <c r="G133" s="95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 t="e">
        <f t="shared" si="0"/>
        <v>#VALUE!</v>
      </c>
      <c r="P133" s="266" t="e">
        <f t="shared" si="0"/>
        <v>#VALUE!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0</v>
      </c>
      <c r="V133" s="245">
        <f t="shared" si="1"/>
        <v>0</v>
      </c>
      <c r="W133" s="266">
        <f t="shared" si="1"/>
        <v>0</v>
      </c>
      <c r="X133" s="245" t="e">
        <f t="shared" si="1"/>
        <v>#VALUE!</v>
      </c>
      <c r="Y133" s="266" t="e">
        <f t="shared" si="1"/>
        <v>#VALUE!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0</v>
      </c>
      <c r="AE133" s="245">
        <f t="shared" si="2"/>
        <v>0</v>
      </c>
      <c r="AF133" s="266">
        <f t="shared" si="2"/>
        <v>0</v>
      </c>
      <c r="AG133" s="245" t="e">
        <f t="shared" si="2"/>
        <v>#VALUE!</v>
      </c>
      <c r="AH133" s="266" t="e">
        <f t="shared" si="2"/>
        <v>#VALUE!</v>
      </c>
      <c r="AI133" s="180"/>
    </row>
    <row r="134" ht="19.5" spans="1:35">
      <c r="A134" s="275" t="s">
        <v>155</v>
      </c>
      <c r="B134" s="341">
        <f t="shared" ref="B134:G134" si="3">B130-B133</f>
        <v>21099.996</v>
      </c>
      <c r="C134" s="80">
        <f t="shared" si="3"/>
        <v>19583.33</v>
      </c>
      <c r="D134" s="341">
        <f t="shared" si="3"/>
        <v>0</v>
      </c>
      <c r="E134" s="80">
        <f t="shared" si="3"/>
        <v>0</v>
      </c>
      <c r="F134" s="341">
        <f t="shared" si="3"/>
        <v>0</v>
      </c>
      <c r="G134" s="80">
        <f t="shared" si="3"/>
        <v>0</v>
      </c>
      <c r="H134" s="281"/>
      <c r="J134" s="275" t="s">
        <v>155</v>
      </c>
      <c r="K134" s="275">
        <f t="shared" ref="K134:P134" si="4">K130-K133</f>
        <v>0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 t="e">
        <f t="shared" si="4"/>
        <v>#VALUE!</v>
      </c>
      <c r="P134" s="281" t="e">
        <f t="shared" si="4"/>
        <v>#VALUE!</v>
      </c>
      <c r="Q134" s="281"/>
      <c r="S134" s="275" t="s">
        <v>155</v>
      </c>
      <c r="T134" s="275">
        <f t="shared" ref="T134:Y134" si="5">T130-T133</f>
        <v>0</v>
      </c>
      <c r="U134" s="281">
        <f t="shared" si="5"/>
        <v>0</v>
      </c>
      <c r="V134" s="275">
        <f t="shared" si="5"/>
        <v>0</v>
      </c>
      <c r="W134" s="281">
        <f t="shared" si="5"/>
        <v>0</v>
      </c>
      <c r="X134" s="275" t="e">
        <f t="shared" si="5"/>
        <v>#VALUE!</v>
      </c>
      <c r="Y134" s="281" t="e">
        <f t="shared" si="5"/>
        <v>#VALUE!</v>
      </c>
      <c r="Z134" s="281"/>
      <c r="AB134" s="275" t="s">
        <v>155</v>
      </c>
      <c r="AC134" s="275">
        <f t="shared" ref="AC134:AH134" si="6">AC130-AC133</f>
        <v>0</v>
      </c>
      <c r="AD134" s="281">
        <f t="shared" si="6"/>
        <v>0</v>
      </c>
      <c r="AE134" s="275">
        <f t="shared" si="6"/>
        <v>0</v>
      </c>
      <c r="AF134" s="281">
        <f t="shared" si="6"/>
        <v>0</v>
      </c>
      <c r="AG134" s="275" t="e">
        <f t="shared" si="6"/>
        <v>#VALUE!</v>
      </c>
      <c r="AH134" s="281" t="e">
        <f t="shared" si="6"/>
        <v>#VALUE!</v>
      </c>
      <c r="AI134" s="281"/>
    </row>
    <row r="135" spans="1:35">
      <c r="A135" s="245"/>
      <c r="B135" s="250"/>
      <c r="C135" s="250"/>
      <c r="D135" s="250"/>
      <c r="E135" s="250"/>
      <c r="F135" s="250"/>
      <c r="G135" s="250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343"/>
      <c r="C136" s="343"/>
      <c r="D136" s="343"/>
      <c r="E136" s="343"/>
      <c r="F136" s="343"/>
      <c r="G136" s="252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250"/>
      <c r="C138" s="250"/>
      <c r="D138" s="250"/>
      <c r="E138" s="250"/>
      <c r="F138" s="250"/>
      <c r="G138" s="350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250"/>
      <c r="C143" s="250"/>
      <c r="D143" s="250"/>
      <c r="E143" s="250"/>
      <c r="F143" s="250"/>
      <c r="G143" s="350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252">
        <f>E21</f>
        <v>17583.33</v>
      </c>
      <c r="H144" s="354">
        <f>C134+E134+G134+H137</f>
        <v>19583.33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7">H9</f>
        <v>0</v>
      </c>
      <c r="Q144" s="354" t="e">
        <f>L134+N134+P134+Q137</f>
        <v>#VALUE!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8">H9</f>
        <v>0</v>
      </c>
      <c r="Z144" s="354" t="e">
        <f>U134+W134+Y134+Z137</f>
        <v>#VALUE!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9">H9</f>
        <v>0</v>
      </c>
      <c r="AI144" s="354" t="e">
        <f>AD134+AF134+AH134+AI137</f>
        <v>#VALUE!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5">
        <f>H19</f>
        <v>0</v>
      </c>
      <c r="H145" s="180">
        <f>G145</f>
        <v>0</v>
      </c>
      <c r="J145" s="254" t="s">
        <v>164</v>
      </c>
      <c r="K145" s="254"/>
      <c r="L145" s="254"/>
      <c r="M145" s="254"/>
      <c r="N145" s="254"/>
      <c r="O145" s="254"/>
      <c r="P145" s="392">
        <f t="shared" si="7"/>
        <v>0</v>
      </c>
      <c r="Q145" s="180">
        <f>P145</f>
        <v>0</v>
      </c>
      <c r="S145" s="254" t="s">
        <v>164</v>
      </c>
      <c r="T145" s="254"/>
      <c r="U145" s="254"/>
      <c r="V145" s="254"/>
      <c r="W145" s="254"/>
      <c r="X145" s="254"/>
      <c r="Y145" s="392">
        <f t="shared" si="8"/>
        <v>0</v>
      </c>
      <c r="Z145" s="180">
        <f>Y145</f>
        <v>0</v>
      </c>
      <c r="AB145" s="254" t="s">
        <v>164</v>
      </c>
      <c r="AC145" s="254"/>
      <c r="AD145" s="254"/>
      <c r="AE145" s="254"/>
      <c r="AF145" s="254"/>
      <c r="AG145" s="254"/>
      <c r="AH145" s="392">
        <f t="shared" si="9"/>
        <v>0</v>
      </c>
      <c r="AI145" s="180">
        <f>AH145</f>
        <v>0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180">
        <f>(G144+G145)*20%</f>
        <v>3516.666</v>
      </c>
      <c r="H146" s="180">
        <f>(H144+H145)*20%</f>
        <v>3916.666</v>
      </c>
      <c r="J146" s="254" t="s">
        <v>165</v>
      </c>
      <c r="K146" s="254"/>
      <c r="L146" s="254"/>
      <c r="M146" s="254"/>
      <c r="N146" s="254"/>
      <c r="O146" s="254"/>
      <c r="P146" s="392">
        <f t="shared" si="7"/>
        <v>0</v>
      </c>
      <c r="Q146" s="180" t="e">
        <f>(Q144+Q145)*20%</f>
        <v>#VALUE!</v>
      </c>
      <c r="S146" s="254" t="s">
        <v>165</v>
      </c>
      <c r="T146" s="254"/>
      <c r="U146" s="254"/>
      <c r="V146" s="254"/>
      <c r="W146" s="254"/>
      <c r="X146" s="254"/>
      <c r="Y146" s="392">
        <f t="shared" si="8"/>
        <v>0</v>
      </c>
      <c r="Z146" s="180" t="e">
        <f>(Z144+Z145)*20%</f>
        <v>#VALUE!</v>
      </c>
      <c r="AB146" s="254" t="s">
        <v>165</v>
      </c>
      <c r="AC146" s="254"/>
      <c r="AD146" s="254"/>
      <c r="AE146" s="254"/>
      <c r="AF146" s="254"/>
      <c r="AG146" s="254"/>
      <c r="AH146" s="392">
        <f t="shared" si="9"/>
        <v>0</v>
      </c>
      <c r="AI146" s="180" t="e">
        <f>(AI144+AI145)*20%</f>
        <v>#VALUE!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5">
        <f>H21</f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7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8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9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5">
        <f>H22</f>
        <v>0</v>
      </c>
      <c r="H148" s="180">
        <f>G148</f>
        <v>0</v>
      </c>
      <c r="J148" s="254" t="s">
        <v>167</v>
      </c>
      <c r="K148" s="254"/>
      <c r="L148" s="254"/>
      <c r="M148" s="254"/>
      <c r="N148" s="254"/>
      <c r="O148" s="254"/>
      <c r="P148" s="392">
        <f t="shared" si="7"/>
        <v>0</v>
      </c>
      <c r="Q148" s="180">
        <f>P148</f>
        <v>0</v>
      </c>
      <c r="S148" s="254" t="s">
        <v>167</v>
      </c>
      <c r="T148" s="254"/>
      <c r="U148" s="254"/>
      <c r="V148" s="254"/>
      <c r="W148" s="254"/>
      <c r="X148" s="254"/>
      <c r="Y148" s="392">
        <f t="shared" si="8"/>
        <v>0</v>
      </c>
      <c r="Z148" s="180">
        <f>Y148</f>
        <v>0</v>
      </c>
      <c r="AB148" s="254" t="s">
        <v>167</v>
      </c>
      <c r="AC148" s="254"/>
      <c r="AD148" s="254"/>
      <c r="AE148" s="254"/>
      <c r="AF148" s="254"/>
      <c r="AG148" s="254"/>
      <c r="AH148" s="392">
        <f t="shared" si="9"/>
        <v>0</v>
      </c>
      <c r="AI148" s="180">
        <f>AH148</f>
        <v>0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5">
        <f>H23</f>
        <v>0</v>
      </c>
      <c r="H149" s="180">
        <f>G149</f>
        <v>0</v>
      </c>
      <c r="J149" s="254" t="s">
        <v>168</v>
      </c>
      <c r="K149" s="254"/>
      <c r="L149" s="254"/>
      <c r="M149" s="254"/>
      <c r="N149" s="254"/>
      <c r="O149" s="254"/>
      <c r="P149" s="392">
        <f t="shared" si="7"/>
        <v>0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8"/>
        <v>0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9"/>
        <v>0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356">
        <f>(G144+G145+G148+G149+G146)-G147</f>
        <v>21099.996</v>
      </c>
      <c r="H150" s="356">
        <f>(H144+H145+H148+H149+H146)-H147</f>
        <v>23499.996</v>
      </c>
      <c r="J150" s="254" t="s">
        <v>169</v>
      </c>
      <c r="K150" s="254"/>
      <c r="L150" s="254"/>
      <c r="M150" s="254"/>
      <c r="N150" s="254"/>
      <c r="O150" s="254"/>
      <c r="P150" s="453">
        <f t="shared" si="7"/>
        <v>0</v>
      </c>
      <c r="Q150" s="356" t="e">
        <f>(Q144+Q145+Q148+Q149+Q146)-Q147</f>
        <v>#VALUE!</v>
      </c>
      <c r="S150" s="254" t="s">
        <v>169</v>
      </c>
      <c r="T150" s="254"/>
      <c r="U150" s="254"/>
      <c r="V150" s="254"/>
      <c r="W150" s="254"/>
      <c r="X150" s="254"/>
      <c r="Y150" s="453">
        <f t="shared" si="8"/>
        <v>0</v>
      </c>
      <c r="Z150" s="356" t="e">
        <f>(Z144+Z145+Z148+Z149+Z146)-Z147</f>
        <v>#VALUE!</v>
      </c>
      <c r="AB150" s="254" t="s">
        <v>169</v>
      </c>
      <c r="AC150" s="254"/>
      <c r="AD150" s="254"/>
      <c r="AE150" s="254"/>
      <c r="AF150" s="254"/>
      <c r="AG150" s="254"/>
      <c r="AH150" s="453">
        <f t="shared" si="9"/>
        <v>0</v>
      </c>
      <c r="AI150" s="356" t="e">
        <f>(AI144+AI145+AI148+AI149+AI146)-AI147</f>
        <v>#VALUE!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268">
        <f>F151</f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7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8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9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80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>
        <v>0</v>
      </c>
      <c r="C153" s="257"/>
      <c r="D153" s="257"/>
      <c r="E153" s="257"/>
      <c r="F153" s="257"/>
      <c r="G153" s="268">
        <v>0</v>
      </c>
      <c r="H153" s="268"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268"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268"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359">
        <f>G150-((G153*1.2)+(G154*1.2)+(G155*1.2)+(G151*1.2))</f>
        <v>21099.996</v>
      </c>
      <c r="H156" s="359">
        <f>H150-((H153*1.2)+(H154*1.2)+(H155*1.2)+(H151*1.2))</f>
        <v>23499.996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0</v>
      </c>
      <c r="Q156" s="359" t="e">
        <f>Q150-((Q153*1.2)+(Q154*1.2)+(Q155*1.2)+(Q151*1.2))</f>
        <v>#VALUE!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0</v>
      </c>
      <c r="Z156" s="359" t="e">
        <f>Z150-((Z153*1.2)+(Z154*1.2)+(Z155*1.2)+(Z151*1.2))</f>
        <v>#VALUE!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0</v>
      </c>
      <c r="AI156" s="359" t="e">
        <f>AI150-((AI153*1.2)+(AI154*1.2)+(AI155*1.2)+(AI151*1.2))</f>
        <v>#VALUE!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5"/>
      <c r="H157" s="268">
        <f>((H156-G156)-(H146-G146))+((I155-I154)*0.2)</f>
        <v>2000</v>
      </c>
      <c r="I157" s="239">
        <f>(H157-G90)/1.2</f>
        <v>-15083.33</v>
      </c>
      <c r="J157" s="254" t="s">
        <v>174</v>
      </c>
      <c r="K157" s="254"/>
      <c r="L157" s="254"/>
      <c r="M157" s="254"/>
      <c r="N157" s="254"/>
      <c r="O157" s="254"/>
      <c r="P157" s="392"/>
      <c r="Q157" s="268" t="e">
        <f>Q156-P156</f>
        <v>#VALUE!</v>
      </c>
      <c r="S157" s="254" t="s">
        <v>174</v>
      </c>
      <c r="T157" s="254"/>
      <c r="U157" s="254"/>
      <c r="V157" s="254"/>
      <c r="W157" s="254"/>
      <c r="X157" s="254"/>
      <c r="Y157" s="392"/>
      <c r="Z157" s="268" t="e">
        <f>Z156-Y156</f>
        <v>#VALUE!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 t="e">
        <f>AI156-AH156</f>
        <v>#VALUE!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23499.996</v>
      </c>
      <c r="H167" s="362"/>
      <c r="J167" s="361" t="s">
        <v>181</v>
      </c>
      <c r="K167" s="368"/>
      <c r="L167" s="368"/>
      <c r="M167" s="262"/>
      <c r="N167" s="368"/>
      <c r="O167" s="262"/>
      <c r="P167" s="362" t="e">
        <f>Q156-P163-P166</f>
        <v>#VALUE!</v>
      </c>
      <c r="Q167" s="362"/>
      <c r="S167" s="361" t="s">
        <v>181</v>
      </c>
      <c r="T167" s="368"/>
      <c r="U167" s="368"/>
      <c r="V167" s="262"/>
      <c r="W167" s="368"/>
      <c r="X167" s="262"/>
      <c r="Y167" s="362" t="e">
        <f>Z156-Y163-Y166</f>
        <v>#VALUE!</v>
      </c>
      <c r="Z167" s="362"/>
      <c r="AB167" s="361" t="s">
        <v>181</v>
      </c>
      <c r="AC167" s="368"/>
      <c r="AD167" s="368"/>
      <c r="AE167" s="262"/>
      <c r="AF167" s="368"/>
      <c r="AG167" s="262"/>
      <c r="AH167" s="362" t="e">
        <f>AI156-AH163-AH166</f>
        <v>#VALUE!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199.99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7200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1329.31898920786</v>
      </c>
      <c r="B176" s="126">
        <f>B103</f>
        <v>0</v>
      </c>
      <c r="C176" s="365"/>
      <c r="D176" s="365"/>
      <c r="E176" s="126">
        <f>B105</f>
        <v>1329.31898920786</v>
      </c>
      <c r="F176" s="262"/>
      <c r="G176" s="262">
        <f>ROUND(G104,2)</f>
        <v>1253.62</v>
      </c>
      <c r="H176" s="180"/>
      <c r="J176" s="366" t="e">
        <f>K104</f>
        <v>#VALUE!</v>
      </c>
      <c r="K176" s="458">
        <f>K103</f>
        <v>0</v>
      </c>
      <c r="L176" s="457"/>
      <c r="M176" s="457"/>
      <c r="N176" s="458" t="e">
        <f>K105</f>
        <v>#VALUE!</v>
      </c>
      <c r="O176" s="262"/>
      <c r="P176" s="262"/>
      <c r="Q176" s="180"/>
      <c r="S176" s="366" t="e">
        <f>T104</f>
        <v>#VALUE!</v>
      </c>
      <c r="T176" s="458">
        <f>T103</f>
        <v>0</v>
      </c>
      <c r="U176" s="457"/>
      <c r="V176" s="457"/>
      <c r="W176" s="458" t="e">
        <f>T105</f>
        <v>#VALUE!</v>
      </c>
      <c r="X176" s="262"/>
      <c r="Y176" s="262"/>
      <c r="Z176" s="180"/>
      <c r="AB176" s="366" t="e">
        <f>AC104</f>
        <v>#VALUE!</v>
      </c>
      <c r="AC176" s="458">
        <f>AC103</f>
        <v>0</v>
      </c>
      <c r="AD176" s="457"/>
      <c r="AE176" s="457"/>
      <c r="AF176" s="458" t="e">
        <f>AC105</f>
        <v>#VALUE!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 t="str">
        <f>K29</f>
        <v>12</v>
      </c>
      <c r="B179" s="42" t="str">
        <f>K30</f>
        <v>5000</v>
      </c>
      <c r="C179" s="367"/>
      <c r="D179" s="262"/>
      <c r="E179" s="274">
        <v>6000</v>
      </c>
      <c r="F179" s="262"/>
      <c r="G179" s="262"/>
      <c r="H179" s="180"/>
      <c r="J179" s="270" t="str">
        <f>K29</f>
        <v>12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12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12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19583.33</v>
      </c>
      <c r="B182" s="133">
        <f>H146</f>
        <v>3916.666</v>
      </c>
      <c r="C182" s="272"/>
      <c r="D182" s="262"/>
      <c r="E182" s="274">
        <f>H148+H149</f>
        <v>0</v>
      </c>
      <c r="F182" s="262"/>
      <c r="G182" s="262"/>
      <c r="H182" s="180"/>
      <c r="J182" s="132" t="e">
        <f>Q150-Q146-Q148-Q149</f>
        <v>#VALUE!</v>
      </c>
      <c r="K182" s="127" t="e">
        <f>Q146</f>
        <v>#VALUE!</v>
      </c>
      <c r="L182" s="388"/>
      <c r="M182" s="262"/>
      <c r="N182" s="53">
        <f>Q148+Q149</f>
        <v>55</v>
      </c>
      <c r="O182" s="262"/>
      <c r="P182" s="262"/>
      <c r="Q182" s="180"/>
      <c r="S182" s="132" t="e">
        <f>Z150-Z146-Z148-Z149</f>
        <v>#VALUE!</v>
      </c>
      <c r="T182" s="127" t="e">
        <f>Z146</f>
        <v>#VALUE!</v>
      </c>
      <c r="U182" s="388"/>
      <c r="V182" s="262"/>
      <c r="W182" s="53">
        <f>Z148+Z149</f>
        <v>55</v>
      </c>
      <c r="X182" s="262"/>
      <c r="Y182" s="262"/>
      <c r="Z182" s="180"/>
      <c r="AB182" s="132" t="e">
        <f>AI150-AI146-AI148-AI149</f>
        <v>#VALUE!</v>
      </c>
      <c r="AC182" s="127" t="e">
        <f>AI146</f>
        <v>#VALUE!</v>
      </c>
      <c r="AD182" s="388"/>
      <c r="AE182" s="262"/>
      <c r="AF182" s="53">
        <f>AI148+AI149</f>
        <v>55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23499.996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 t="e">
        <f>Q150</f>
        <v>#VALUE!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 t="e">
        <f>Z150</f>
        <v>#VALUE!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 t="e">
        <f>AI150</f>
        <v>#VALUE!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23499.996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 t="e">
        <f>J185-J188-K188</f>
        <v>#VALUE!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 t="e">
        <f>S185-S188-T188</f>
        <v>#VALUE!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 t="e">
        <f>AB185-AB188-AC188</f>
        <v>#VALUE!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-2877.48711871359</v>
      </c>
      <c r="B191" s="133" t="str">
        <f>B123</f>
        <v>199.99</v>
      </c>
      <c r="C191" s="133"/>
      <c r="D191" s="262"/>
      <c r="E191" s="133">
        <f>E188+A191+(B191*1.2)+A194</f>
        <v>20872.4968812864</v>
      </c>
      <c r="F191" s="262"/>
      <c r="G191" s="262"/>
      <c r="H191" s="141"/>
      <c r="J191" s="134" t="e">
        <f>(J176*K68)+N194-N188-J194</f>
        <v>#VALUE!</v>
      </c>
      <c r="K191" s="127">
        <f>K123</f>
        <v>239.99</v>
      </c>
      <c r="L191" s="127"/>
      <c r="M191" s="262"/>
      <c r="N191" s="127" t="e">
        <f>N188+J191+K191+J194</f>
        <v>#VALUE!</v>
      </c>
      <c r="O191" s="262"/>
      <c r="P191" s="262"/>
      <c r="Q191" s="141"/>
      <c r="S191" s="134" t="e">
        <f>(S176*T68)+W194-W188-S194</f>
        <v>#VALUE!</v>
      </c>
      <c r="T191" s="127">
        <f>T123</f>
        <v>199.99</v>
      </c>
      <c r="U191" s="127"/>
      <c r="V191" s="262"/>
      <c r="W191" s="127" t="e">
        <f>W188+S191+T191+S194</f>
        <v>#VALUE!</v>
      </c>
      <c r="X191" s="262"/>
      <c r="Y191" s="262"/>
      <c r="Z191" s="141"/>
      <c r="AB191" s="134" t="e">
        <f>(AB176*AC68)+AF194-AF188-AB194</f>
        <v>#VALUE!</v>
      </c>
      <c r="AC191" s="127">
        <f>AC123</f>
        <v>239.99</v>
      </c>
      <c r="AD191" s="127"/>
      <c r="AE191" s="262"/>
      <c r="AF191" s="127" t="e">
        <f>AF188+AB191+AC191+AB194</f>
        <v>#VALUE!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A188+B191*1.2</f>
        <v>239.988</v>
      </c>
      <c r="C194" s="133"/>
      <c r="D194" s="262"/>
      <c r="E194" s="133">
        <f>E179+A194</f>
        <v>6010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</f>
        <v>8.1052</v>
      </c>
      <c r="B197" s="133">
        <f>(G167*B76)/1.2</f>
        <v>97.91665</v>
      </c>
      <c r="C197" s="250"/>
      <c r="D197" s="250"/>
      <c r="E197" s="133">
        <f>IF(E114="YES",(K55*A117*0.1),0)</f>
        <v>0</v>
      </c>
      <c r="F197" s="262"/>
      <c r="G197" s="262"/>
      <c r="H197" s="180"/>
      <c r="J197" s="134">
        <f>IF(N114="YES",H15*0.000002,0)</f>
        <v>0</v>
      </c>
      <c r="K197" s="127" t="e">
        <f>(P167*K76)/1.2</f>
        <v>#VALUE!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 t="e">
        <f>(Y167*T76)/1.2</f>
        <v>#VALUE!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 t="e">
        <f>(AH167*AC76)/1.2</f>
        <v>#VALUE!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B191-100</f>
        <v>99.99</v>
      </c>
      <c r="B200" s="133">
        <f>B197+E197+A200</f>
        <v>197.90665</v>
      </c>
      <c r="C200" s="250"/>
      <c r="D200" s="250"/>
      <c r="E200" s="133">
        <f>H157</f>
        <v>2000</v>
      </c>
      <c r="F200" s="262"/>
      <c r="G200" s="262"/>
      <c r="H200" s="180"/>
      <c r="J200" s="134">
        <f>K194-100</f>
        <v>1139.99</v>
      </c>
      <c r="K200" s="127" t="e">
        <f>K197+N197+J200</f>
        <v>#VALUE!</v>
      </c>
      <c r="L200" s="368"/>
      <c r="M200" s="368"/>
      <c r="N200" s="127" t="e">
        <f>Q157</f>
        <v>#VALUE!</v>
      </c>
      <c r="O200" s="262"/>
      <c r="P200" s="262"/>
      <c r="Q200" s="180"/>
      <c r="S200" s="134">
        <f>T194-100</f>
        <v>1099.99</v>
      </c>
      <c r="T200" s="127" t="e">
        <f>T197+W197+S200</f>
        <v>#VALUE!</v>
      </c>
      <c r="U200" s="368"/>
      <c r="V200" s="368"/>
      <c r="W200" s="127" t="e">
        <f>Z157</f>
        <v>#VALUE!</v>
      </c>
      <c r="X200" s="368"/>
      <c r="Y200" s="368"/>
      <c r="Z200" s="180"/>
      <c r="AB200" s="134">
        <f>AC194-100</f>
        <v>1139.99</v>
      </c>
      <c r="AC200" s="127" t="e">
        <f>AC197+AF197+AB200</f>
        <v>#VALUE!</v>
      </c>
      <c r="AD200" s="368"/>
      <c r="AE200" s="368"/>
      <c r="AF200" s="127" t="e">
        <f>AI157</f>
        <v>#VALUE!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12</v>
      </c>
      <c r="B206" s="71">
        <f>B105</f>
        <v>1329.31898920786</v>
      </c>
      <c r="C206" s="71"/>
      <c r="D206" s="71"/>
      <c r="E206" s="262"/>
      <c r="F206" s="262"/>
      <c r="G206" s="262"/>
      <c r="H206" s="180"/>
      <c r="J206" s="289" t="str">
        <f>K29</f>
        <v>12</v>
      </c>
      <c r="K206" s="71" t="e">
        <f>K105</f>
        <v>#VALUE!</v>
      </c>
      <c r="L206" s="71"/>
      <c r="M206" s="71"/>
      <c r="N206" s="262"/>
      <c r="O206" s="262"/>
      <c r="P206" s="262"/>
      <c r="Q206" s="180"/>
      <c r="S206" s="289" t="str">
        <f>K29</f>
        <v>12</v>
      </c>
      <c r="T206" s="71" t="e">
        <f>T105</f>
        <v>#VALUE!</v>
      </c>
      <c r="U206" s="71"/>
      <c r="V206" s="71"/>
      <c r="W206" s="262"/>
      <c r="X206" s="262"/>
      <c r="Y206" s="262"/>
      <c r="Z206" s="180"/>
      <c r="AB206" s="289" t="str">
        <f>K29</f>
        <v>12</v>
      </c>
      <c r="AC206" s="71" t="e">
        <f>AC105</f>
        <v>#VALUE!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(G176*B68)+E194-E188-A194</f>
        <v>-3710.176</v>
      </c>
      <c r="B210" s="272">
        <f>E188+A210+(B191*1.2)+A194</f>
        <v>20039.808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12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1329.31898920786</v>
      </c>
      <c r="B221" s="126">
        <f>B176</f>
        <v>0</v>
      </c>
      <c r="C221" s="365"/>
      <c r="D221" s="365"/>
      <c r="E221" s="126">
        <f>E176</f>
        <v>1329.31898920786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19583.33</v>
      </c>
      <c r="B224" s="133">
        <f>B182</f>
        <v>3916.666</v>
      </c>
      <c r="C224" s="272"/>
      <c r="D224" s="291"/>
      <c r="E224" s="274">
        <f>E182</f>
        <v>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23499.996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23499.996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-2877.48711871359</v>
      </c>
      <c r="B233" s="133" t="str">
        <f>B191</f>
        <v>199.99</v>
      </c>
      <c r="C233" s="133"/>
      <c r="D233" s="291"/>
      <c r="E233" s="133">
        <f>E191</f>
        <v>20872.4968812864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239.988</v>
      </c>
      <c r="C236" s="133"/>
      <c r="D236" s="291"/>
      <c r="E236" s="133">
        <f>B68</f>
        <v>11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1329.31898920786</v>
      </c>
      <c r="B239" s="133">
        <f>B176</f>
        <v>0</v>
      </c>
      <c r="C239" s="272"/>
      <c r="D239" s="272"/>
      <c r="E239" s="133">
        <f>E176</f>
        <v>1329.31898920786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6000</v>
      </c>
      <c r="B242" s="133">
        <f>E194</f>
        <v>6010</v>
      </c>
      <c r="C242" s="250"/>
      <c r="D242" s="250"/>
      <c r="E242" s="133">
        <f>J18*0.000006*100</f>
        <v>24.3156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8.1052</v>
      </c>
      <c r="B245" s="133">
        <f>E242+A245</f>
        <v>32.4208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2000</v>
      </c>
      <c r="B249" s="133">
        <f>B197</f>
        <v>97.91665</v>
      </c>
      <c r="C249" s="250"/>
      <c r="D249" s="250"/>
      <c r="E249" s="133">
        <f>E197</f>
        <v>0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</v>
      </c>
      <c r="B252" s="133">
        <f>B249+E249+A252+A249</f>
        <v>2197.90665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0.1255</v>
      </c>
      <c r="G262" s="262"/>
      <c r="H262" s="180"/>
    </row>
    <row r="263" spans="1:8">
      <c r="A263" s="370" t="s">
        <v>217</v>
      </c>
      <c r="B263" s="378">
        <f>(E191-B191)-(B210-B191-A194)</f>
        <v>842.688881286413</v>
      </c>
      <c r="C263" s="376"/>
      <c r="D263" s="377" t="s">
        <v>218</v>
      </c>
      <c r="E263" s="377"/>
      <c r="F263" s="378">
        <f>F270+F276+F278+B279+B280</f>
        <v>117.49998</v>
      </c>
      <c r="G263" s="262"/>
      <c r="H263" s="180"/>
    </row>
    <row r="264" spans="1:8">
      <c r="A264" s="370" t="s">
        <v>219</v>
      </c>
      <c r="B264" s="378">
        <f>F271+B272</f>
        <v>99.99</v>
      </c>
      <c r="C264" s="376"/>
      <c r="D264" s="377" t="s">
        <v>220</v>
      </c>
      <c r="E264" s="377"/>
      <c r="F264" s="378">
        <f>(B263-F263)+B264</f>
        <v>825.178901286413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0.1255</v>
      </c>
      <c r="C269" s="388"/>
      <c r="D269" s="105" t="s">
        <v>217</v>
      </c>
      <c r="E269" s="105"/>
      <c r="F269" s="389">
        <f>(B98*B68)-(C98*B68)</f>
        <v>14622.5088812864</v>
      </c>
      <c r="G269" s="262"/>
      <c r="H269" s="180"/>
    </row>
    <row r="270" ht="19.5" spans="1:8">
      <c r="A270" s="245" t="s">
        <v>223</v>
      </c>
      <c r="B270" s="387">
        <f>B76</f>
        <v>0.005</v>
      </c>
      <c r="C270" s="368"/>
      <c r="D270" s="105" t="s">
        <v>223</v>
      </c>
      <c r="E270" s="105"/>
      <c r="F270" s="144">
        <f>B77</f>
        <v>117.49998</v>
      </c>
      <c r="G270" s="262"/>
      <c r="H270" s="180"/>
    </row>
    <row r="271" ht="19.5" spans="1:8">
      <c r="A271" s="245" t="s">
        <v>224</v>
      </c>
      <c r="B271" s="383">
        <f>A117</f>
        <v>0.2</v>
      </c>
      <c r="C271" s="368"/>
      <c r="D271" s="105" t="s">
        <v>224</v>
      </c>
      <c r="E271" s="105"/>
      <c r="F271" s="389">
        <f>E249*10</f>
        <v>0</v>
      </c>
      <c r="G271" s="262"/>
      <c r="H271" s="180"/>
    </row>
    <row r="272" spans="1:8">
      <c r="A272" s="245" t="s">
        <v>225</v>
      </c>
      <c r="B272" s="389">
        <f>A252</f>
        <v>99.99</v>
      </c>
      <c r="C272" s="368"/>
      <c r="D272" s="129" t="s">
        <v>220</v>
      </c>
      <c r="E272" s="129"/>
      <c r="F272" s="389">
        <f>(B263-F263)+B264</f>
        <v>825.178901286413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67">
    <mergeCell ref="A1:F1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  <mergeCell ref="D7:E18"/>
    <mergeCell ref="A16:C18"/>
  </mergeCells>
  <dataValidations count="5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53:A155">
      <formula1>#REF!</formula1>
    </dataValidation>
    <dataValidation type="list" allowBlank="1" showInputMessage="1" showErrorMessage="1" sqref="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0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21099.996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17583.33</v>
      </c>
      <c r="C9" s="82">
        <f>B9*0.2</f>
        <v>3516.666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17583.33</v>
      </c>
      <c r="C15" s="82">
        <f>SUM(C9:C13)</f>
        <v>3516.666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244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 t="s">
        <v>249</v>
      </c>
      <c r="J36" s="404" t="s">
        <v>51</v>
      </c>
      <c r="K36" s="407">
        <f>K32-K34</f>
        <v>20100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18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500.363636363636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414" t="s">
        <v>4</v>
      </c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500.363636363636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40526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16806.5358348192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220.3124625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20100</v>
      </c>
      <c r="C81" s="250"/>
      <c r="D81" s="250"/>
      <c r="E81" s="291"/>
      <c r="F81" s="264" t="s">
        <v>106</v>
      </c>
      <c r="G81" s="266">
        <f>B81</f>
        <v>20100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5255.82391109543</v>
      </c>
      <c r="C86" s="250">
        <f>(B82/((1+B84)^(B85+1)))</f>
        <v>5255.82391109543</v>
      </c>
      <c r="D86" s="250"/>
      <c r="E86" s="291"/>
      <c r="F86" s="245" t="s">
        <v>111</v>
      </c>
      <c r="G86" s="180">
        <f>(G82/((1+G84)^(G85+1)))</f>
        <v>6024.37295128565</v>
      </c>
      <c r="H86" s="180"/>
    </row>
    <row r="87" spans="1:8">
      <c r="A87" s="245" t="s">
        <v>112</v>
      </c>
      <c r="B87" s="180">
        <f>((1-(1/((1+B84)^B85)))/B84)</f>
        <v>27.4464895133802</v>
      </c>
      <c r="C87" s="250">
        <f>((1-(1/((1+B84)^B85)))/B84)</f>
        <v>27.4464895133802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14844.1760889046</v>
      </c>
      <c r="C88" s="250">
        <f>B81-B86</f>
        <v>14844.1760889046</v>
      </c>
      <c r="D88" s="250"/>
      <c r="E88" s="291"/>
      <c r="F88" s="245" t="s">
        <v>113</v>
      </c>
      <c r="G88" s="180">
        <f>G81-G86</f>
        <v>14075.6270487143</v>
      </c>
      <c r="H88" s="180"/>
    </row>
    <row r="89" spans="1:8">
      <c r="A89" s="245" t="s">
        <v>114</v>
      </c>
      <c r="B89" s="180">
        <f>(B88/B87)</f>
        <v>540.840608474464</v>
      </c>
      <c r="C89" s="250">
        <f>(B88/B87)</f>
        <v>540.840608474464</v>
      </c>
      <c r="D89" s="250"/>
      <c r="E89" s="291"/>
      <c r="F89" s="245" t="s">
        <v>114</v>
      </c>
      <c r="G89" s="180">
        <f>(G88/G87)</f>
        <v>480.272828124815</v>
      </c>
      <c r="H89" s="180"/>
    </row>
    <row r="90" spans="1:8">
      <c r="A90" s="245" t="s">
        <v>115</v>
      </c>
      <c r="B90" s="180">
        <f>((B89*(B85))+B77)</f>
        <v>17306.8994711829</v>
      </c>
      <c r="C90" s="250"/>
      <c r="D90" s="250"/>
      <c r="E90" s="291"/>
      <c r="F90" s="245" t="s">
        <v>115</v>
      </c>
      <c r="G90" s="180">
        <f>((G89*(G85))+G77)</f>
        <v>15368.7304999941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17306.8994711829</v>
      </c>
      <c r="C92" s="250"/>
      <c r="D92" s="250"/>
      <c r="E92" s="291"/>
      <c r="F92" s="275" t="s">
        <v>117</v>
      </c>
      <c r="G92" s="281">
        <f>(G90+G91)</f>
        <v>15368.7304999941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>
        <f>IF(B38="YES",((H36/B85)*(1+A108)*1.2),"0")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540.840608474464</v>
      </c>
      <c r="C95" s="250"/>
      <c r="D95" s="250"/>
      <c r="E95" s="291"/>
      <c r="F95" s="319" t="s">
        <v>119</v>
      </c>
      <c r="G95" s="320">
        <f>G92/(G85)</f>
        <v>480.272828124815</v>
      </c>
      <c r="H95" s="180"/>
    </row>
    <row r="96" ht="19.5" spans="1:8">
      <c r="A96" s="321" t="s">
        <v>120</v>
      </c>
      <c r="B96" s="322">
        <f>B94+B95</f>
        <v>540.840608474464</v>
      </c>
      <c r="C96" s="250"/>
      <c r="D96" s="250"/>
      <c r="E96" s="291"/>
      <c r="F96" s="321" t="s">
        <v>120</v>
      </c>
      <c r="G96" s="322">
        <f>G94+G95</f>
        <v>480.272828124815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0.115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21099.996</v>
      </c>
      <c r="C121" s="336">
        <v>19583.33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21099.996</v>
      </c>
      <c r="C125" s="80">
        <f t="shared" si="0"/>
        <v>19583.33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17583.33</v>
      </c>
      <c r="H135" s="354">
        <f>C125+E125+G125+H128</f>
        <v>19583.33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21099.996</v>
      </c>
      <c r="H147" s="359">
        <f>H141-((H144*1.2)+(H145*1.2)+(H146*1.2)+(H142*1.2))</f>
        <v>23499.996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-15083.3333333333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23499.996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540.840608474464</v>
      </c>
      <c r="B167" s="126">
        <f>B94</f>
        <v>0</v>
      </c>
      <c r="C167" s="365"/>
      <c r="D167" s="365"/>
      <c r="E167" s="126">
        <f>B96</f>
        <v>540.840608474464</v>
      </c>
      <c r="F167" s="262"/>
      <c r="G167" s="262">
        <f>ROUND(G95,2)</f>
        <v>480.27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>
        <f>B29</f>
        <v>12345</v>
      </c>
      <c r="B170" s="42">
        <f>B30</f>
        <v>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23499.996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23499.996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1006.90347118286</v>
      </c>
      <c r="B182" s="133" t="str">
        <f>B114</f>
        <v>239.99</v>
      </c>
      <c r="C182" s="133"/>
      <c r="D182" s="262"/>
      <c r="E182" s="133">
        <f>E179+A182+B182+A185</f>
        <v>24756.8894711829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9.72624</v>
      </c>
      <c r="B188" s="133">
        <f>(G158*B67)/1.2</f>
        <v>183.59371875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283.585385416667</v>
      </c>
      <c r="C191" s="250"/>
      <c r="D191" s="250"/>
      <c r="E191" s="133">
        <f>H148</f>
        <v>2000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540.840608474464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-931.356000000003</v>
      </c>
      <c r="B201" s="272">
        <f>E179+A201+B182+A185</f>
        <v>22818.63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540.840608474464</v>
      </c>
      <c r="B212" s="126">
        <f>B167</f>
        <v>0</v>
      </c>
      <c r="C212" s="365"/>
      <c r="D212" s="365"/>
      <c r="E212" s="126">
        <f>E167</f>
        <v>540.840608474464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23499.996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1006.90347118286</v>
      </c>
      <c r="B224" s="133" t="str">
        <f>B182</f>
        <v>239.99</v>
      </c>
      <c r="C224" s="133"/>
      <c r="D224" s="291"/>
      <c r="E224" s="133">
        <f>E182</f>
        <v>24756.8894711829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540.840608474464</v>
      </c>
      <c r="B230" s="133">
        <f>B167</f>
        <v>0</v>
      </c>
      <c r="C230" s="272"/>
      <c r="D230" s="272"/>
      <c r="E230" s="133">
        <f>E167</f>
        <v>540.840608474464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J18*0.000006*100*1.2</f>
        <v>29.17872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9.72624</v>
      </c>
      <c r="B236" s="133">
        <f>E233+A236</f>
        <v>38.90496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B188</f>
        <v>183.59371875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2283.58538541667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93">
        <f>(E182-B182)-(B201-B182-A185)</f>
        <v>1948.25947118286</v>
      </c>
      <c r="C254" s="376"/>
      <c r="D254" s="377" t="s">
        <v>218</v>
      </c>
      <c r="E254" s="377"/>
      <c r="F254" s="378">
        <f>F261+F267+F269+B270+B271</f>
        <v>220.3124625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1827.93867534953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(B89*B59)-(C89*B59)</f>
        <v>0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220.3124625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1827.93867534953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21099.996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17583.33</v>
      </c>
      <c r="C9" s="82">
        <f>B9*0.2</f>
        <v>3516.666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17583.33</v>
      </c>
      <c r="C15" s="82">
        <f>SUM(C9:C13)</f>
        <v>3516.666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244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20100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40526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0.072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14425.4239070671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117.49998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20100</v>
      </c>
      <c r="C81" s="250"/>
      <c r="D81" s="250"/>
      <c r="E81" s="291"/>
      <c r="F81" s="264" t="s">
        <v>106</v>
      </c>
      <c r="G81" s="266">
        <f>B81</f>
        <v>20100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0.1475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0.0122916666666667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6218.19813516518</v>
      </c>
      <c r="C86" s="250">
        <f>(B82/((1+B84)^(B85+1)))</f>
        <v>6218.19813516518</v>
      </c>
      <c r="D86" s="250"/>
      <c r="E86" s="291"/>
      <c r="F86" s="245" t="s">
        <v>111</v>
      </c>
      <c r="G86" s="180">
        <f>(G82/((1+G84)^(G85+1)))</f>
        <v>6748.06930144099</v>
      </c>
      <c r="H86" s="180"/>
    </row>
    <row r="87" spans="1:8">
      <c r="A87" s="245" t="s">
        <v>112</v>
      </c>
      <c r="B87" s="180">
        <f>((1-(1/((1+B84)^B85)))/B84)</f>
        <v>10.2301677524304</v>
      </c>
      <c r="C87" s="250">
        <f>((1-(1/((1+B84)^B85)))/B84)</f>
        <v>10.2301677524304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13881.8018648348</v>
      </c>
      <c r="C88" s="250">
        <f>B81-B86</f>
        <v>13881.8018648348</v>
      </c>
      <c r="D88" s="250"/>
      <c r="E88" s="291"/>
      <c r="F88" s="245" t="s">
        <v>113</v>
      </c>
      <c r="G88" s="180">
        <f>G81-G86</f>
        <v>13351.930698559</v>
      </c>
      <c r="H88" s="180"/>
    </row>
    <row r="89" spans="1:8">
      <c r="A89" s="245" t="s">
        <v>114</v>
      </c>
      <c r="B89" s="180">
        <f>(B88/B87)</f>
        <v>1356.94762791519</v>
      </c>
      <c r="C89" s="250">
        <f>(B88/B87)</f>
        <v>1356.94762791519</v>
      </c>
      <c r="D89" s="250"/>
      <c r="E89" s="291"/>
      <c r="F89" s="245" t="s">
        <v>114</v>
      </c>
      <c r="G89" s="180">
        <f>(G88/G87)</f>
        <v>1253.61592148113</v>
      </c>
      <c r="H89" s="180"/>
    </row>
    <row r="90" spans="1:8">
      <c r="A90" s="245" t="s">
        <v>115</v>
      </c>
      <c r="B90" s="180">
        <f>((B89*(B85))+B77)</f>
        <v>14926.4239070671</v>
      </c>
      <c r="C90" s="250"/>
      <c r="D90" s="250"/>
      <c r="E90" s="291"/>
      <c r="F90" s="245" t="s">
        <v>115</v>
      </c>
      <c r="G90" s="180">
        <f>((G89*(G85))+G77)</f>
        <v>13789.7751362925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14926.4239070671</v>
      </c>
      <c r="C92" s="250"/>
      <c r="D92" s="250"/>
      <c r="E92" s="291"/>
      <c r="F92" s="275" t="s">
        <v>117</v>
      </c>
      <c r="G92" s="281">
        <f>(G90+G91)</f>
        <v>13789.7751362925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1356.94762791519</v>
      </c>
      <c r="C95" s="250"/>
      <c r="D95" s="250"/>
      <c r="E95" s="291"/>
      <c r="F95" s="319" t="s">
        <v>119</v>
      </c>
      <c r="G95" s="320">
        <f>G92/(G85)</f>
        <v>1253.61592148113</v>
      </c>
      <c r="H95" s="180"/>
    </row>
    <row r="96" ht="19.5" spans="1:8">
      <c r="A96" s="321" t="s">
        <v>120</v>
      </c>
      <c r="B96" s="322">
        <f>B94+B95</f>
        <v>1356.94762791519</v>
      </c>
      <c r="C96" s="250"/>
      <c r="D96" s="250"/>
      <c r="E96" s="291"/>
      <c r="F96" s="321" t="s">
        <v>120</v>
      </c>
      <c r="G96" s="322">
        <f>G94+G95</f>
        <v>1253.61592148113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>
        <v>0</v>
      </c>
      <c r="C108" s="102"/>
      <c r="D108" s="102">
        <v>0</v>
      </c>
      <c r="E108" s="327">
        <f>B83</f>
        <v>0.1475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 t="s">
        <v>18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21099.996</v>
      </c>
      <c r="C121" s="336">
        <v>19583.33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21099.996</v>
      </c>
      <c r="C125" s="80">
        <f t="shared" si="0"/>
        <v>19583.33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17583.33</v>
      </c>
      <c r="H135" s="354">
        <f>C125+E125+G125+H128</f>
        <v>19583.33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21099.996</v>
      </c>
      <c r="H147" s="359">
        <f>H141-((H144*1.2)+(H145*1.2)+(H146*1.2)+(H142*1.2))</f>
        <v>23499.996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-15083.3333333333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23499.996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>
        <v>0</v>
      </c>
      <c r="F161" s="262"/>
      <c r="G161" s="262">
        <v>0</v>
      </c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>
        <v>0</v>
      </c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1356.94762791519</v>
      </c>
      <c r="B167" s="126" t="str">
        <f>B94</f>
        <v>0</v>
      </c>
      <c r="C167" s="365"/>
      <c r="D167" s="365"/>
      <c r="E167" s="126">
        <f>B96</f>
        <v>1356.94762791519</v>
      </c>
      <c r="F167" s="262"/>
      <c r="G167" s="262">
        <f>ROUND(G95,2)</f>
        <v>1253.62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2" t="str">
        <f>H30</f>
        <v>5000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23499.996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23499.996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-1373.57209293293</v>
      </c>
      <c r="B182" s="133" t="str">
        <f>B114</f>
        <v>199.99</v>
      </c>
      <c r="C182" s="133"/>
      <c r="D182" s="262"/>
      <c r="E182" s="133">
        <f>E179+A182+(B182*1.2)+A185</f>
        <v>22376.4119070671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A179+B182*1.2</f>
        <v>239.988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8.1052</v>
      </c>
      <c r="B188" s="133">
        <f>(G158*B67)/1.2</f>
        <v>97.91665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197.90665</v>
      </c>
      <c r="C191" s="250"/>
      <c r="D191" s="250"/>
      <c r="E191" s="133">
        <f>H148</f>
        <v>2000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1356.94762791519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-2510.176</v>
      </c>
      <c r="B201" s="272">
        <f>E179+A201+(B182*1.2)+A185</f>
        <v>21239.808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1356.94762791519</v>
      </c>
      <c r="B212" s="126" t="str">
        <f>B167</f>
        <v>0</v>
      </c>
      <c r="C212" s="365"/>
      <c r="D212" s="365"/>
      <c r="E212" s="126">
        <f>E167</f>
        <v>1356.94762791519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23499.996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-1373.57209293293</v>
      </c>
      <c r="B224" s="133" t="str">
        <f>B182</f>
        <v>199.99</v>
      </c>
      <c r="C224" s="133"/>
      <c r="D224" s="291"/>
      <c r="E224" s="133">
        <f>E182</f>
        <v>22376.4119070671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1356.94762791519</v>
      </c>
      <c r="B230" s="133" t="str">
        <f>B167</f>
        <v>0</v>
      </c>
      <c r="C230" s="272"/>
      <c r="D230" s="272"/>
      <c r="E230" s="133">
        <f>E167</f>
        <v>1356.94762791519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J18*0.000006*100</f>
        <v>24.3156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8.1052</v>
      </c>
      <c r="B236" s="133">
        <f>E233+A236</f>
        <v>32.4208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B188</f>
        <v>97.91665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2197.90665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0.1475</v>
      </c>
      <c r="G253" s="262"/>
      <c r="H253" s="180"/>
    </row>
    <row r="254" spans="1:8">
      <c r="A254" s="370" t="s">
        <v>217</v>
      </c>
      <c r="B254" s="378">
        <f>(E182-B182)-(B201-B182-A185)</f>
        <v>1146.60390706707</v>
      </c>
      <c r="C254" s="376"/>
      <c r="D254" s="377" t="s">
        <v>218</v>
      </c>
      <c r="E254" s="377"/>
      <c r="F254" s="378">
        <f>F261+F267+F269+B270+B271</f>
        <v>117.49998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1129.09392706707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0.072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0.1475</v>
      </c>
      <c r="C260" s="388"/>
      <c r="D260" s="105" t="s">
        <v>217</v>
      </c>
      <c r="E260" s="105"/>
      <c r="F260" s="389">
        <f>(B89*B59)-(C89*B59)</f>
        <v>0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117.49998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1129.09392706707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3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21099.996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17583.33</v>
      </c>
      <c r="C9" s="82">
        <f>B9*0.2</f>
        <v>3516.666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17583.33</v>
      </c>
      <c r="C15" s="82">
        <f>SUM(C9:C13)</f>
        <v>3516.666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244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20100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40526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14121.5131366378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117.49998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20100</v>
      </c>
      <c r="C81" s="250"/>
      <c r="D81" s="250"/>
      <c r="E81" s="291"/>
      <c r="F81" s="264" t="s">
        <v>106</v>
      </c>
      <c r="G81" s="266">
        <f>B81</f>
        <v>20100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0.1255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0.0104583333333333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6354.94179987962</v>
      </c>
      <c r="C86" s="250">
        <f>(B82/((1+B84)^(B85+1)))</f>
        <v>6354.94179987962</v>
      </c>
      <c r="D86" s="250"/>
      <c r="E86" s="291"/>
      <c r="F86" s="245" t="s">
        <v>111</v>
      </c>
      <c r="G86" s="180">
        <f>(G82/((1+G84)^(G85+1)))</f>
        <v>6748.06930144099</v>
      </c>
      <c r="H86" s="180"/>
    </row>
    <row r="87" spans="1:8">
      <c r="A87" s="245" t="s">
        <v>112</v>
      </c>
      <c r="B87" s="180">
        <f>((1-(1/((1+B84)^B85)))/B84)</f>
        <v>10.3399216528992</v>
      </c>
      <c r="C87" s="250">
        <f>((1-(1/((1+B84)^B85)))/B84)</f>
        <v>10.3399216528992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13745.0582001204</v>
      </c>
      <c r="C88" s="250">
        <f>B81-B86</f>
        <v>13745.0582001204</v>
      </c>
      <c r="D88" s="250"/>
      <c r="E88" s="291"/>
      <c r="F88" s="245" t="s">
        <v>113</v>
      </c>
      <c r="G88" s="180">
        <f>G81-G86</f>
        <v>13351.930698559</v>
      </c>
      <c r="H88" s="180"/>
    </row>
    <row r="89" spans="1:8">
      <c r="A89" s="245" t="s">
        <v>114</v>
      </c>
      <c r="B89" s="180">
        <f>(B88/B87)</f>
        <v>1329.31937605798</v>
      </c>
      <c r="C89" s="250">
        <f>(B88/B87)</f>
        <v>1329.31937605798</v>
      </c>
      <c r="D89" s="250"/>
      <c r="E89" s="291"/>
      <c r="F89" s="245" t="s">
        <v>114</v>
      </c>
      <c r="G89" s="180">
        <f>(G88/G87)</f>
        <v>1253.61592148113</v>
      </c>
      <c r="H89" s="180"/>
    </row>
    <row r="90" spans="1:8">
      <c r="A90" s="245" t="s">
        <v>115</v>
      </c>
      <c r="B90" s="180">
        <f>((B89*(B85))+B77)</f>
        <v>14622.5131366378</v>
      </c>
      <c r="C90" s="250"/>
      <c r="D90" s="250"/>
      <c r="E90" s="291"/>
      <c r="F90" s="245" t="s">
        <v>115</v>
      </c>
      <c r="G90" s="180">
        <f>((G89*(G85))+G77)</f>
        <v>13789.7751362925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14622.5131366378</v>
      </c>
      <c r="C92" s="250"/>
      <c r="D92" s="250"/>
      <c r="E92" s="291"/>
      <c r="F92" s="275" t="s">
        <v>117</v>
      </c>
      <c r="G92" s="281">
        <f>(G90+G91)</f>
        <v>13789.7751362925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IF(B38="YES",((H36/B85)*(1+A108)*1.2),"0")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1329.31937605798</v>
      </c>
      <c r="C95" s="250"/>
      <c r="D95" s="250"/>
      <c r="E95" s="291"/>
      <c r="F95" s="319" t="s">
        <v>119</v>
      </c>
      <c r="G95" s="320">
        <f>G92/(G85)</f>
        <v>1253.61592148113</v>
      </c>
      <c r="H95" s="180"/>
    </row>
    <row r="96" ht="19.5" spans="1:8">
      <c r="A96" s="321" t="s">
        <v>120</v>
      </c>
      <c r="B96" s="322">
        <f>B94+B95</f>
        <v>1329.31937605798</v>
      </c>
      <c r="C96" s="250"/>
      <c r="D96" s="250"/>
      <c r="E96" s="291"/>
      <c r="F96" s="321" t="s">
        <v>120</v>
      </c>
      <c r="G96" s="322">
        <f>G94+G95</f>
        <v>1253.61592148113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271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272</v>
      </c>
      <c r="C108" s="102"/>
      <c r="D108" s="102">
        <v>0</v>
      </c>
      <c r="E108" s="327">
        <f>B83</f>
        <v>0.1255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21099.996</v>
      </c>
      <c r="C121" s="336">
        <v>19583.33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21099.996</v>
      </c>
      <c r="C125" s="80">
        <f t="shared" si="0"/>
        <v>19583.33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17583.33</v>
      </c>
      <c r="H135" s="354">
        <f>C125+E125+G125+H128</f>
        <v>19583.33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21099.996</v>
      </c>
      <c r="H147" s="359">
        <f>H141-((H144*1.2)+(H145*1.2)+(H146*1.2)+(H142*1.2))</f>
        <v>23499.996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-15083.3333333333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23499.996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1329.31937605798</v>
      </c>
      <c r="B167" s="126" t="str">
        <f>B94</f>
        <v>0</v>
      </c>
      <c r="C167" s="365"/>
      <c r="D167" s="365"/>
      <c r="E167" s="126">
        <f>B96</f>
        <v>1329.31937605798</v>
      </c>
      <c r="F167" s="262"/>
      <c r="G167" s="262">
        <f>ROUND(G95,2)</f>
        <v>1253.62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0" t="str">
        <f>H30</f>
        <v>5000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23499.996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23499.996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-1677.4828633622</v>
      </c>
      <c r="B182" s="133" t="str">
        <f>B114</f>
        <v>239.99</v>
      </c>
      <c r="C182" s="133"/>
      <c r="D182" s="262"/>
      <c r="E182" s="133">
        <f>E179+A182+B182+A185</f>
        <v>22072.5031366378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9.72624</v>
      </c>
      <c r="B188" s="133">
        <f>(G158*B67)/1.2</f>
        <v>97.91665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197.908316666667</v>
      </c>
      <c r="C191" s="250"/>
      <c r="D191" s="250"/>
      <c r="E191" s="133">
        <f>H148</f>
        <v>2000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1329.31937605798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-2510.176</v>
      </c>
      <c r="B201" s="272">
        <f>E179+A201+B182+A185</f>
        <v>21239.81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1329.31937605798</v>
      </c>
      <c r="B212" s="126" t="str">
        <f>B167</f>
        <v>0</v>
      </c>
      <c r="C212" s="365"/>
      <c r="D212" s="365"/>
      <c r="E212" s="126">
        <f>E167</f>
        <v>1329.31937605798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23499.996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-1677.4828633622</v>
      </c>
      <c r="B224" s="133" t="str">
        <f>B182</f>
        <v>239.99</v>
      </c>
      <c r="C224" s="133"/>
      <c r="D224" s="291"/>
      <c r="E224" s="133">
        <f>E182</f>
        <v>22072.5031366378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1329.31937605798</v>
      </c>
      <c r="B230" s="133" t="str">
        <f>B167</f>
        <v>0</v>
      </c>
      <c r="C230" s="272"/>
      <c r="D230" s="272"/>
      <c r="E230" s="133">
        <f>E167</f>
        <v>1329.31937605798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A188</f>
        <v>9.72624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B188</f>
        <v>97.91665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2197.90831666667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0.1255</v>
      </c>
      <c r="G253" s="262"/>
      <c r="H253" s="180"/>
    </row>
    <row r="254" spans="1:8">
      <c r="A254" s="370" t="s">
        <v>217</v>
      </c>
      <c r="B254" s="393">
        <f>(E182-B182)-(B201-B182-A185)</f>
        <v>842.693136637805</v>
      </c>
      <c r="C254" s="376"/>
      <c r="D254" s="377" t="s">
        <v>218</v>
      </c>
      <c r="E254" s="377"/>
      <c r="F254" s="378">
        <f>F261+F267+F269+B270+B271</f>
        <v>117.49998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825.184823304471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0.1255</v>
      </c>
      <c r="C260" s="388"/>
      <c r="D260" s="105" t="s">
        <v>217</v>
      </c>
      <c r="E260" s="105"/>
      <c r="F260" s="389">
        <f>(B89*B59)-(C89*B59)</f>
        <v>0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117.49998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825.184823304471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6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21099.996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17583.33</v>
      </c>
      <c r="C9" s="82">
        <f>B9*0.2</f>
        <v>3516.666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17583.33</v>
      </c>
      <c r="C15" s="82">
        <f>SUM(C9:C13)</f>
        <v>3516.666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207" t="s">
        <v>244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20100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1:16">
      <c r="A54" s="402" t="s">
        <v>4</v>
      </c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40526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14121.5131366378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117.49998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20100</v>
      </c>
      <c r="C81" s="250"/>
      <c r="D81" s="250"/>
      <c r="E81" s="291"/>
      <c r="F81" s="264" t="s">
        <v>106</v>
      </c>
      <c r="G81" s="266">
        <f>B81</f>
        <v>20100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0.1255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0.0104583333333333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6354.94179987962</v>
      </c>
      <c r="C86" s="250">
        <f>(B82/((1+B84)^(B85+1)))</f>
        <v>6354.94179987962</v>
      </c>
      <c r="D86" s="250"/>
      <c r="E86" s="291"/>
      <c r="F86" s="245" t="s">
        <v>111</v>
      </c>
      <c r="G86" s="180">
        <f>(G82/((1+G84)^(G85+1)))</f>
        <v>6748.06930144099</v>
      </c>
      <c r="H86" s="180"/>
    </row>
    <row r="87" spans="1:8">
      <c r="A87" s="245" t="s">
        <v>112</v>
      </c>
      <c r="B87" s="180">
        <f>((1-(1/((1+B84)^B85)))/B84)</f>
        <v>10.3399216528992</v>
      </c>
      <c r="C87" s="250">
        <f>((1-(1/((1+B84)^B85)))/B84)</f>
        <v>10.3399216528992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13745.0582001204</v>
      </c>
      <c r="C88" s="250">
        <f>B81-B86</f>
        <v>13745.0582001204</v>
      </c>
      <c r="D88" s="250"/>
      <c r="E88" s="291"/>
      <c r="F88" s="245" t="s">
        <v>113</v>
      </c>
      <c r="G88" s="180">
        <f>G81-G86</f>
        <v>13351.930698559</v>
      </c>
      <c r="H88" s="180"/>
    </row>
    <row r="89" spans="1:8">
      <c r="A89" s="245" t="s">
        <v>114</v>
      </c>
      <c r="B89" s="180">
        <f>(B88/B87)</f>
        <v>1329.31937605798</v>
      </c>
      <c r="C89" s="250">
        <f>(B88/B87)</f>
        <v>1329.31937605798</v>
      </c>
      <c r="D89" s="250"/>
      <c r="E89" s="291"/>
      <c r="F89" s="245" t="s">
        <v>114</v>
      </c>
      <c r="G89" s="180">
        <f>(G88/G87)</f>
        <v>1253.61592148113</v>
      </c>
      <c r="H89" s="180"/>
    </row>
    <row r="90" spans="1:8">
      <c r="A90" s="245" t="s">
        <v>115</v>
      </c>
      <c r="B90" s="180">
        <f>((B89*(B85))+B77)</f>
        <v>14622.5131366378</v>
      </c>
      <c r="C90" s="250"/>
      <c r="D90" s="250"/>
      <c r="E90" s="291"/>
      <c r="F90" s="245" t="s">
        <v>115</v>
      </c>
      <c r="G90" s="180">
        <f>((G89*(G85))+G77)</f>
        <v>13789.7751362925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14622.5131366378</v>
      </c>
      <c r="C92" s="250"/>
      <c r="D92" s="250"/>
      <c r="E92" s="291"/>
      <c r="F92" s="275" t="s">
        <v>117</v>
      </c>
      <c r="G92" s="281">
        <f>(G90+G91)</f>
        <v>13789.7751362925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1329.31937605798</v>
      </c>
      <c r="C95" s="250"/>
      <c r="D95" s="250"/>
      <c r="E95" s="291"/>
      <c r="F95" s="319" t="s">
        <v>119</v>
      </c>
      <c r="G95" s="320">
        <f>G92/(G85)</f>
        <v>1253.61592148113</v>
      </c>
      <c r="H95" s="180"/>
    </row>
    <row r="96" ht="19.5" spans="1:8">
      <c r="A96" s="321" t="s">
        <v>120</v>
      </c>
      <c r="B96" s="322">
        <f>B94+B95</f>
        <v>1329.31937605798</v>
      </c>
      <c r="C96" s="250"/>
      <c r="D96" s="250"/>
      <c r="E96" s="291"/>
      <c r="F96" s="321" t="s">
        <v>120</v>
      </c>
      <c r="G96" s="322">
        <f>G94+G95</f>
        <v>1253.61592148113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0.1255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21099.996</v>
      </c>
      <c r="C121" s="336">
        <v>19583.33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21099.996</v>
      </c>
      <c r="C125" s="80">
        <f t="shared" si="0"/>
        <v>19583.33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17583.33</v>
      </c>
      <c r="H135" s="354">
        <f>C125+E125+G125+H128</f>
        <v>19583.33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21099.996</v>
      </c>
      <c r="H147" s="359">
        <f>H141-((H144*1.2)+(H145*1.2)+(H146*1.2)+(H142*1.2))</f>
        <v>23499.996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-15083.3333333333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23499.996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1329.31937605798</v>
      </c>
      <c r="B167" s="126" t="str">
        <f>B94</f>
        <v>0</v>
      </c>
      <c r="C167" s="365"/>
      <c r="D167" s="365"/>
      <c r="E167" s="126">
        <f>B96</f>
        <v>1329.31937605798</v>
      </c>
      <c r="F167" s="262"/>
      <c r="G167" s="262">
        <f>ROUND(G95,2)</f>
        <v>1253.62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0" t="str">
        <f>H30</f>
        <v>5000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23499.996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23499.996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-1677.4828633622</v>
      </c>
      <c r="B182" s="133" t="str">
        <f>B114</f>
        <v>199.99</v>
      </c>
      <c r="C182" s="133"/>
      <c r="D182" s="262"/>
      <c r="E182" s="133">
        <f>E179+A182+(B182*1.2)+A185</f>
        <v>22072.5011366378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A179+(B182*1.2)</f>
        <v>239.988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8.1052</v>
      </c>
      <c r="B188" s="133">
        <f>(G158*B67)/1.2</f>
        <v>97.91665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197.90665</v>
      </c>
      <c r="C191" s="250"/>
      <c r="D191" s="250"/>
      <c r="E191" s="133">
        <f>H148</f>
        <v>2000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1329.31937605798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-2510.176</v>
      </c>
      <c r="B201" s="272">
        <f>E179+A201+(B182*1.2)+A185</f>
        <v>21239.808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1329.31937605798</v>
      </c>
      <c r="B212" s="126" t="str">
        <f>B167</f>
        <v>0</v>
      </c>
      <c r="C212" s="365"/>
      <c r="D212" s="365"/>
      <c r="E212" s="126">
        <f>E167</f>
        <v>1329.31937605798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23499.996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-1677.4828633622</v>
      </c>
      <c r="B224" s="133" t="str">
        <f>B182</f>
        <v>199.99</v>
      </c>
      <c r="C224" s="133"/>
      <c r="D224" s="291"/>
      <c r="E224" s="133">
        <f>E182</f>
        <v>22072.5011366378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1329.31937605798</v>
      </c>
      <c r="B230" s="133" t="str">
        <f>B167</f>
        <v>0</v>
      </c>
      <c r="C230" s="272"/>
      <c r="D230" s="272"/>
      <c r="E230" s="133">
        <f>E167</f>
        <v>1329.31937605798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A188</f>
        <v>8.1052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B188</f>
        <v>97.91665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2197.90665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0.1255</v>
      </c>
      <c r="G253" s="262"/>
      <c r="H253" s="180"/>
    </row>
    <row r="254" spans="1:8">
      <c r="A254" s="370" t="s">
        <v>217</v>
      </c>
      <c r="B254" s="378">
        <f>(E182-B182)-(B201-B182-A185)</f>
        <v>842.693136637805</v>
      </c>
      <c r="C254" s="376"/>
      <c r="D254" s="377" t="s">
        <v>218</v>
      </c>
      <c r="E254" s="377"/>
      <c r="F254" s="378">
        <f>F261+F267+F269+B270+B271</f>
        <v>117.49998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825.183156637805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0.1255</v>
      </c>
      <c r="C260" s="388"/>
      <c r="D260" s="105" t="s">
        <v>217</v>
      </c>
      <c r="E260" s="105"/>
      <c r="F260" s="389">
        <f>(B89*B59)-(C89*B59)</f>
        <v>0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117.49998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825.183156637805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workbookViewId="0">
      <selection activeCell="D149" sqref="D149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207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50</v>
      </c>
      <c r="E32" s="37"/>
      <c r="F32" s="2"/>
      <c r="G32" s="38" t="s">
        <v>243</v>
      </c>
      <c r="H32" s="36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50</v>
      </c>
      <c r="B41" s="55">
        <f>IF(B38="YES",D38+A41,D38)</f>
        <v>550</v>
      </c>
      <c r="C41" s="55"/>
      <c r="D41" s="48">
        <v>12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</v>
      </c>
      <c r="B44" s="48">
        <v>1</v>
      </c>
      <c r="C44" s="48"/>
      <c r="D44" s="59">
        <f>A44+B44</f>
        <v>2</v>
      </c>
      <c r="E44" s="59"/>
      <c r="F44" s="2"/>
      <c r="G44" s="2" t="s">
        <v>257</v>
      </c>
      <c r="H44" s="50">
        <f>((A41*(B35-1))+D32)/B35</f>
        <v>50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551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1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11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276</v>
      </c>
      <c r="B60" s="13">
        <f>E19</f>
        <v>21099.996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40526</v>
      </c>
      <c r="C61" s="13"/>
      <c r="D61" s="13"/>
      <c r="E61" s="14"/>
      <c r="F61" s="2"/>
      <c r="G61" s="6" t="s">
        <v>14</v>
      </c>
      <c r="H61" s="12">
        <f>G18</f>
        <v>40526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1476.99972</v>
      </c>
      <c r="C64" s="13">
        <v>10000</v>
      </c>
      <c r="D64" s="12">
        <f>B64</f>
        <v>1476.99972</v>
      </c>
      <c r="E64" s="14"/>
      <c r="F64" s="2"/>
      <c r="G64" s="72" t="s">
        <v>91</v>
      </c>
      <c r="H64" s="80">
        <f>H61*H63</f>
        <v>2836.82</v>
      </c>
      <c r="I64" s="13"/>
      <c r="J64" s="12">
        <f>H64</f>
        <v>2836.82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210.99996</v>
      </c>
      <c r="C67" s="13"/>
      <c r="D67" s="12"/>
      <c r="E67" s="14"/>
      <c r="F67" s="2"/>
      <c r="G67" s="72" t="s">
        <v>94</v>
      </c>
      <c r="H67" s="80">
        <f>H61*H66</f>
        <v>202.63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>
        <f>IF(G18&gt;40000,325,0)</f>
        <v>325</v>
      </c>
      <c r="D75" s="13"/>
      <c r="E75" s="14"/>
      <c r="F75" s="2"/>
      <c r="G75" s="3" t="s">
        <v>280</v>
      </c>
      <c r="H75" s="88">
        <f>IF(G18&gt;40000,325,0)</f>
        <v>325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39.5833333333333</v>
      </c>
      <c r="I76" s="13"/>
      <c r="J76" s="12">
        <f>H76</f>
        <v>39.5833333333333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2803.66638666667</v>
      </c>
      <c r="C81" s="13"/>
      <c r="D81" s="13"/>
      <c r="E81" s="14"/>
      <c r="F81" s="2"/>
      <c r="G81" s="91" t="s">
        <v>103</v>
      </c>
      <c r="H81" s="92">
        <f>SUM(J64:J80)</f>
        <v>4490.40333333333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233.638865555556</v>
      </c>
      <c r="C82" s="13"/>
      <c r="D82" s="13"/>
      <c r="E82" s="14"/>
      <c r="F82" s="2"/>
      <c r="G82" s="6" t="s">
        <v>104</v>
      </c>
      <c r="H82" s="11">
        <f>H81/H29</f>
        <v>374.200277777778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((B83*(H29)+B81))*1.2</f>
        <v>10578.799664</v>
      </c>
      <c r="C85" s="13"/>
      <c r="D85" s="13"/>
      <c r="E85" s="14"/>
      <c r="F85" s="2"/>
      <c r="G85" s="75" t="s">
        <v>115</v>
      </c>
      <c r="H85" s="95">
        <f>((H83*(H27+H28))+H81)*1.2</f>
        <v>12602.884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(((B83*(H29))+B81)/(1-B70))*B70</f>
        <v>74.6789004114563</v>
      </c>
      <c r="C86" s="13"/>
      <c r="D86" s="13"/>
      <c r="E86" s="14"/>
      <c r="F86" s="2"/>
      <c r="G86" s="6" t="s">
        <v>116</v>
      </c>
      <c r="H86" s="11">
        <f>(((H83*(H27+H28))+H81)/(1-H70))*H70</f>
        <v>88.9675151270674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10653.4785644115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12591.8615151271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IF(B99=Z102,(((H44*B35)+(H44*B35)*(B105/100))/(B58))*1.2,(((H44*B35)+(H44*B35)*(B105/100))/(B57+B58))*1.2)</f>
        <v>78</v>
      </c>
      <c r="C89" s="13"/>
      <c r="D89" s="13"/>
      <c r="E89" s="14"/>
      <c r="F89" s="2"/>
      <c r="G89" s="91" t="s">
        <v>118</v>
      </c>
      <c r="H89" s="92">
        <f>(A41+(A41*H105))*1.2</f>
        <v>72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887.789880367621</v>
      </c>
      <c r="C90" s="13"/>
      <c r="D90" s="13"/>
      <c r="E90" s="14"/>
      <c r="F90" s="2"/>
      <c r="G90" s="97" t="s">
        <v>119</v>
      </c>
      <c r="H90" s="98">
        <f>IF(H99=AE98,(H87-J105)/(H58),H87/(H57+H58))</f>
        <v>1049.32179292726</v>
      </c>
      <c r="I90" s="13"/>
      <c r="J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965.789880367621</v>
      </c>
      <c r="C91" s="13"/>
      <c r="D91" s="13"/>
      <c r="E91" s="14"/>
      <c r="F91" s="2"/>
      <c r="G91" s="99" t="s">
        <v>120</v>
      </c>
      <c r="H91" s="100">
        <f>IF(G105="YES",H90+H89,H90)</f>
        <v>1121.32179292726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284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>
        <f>199.99*1.2</f>
        <v>239.988</v>
      </c>
      <c r="B102" s="102">
        <v>400</v>
      </c>
      <c r="C102" s="102"/>
      <c r="D102" s="102">
        <v>200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18</v>
      </c>
      <c r="B105" s="101">
        <v>30</v>
      </c>
      <c r="C105" s="101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>
        <v>0</v>
      </c>
      <c r="C108" s="27"/>
      <c r="D108" s="27">
        <v>0</v>
      </c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239.988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(E118+E117)-D115</f>
        <v>7239.988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887.789880367621</v>
      </c>
      <c r="B128" s="113">
        <f>IF(A105="YES",B89,0)</f>
        <v>78</v>
      </c>
      <c r="C128" s="119"/>
      <c r="D128" s="113">
        <f>B91</f>
        <v>965.789880367621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1049.32179292726</v>
      </c>
      <c r="H130" s="126">
        <f>IF(G105="YES",H89*H57,0)</f>
        <v>72</v>
      </c>
      <c r="I130" s="126"/>
      <c r="J130" s="167">
        <f>H91</f>
        <v>1121.32179292726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Monthly in advance </v>
      </c>
      <c r="B131" s="127">
        <f>B90*B57</f>
        <v>887.789880367621</v>
      </c>
      <c r="C131" s="109"/>
      <c r="D131" s="127">
        <f>IF(A105="YES",B89*B57,0)</f>
        <v>78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1049.32179292726</v>
      </c>
      <c r="H133" s="133">
        <f>IF(G105="YES",H89*H57,0)</f>
        <v>72</v>
      </c>
      <c r="I133" s="31"/>
      <c r="J133" s="53">
        <f>H91*H57</f>
        <v>1121.32179292726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965.789880367621</v>
      </c>
      <c r="B134" s="127">
        <f>E114</f>
        <v>4000</v>
      </c>
      <c r="C134" s="109"/>
      <c r="D134" s="135">
        <f>B58</f>
        <v>11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887.789880367621</v>
      </c>
      <c r="B137" s="127">
        <f>IF(A105="YES",B89,0)</f>
        <v>78</v>
      </c>
      <c r="C137" s="109"/>
      <c r="D137" s="127">
        <f>B91</f>
        <v>965.789880367621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202.63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29.17872</v>
      </c>
      <c r="B140" s="143">
        <f>G18*0.000002*1.2*100</f>
        <v>9.72624</v>
      </c>
      <c r="C140" s="109"/>
      <c r="D140" s="143">
        <f>A140+B140</f>
        <v>38.90496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7.2</v>
      </c>
      <c r="H142" s="133">
        <f>G102-100</f>
        <v>139.988</v>
      </c>
      <c r="I142" s="133"/>
      <c r="J142" s="133">
        <f>(H139+J139+G142+H142)-H145</f>
        <v>1429.818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239.988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210.99996</v>
      </c>
      <c r="B148" s="127">
        <f>B102</f>
        <v>400</v>
      </c>
      <c r="C148" s="127"/>
      <c r="D148" s="127">
        <f>IF(A105="YES",(A41*B105)*B125,0)*0.001</f>
        <v>18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(E118/1.2)-100</f>
        <v>99.99</v>
      </c>
      <c r="B151" s="127">
        <f>(A148+B148+D148+A151)*(A143/B64)</f>
        <v>0</v>
      </c>
      <c r="C151" s="127"/>
      <c r="D151" s="127">
        <f>(A148+B148+D148+A151)-B151</f>
        <v>728.98996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1121.32179292726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965.789880367621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887.789880367621</v>
      </c>
      <c r="B171" s="156">
        <f>IF(A105="YES",B89,0)</f>
        <v>78</v>
      </c>
      <c r="C171" s="159"/>
      <c r="D171" s="156">
        <f>B91</f>
        <v>965.789880367621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Monthly in advance </v>
      </c>
      <c r="B174" s="133">
        <f>B90*B57</f>
        <v>887.789880367621</v>
      </c>
      <c r="C174" s="154"/>
      <c r="D174" s="133">
        <f>IF(A105="YES",B89*B57,0)</f>
        <v>78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965.789880367621</v>
      </c>
      <c r="B177" s="133">
        <f>E114</f>
        <v>4000</v>
      </c>
      <c r="C177" s="154"/>
      <c r="D177" s="162">
        <f>B58</f>
        <v>11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887.789880367621</v>
      </c>
      <c r="B180" s="133">
        <f>IF(A105="YES",B89,0)</f>
        <v>78</v>
      </c>
      <c r="C180" s="154"/>
      <c r="D180" s="133">
        <f>B91</f>
        <v>965.789880367621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29.17872</v>
      </c>
      <c r="B183" s="166">
        <f>G18*0.000002*1.2*100</f>
        <v>9.72624</v>
      </c>
      <c r="C183" s="154"/>
      <c r="D183" s="166">
        <f>A183+B183</f>
        <v>38.90496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239.988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210.99996</v>
      </c>
      <c r="B191" s="133">
        <f>B102</f>
        <v>400</v>
      </c>
      <c r="C191" s="133"/>
      <c r="D191" s="133">
        <f>IF(A105="YES",(A38/100*B105)*B125,0)*0.001</f>
        <v>18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(E118/1.2)-100</f>
        <v>99.99</v>
      </c>
      <c r="B194" s="133">
        <f>(A148+B148+D148+A151)*(A143/B64)</f>
        <v>0</v>
      </c>
      <c r="C194" s="133"/>
      <c r="D194" s="133">
        <f>(A148+B148+D148+A151)-B151</f>
        <v>728.98996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B209</f>
        <v>0.065</v>
      </c>
      <c r="C203" s="113" t="s">
        <v>217</v>
      </c>
      <c r="D203" s="173">
        <f>D64</f>
        <v>1476.99972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210.99996</v>
      </c>
      <c r="C205" s="112" t="s">
        <v>219</v>
      </c>
      <c r="D205" s="173">
        <f>B219+E215+B215+B217</f>
        <v>519.99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1785.98976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1476.99972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210.99996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1785.98976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180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74.6789004114563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  <mergeCell ref="D7:E18"/>
    <mergeCell ref="A16:C18"/>
  </mergeCells>
  <dataValidations count="4">
    <dataValidation type="list" allowBlank="1" showErrorMessage="1" sqref="A32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</dataValidation>
    <dataValidation type="list" allowBlank="1" showErrorMessage="1" sqref="B38 A105 B110">
      <formula1>"NO,YES"</formula1>
    </dataValidation>
    <dataValidation type="list" allowBlank="1" showErrorMessage="1" sqref="B99">
      <formula1>'BCH (Formula 3) - PCH'!$Z$101:$Z$109</formula1>
    </dataValidation>
    <dataValidation type="list" allowBlank="1" showErrorMessage="1" sqref="H99 N99:O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topLeftCell="A121" workbookViewId="0">
      <selection activeCell="D149" sqref="D149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7.8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18500</v>
      </c>
      <c r="C2" s="416" t="s">
        <v>2</v>
      </c>
      <c r="D2" s="417">
        <f>C9</f>
        <v>3700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22200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18500</v>
      </c>
      <c r="C9" s="82">
        <f>B9*0.2</f>
        <v>3700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18500</v>
      </c>
      <c r="C15" s="82">
        <f>SUM(C9:C13)</f>
        <v>3700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207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22200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18500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50</v>
      </c>
      <c r="E32" s="37"/>
      <c r="F32" s="2"/>
      <c r="G32" s="38" t="s">
        <v>243</v>
      </c>
      <c r="H32" s="36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54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50</v>
      </c>
      <c r="B41" s="55">
        <f>IF(B38="YES",D38+A41,D38)</f>
        <v>550</v>
      </c>
      <c r="C41" s="55"/>
      <c r="D41" s="48">
        <v>12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</v>
      </c>
      <c r="B44" s="48">
        <v>1</v>
      </c>
      <c r="C44" s="48"/>
      <c r="D44" s="59">
        <f>A44+B44</f>
        <v>2</v>
      </c>
      <c r="E44" s="59"/>
      <c r="F44" s="2"/>
      <c r="G44" s="2" t="s">
        <v>257</v>
      </c>
      <c r="H44" s="50">
        <f>((A41*(B35-1))+D32)/B35</f>
        <v>50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>
        <f>(A41*(B58+B57))</f>
        <v>600</v>
      </c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551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1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11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276</v>
      </c>
      <c r="B60" s="13">
        <f>E19</f>
        <v>22200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40526</v>
      </c>
      <c r="C61" s="13"/>
      <c r="D61" s="13"/>
      <c r="E61" s="14"/>
      <c r="F61" s="2"/>
      <c r="G61" s="6" t="s">
        <v>14</v>
      </c>
      <c r="H61" s="12">
        <f>G18</f>
        <v>40526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1554</v>
      </c>
      <c r="C64" s="13">
        <v>10000</v>
      </c>
      <c r="D64" s="12">
        <f>B64</f>
        <v>1554</v>
      </c>
      <c r="E64" s="14"/>
      <c r="F64" s="2"/>
      <c r="G64" s="72" t="s">
        <v>91</v>
      </c>
      <c r="H64" s="80">
        <f>H61*H63</f>
        <v>2836.82</v>
      </c>
      <c r="I64" s="13"/>
      <c r="J64" s="12">
        <f>H64</f>
        <v>2836.82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222</v>
      </c>
      <c r="C67" s="13"/>
      <c r="D67" s="12"/>
      <c r="E67" s="14"/>
      <c r="F67" s="2"/>
      <c r="G67" s="72" t="s">
        <v>94</v>
      </c>
      <c r="H67" s="80">
        <f>H61*H66</f>
        <v>202.63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f>IF(G18&gt;40000,325,0)</f>
        <v>325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39.5833333333333</v>
      </c>
      <c r="I76" s="13"/>
      <c r="J76" s="12">
        <f>H76</f>
        <v>39.5833333333333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2880.66666666667</v>
      </c>
      <c r="C81" s="13"/>
      <c r="D81" s="13"/>
      <c r="E81" s="14"/>
      <c r="F81" s="2"/>
      <c r="G81" s="91" t="s">
        <v>103</v>
      </c>
      <c r="H81" s="92">
        <f>SUM(J64:J80)</f>
        <v>4490.40333333333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240.055555555556</v>
      </c>
      <c r="C82" s="13"/>
      <c r="D82" s="13"/>
      <c r="E82" s="14"/>
      <c r="F82" s="2"/>
      <c r="G82" s="6" t="s">
        <v>104</v>
      </c>
      <c r="H82" s="11">
        <f>H81/H29</f>
        <v>374.200277777778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</f>
        <v>8892.66666666667</v>
      </c>
      <c r="C85" s="13"/>
      <c r="D85" s="13"/>
      <c r="E85" s="14"/>
      <c r="F85" s="2"/>
      <c r="G85" s="75" t="s">
        <v>115</v>
      </c>
      <c r="H85" s="95">
        <f>((H83*(H27+H28))+H81)*1.2</f>
        <v>12602.884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(B85/(1-B70))*B70</f>
        <v>75.3311819281969</v>
      </c>
      <c r="C86" s="13"/>
      <c r="D86" s="13"/>
      <c r="E86" s="14"/>
      <c r="F86" s="2"/>
      <c r="G86" s="6" t="s">
        <v>116</v>
      </c>
      <c r="H86" s="11">
        <f>(((H83*(H27+H28))+H81)/(1-H70))*H70</f>
        <v>88.9675151270674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8967.99784859486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12591.8615151271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IF(B99=Z102,(((H44*B35)+(H44*B35)*(B105/100))/(B58)),(((H44*B35)+(H44*B35)*(B105/100))/(B57+B58)))</f>
        <v>65</v>
      </c>
      <c r="C89" s="13" t="s">
        <v>4</v>
      </c>
      <c r="D89" s="13"/>
      <c r="E89" s="14"/>
      <c r="F89" s="2"/>
      <c r="G89" s="91" t="s">
        <v>118</v>
      </c>
      <c r="H89" s="92">
        <f>(A41+(A41*H105))*1.2</f>
        <v>72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747.333154049572</v>
      </c>
      <c r="C90" s="13"/>
      <c r="D90" s="13"/>
      <c r="E90" s="14"/>
      <c r="F90" s="2"/>
      <c r="G90" s="97" t="s">
        <v>119</v>
      </c>
      <c r="H90" s="98">
        <f>IF(H99=AE98,(H87-J105)/(H58),H87/(H57+H58))</f>
        <v>1049.32179292726</v>
      </c>
      <c r="I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812.333154049572</v>
      </c>
      <c r="C91" s="13"/>
      <c r="D91" s="13"/>
      <c r="E91" s="14"/>
      <c r="F91" s="2"/>
      <c r="G91" s="99" t="s">
        <v>120</v>
      </c>
      <c r="H91" s="100">
        <f>IF(G105="YES",H90+H89,H90)</f>
        <v>1121.32179292726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>
        <v>199.99</v>
      </c>
      <c r="B102" s="102">
        <v>400</v>
      </c>
      <c r="C102" s="102"/>
      <c r="D102" s="102">
        <v>200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18</v>
      </c>
      <c r="B105" s="101">
        <v>30</v>
      </c>
      <c r="C105" s="101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>
        <v>0</v>
      </c>
      <c r="C108" s="27"/>
      <c r="D108" s="27">
        <v>0</v>
      </c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199.99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((E118*1.2)+E117)-D115</f>
        <v>7239.988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747.333154049572</v>
      </c>
      <c r="B128" s="113">
        <f>IF(A105="YES",B89,0)</f>
        <v>65</v>
      </c>
      <c r="C128" s="119"/>
      <c r="D128" s="113">
        <f>B91</f>
        <v>812.333154049572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1049.32179292726</v>
      </c>
      <c r="H130" s="126">
        <f>IF(G105="YES",H89*H57,0)</f>
        <v>72</v>
      </c>
      <c r="I130" s="126"/>
      <c r="J130" s="167">
        <f>H91</f>
        <v>1121.32179292726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Monthly in advance </v>
      </c>
      <c r="B131" s="127">
        <f>B90*B57</f>
        <v>747.333154049572</v>
      </c>
      <c r="C131" s="109"/>
      <c r="D131" s="127">
        <f>IF(A105="YES",B89*B57,0)</f>
        <v>65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1049.32179292726</v>
      </c>
      <c r="H133" s="133">
        <f>IF(G105="YES",H89*H57,0)</f>
        <v>72</v>
      </c>
      <c r="I133" s="31"/>
      <c r="J133" s="53">
        <f>H91*H57</f>
        <v>1121.32179292726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812.333154049572</v>
      </c>
      <c r="B134" s="127">
        <f>E114</f>
        <v>4000</v>
      </c>
      <c r="C134" s="109"/>
      <c r="D134" s="135">
        <f>B58</f>
        <v>11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747.333154049572</v>
      </c>
      <c r="B137" s="127">
        <f>IF(A105="YES",B89,0)</f>
        <v>65</v>
      </c>
      <c r="C137" s="109"/>
      <c r="D137" s="127">
        <f>B91</f>
        <v>812.333154049572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202.63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29.17872</v>
      </c>
      <c r="B140" s="143">
        <f>G18*0.000002*1.2*100</f>
        <v>9.72624</v>
      </c>
      <c r="C140" s="109"/>
      <c r="D140" s="143">
        <f>A140+B140</f>
        <v>38.90496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7.2</v>
      </c>
      <c r="H142" s="133">
        <f>G102-100</f>
        <v>139.988</v>
      </c>
      <c r="I142" s="133"/>
      <c r="J142" s="133">
        <f>(H139+J139+G142+H142)-H145</f>
        <v>1429.818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222</v>
      </c>
      <c r="B148" s="127">
        <f>B102</f>
        <v>400</v>
      </c>
      <c r="C148" s="127"/>
      <c r="D148" s="127">
        <f>IF(A105="YES",(A41*B105)*B125,0)*0.001</f>
        <v>18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739.99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1121.32179292726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812.333154049572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747.333154049572</v>
      </c>
      <c r="B171" s="156">
        <f>IF(A105="YES",B89,0)</f>
        <v>65</v>
      </c>
      <c r="C171" s="159"/>
      <c r="D171" s="156">
        <f>B91</f>
        <v>812.333154049572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Monthly in advance </v>
      </c>
      <c r="B174" s="133">
        <f>B90*B57</f>
        <v>747.333154049572</v>
      </c>
      <c r="C174" s="154"/>
      <c r="D174" s="133">
        <f>IF(A105="YES",B89*B57,0)</f>
        <v>65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812.333154049572</v>
      </c>
      <c r="B177" s="133">
        <f>E114</f>
        <v>4000</v>
      </c>
      <c r="C177" s="154"/>
      <c r="D177" s="162">
        <f>B58</f>
        <v>11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747.333154049572</v>
      </c>
      <c r="B180" s="133">
        <f>IF(A105="YES",B89,0)</f>
        <v>65</v>
      </c>
      <c r="C180" s="154"/>
      <c r="D180" s="133">
        <f>B91</f>
        <v>812.333154049572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29.17872</v>
      </c>
      <c r="B183" s="166">
        <f>G18*0.000002*1.2*100</f>
        <v>9.72624</v>
      </c>
      <c r="C183" s="154"/>
      <c r="D183" s="166">
        <f>A183+B183</f>
        <v>38.90496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199.99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222</v>
      </c>
      <c r="B191" s="133">
        <f>B102</f>
        <v>400</v>
      </c>
      <c r="C191" s="133"/>
      <c r="D191" s="133">
        <f>IF(A105="YES",(A38/100*B105)*B125,0)*0.001</f>
        <v>18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E118-100</f>
        <v>99.99</v>
      </c>
      <c r="B194" s="133">
        <f>(A148+B148+D148+A151)*(A143/B64)</f>
        <v>0</v>
      </c>
      <c r="C194" s="133"/>
      <c r="D194" s="133">
        <f>(A148+B148+D148+A151)-B151</f>
        <v>739.99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H29</f>
        <v>12</v>
      </c>
      <c r="C203" s="113" t="s">
        <v>217</v>
      </c>
      <c r="D203" s="173">
        <f>D64</f>
        <v>1554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222</v>
      </c>
      <c r="C205" s="112" t="s">
        <v>219</v>
      </c>
      <c r="D205" s="173">
        <f>B219+E215+B215+B217</f>
        <v>519.99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1851.99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1554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222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1851.99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180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75.3311819281969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  <mergeCell ref="D7:E18"/>
    <mergeCell ref="A16:C18"/>
  </mergeCells>
  <dataValidations count="3">
    <dataValidation type="list" allowBlank="1" showErrorMessage="1" sqref="A32 B99">
      <formula1>'BCH (Formula 3) - BCH'!$Z$101:$Z$109</formula1>
    </dataValidation>
    <dataValidation type="list" allowBlank="1" showErrorMessage="1" sqref="B38 A105 B110">
      <formula1>"NO,YES"</formula1>
    </dataValidation>
    <dataValidation type="list" allowBlank="1" showErrorMessage="1" sqref="H99 N99:O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3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2"/>
      <c r="B6" s="2"/>
      <c r="C6" s="2"/>
      <c r="D6" s="2"/>
      <c r="E6" s="2"/>
      <c r="F6" s="2"/>
      <c r="G6" s="2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426"/>
      <c r="B8" s="2"/>
      <c r="C8" s="2"/>
      <c r="D8" s="425"/>
      <c r="E8" s="425"/>
      <c r="F8" s="2"/>
      <c r="G8" s="2"/>
      <c r="H8" s="237"/>
      <c r="I8" s="81" t="s">
        <v>3</v>
      </c>
      <c r="J8" s="82">
        <f>E13+E14</f>
        <v>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428"/>
      <c r="B10" s="2"/>
      <c r="C10" s="2"/>
      <c r="D10" s="425"/>
      <c r="E10" s="425"/>
      <c r="F10" s="2"/>
      <c r="G10" s="2"/>
      <c r="H10" s="237"/>
      <c r="I10" s="83" t="s">
        <v>1</v>
      </c>
      <c r="J10" s="82">
        <f>E15-E11-J8</f>
        <v>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428"/>
      <c r="B12" s="2"/>
      <c r="C12" s="2"/>
      <c r="D12" s="425"/>
      <c r="E12" s="425"/>
      <c r="F12" s="2"/>
      <c r="G12" s="2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429"/>
      <c r="B16" s="429"/>
      <c r="C16" s="429"/>
      <c r="D16" s="425"/>
      <c r="E16" s="425"/>
      <c r="F16" s="2"/>
      <c r="G16" s="2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/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333</v>
      </c>
      <c r="B34" s="43" t="s">
        <v>48</v>
      </c>
      <c r="C34" s="41" t="s">
        <v>4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E19</f>
        <v>21099.996</v>
      </c>
      <c r="B35" s="33" t="s">
        <v>45</v>
      </c>
      <c r="C35" s="33"/>
      <c r="D35" s="59">
        <f>A35-B35</f>
        <v>20099.996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45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57</v>
      </c>
      <c r="G40" s="240" t="s">
        <v>58</v>
      </c>
      <c r="H40" s="240">
        <f>C15</f>
        <v>3516.666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>
        <f>IF(D41="Yes",A44,0)</f>
        <v>0</v>
      </c>
      <c r="I41" s="240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335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>
        <v>0</v>
      </c>
      <c r="B44" s="48" t="s">
        <v>336</v>
      </c>
      <c r="C44" s="48"/>
      <c r="D44" s="48">
        <v>0</v>
      </c>
      <c r="E44" s="48"/>
      <c r="F44" s="237"/>
      <c r="G44" s="240" t="s">
        <v>65</v>
      </c>
      <c r="H44" s="240">
        <f>((H40-(((H42/(1.2))*0.2)))/(H43))</f>
        <v>209.722166666667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290.277833333333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292.9445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67" t="s">
        <v>83</v>
      </c>
      <c r="B50" s="68" t="s">
        <v>84</v>
      </c>
      <c r="C50" s="68"/>
      <c r="D50" s="41"/>
      <c r="E50" s="57"/>
      <c r="F50" s="237"/>
      <c r="G50" s="240" t="s">
        <v>339</v>
      </c>
      <c r="H50" s="240">
        <f>H49-H41</f>
        <v>292.9445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67"/>
      <c r="B51" s="69">
        <f>H30</f>
        <v>5000</v>
      </c>
      <c r="C51" s="69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>
        <f>H29</f>
        <v>12</v>
      </c>
      <c r="B52" s="71">
        <f>H49</f>
        <v>292.9445</v>
      </c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292.9445</v>
      </c>
      <c r="C58" s="71"/>
      <c r="D58" s="154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1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11</v>
      </c>
      <c r="C64" s="109"/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6" t="s">
        <v>276</v>
      </c>
      <c r="B66" s="13">
        <f>E19</f>
        <v>21099.996</v>
      </c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6" t="s">
        <v>14</v>
      </c>
      <c r="B67" s="12">
        <f>G18</f>
        <v>40526</v>
      </c>
      <c r="C67" s="109"/>
      <c r="D67" s="109"/>
      <c r="E67" s="110"/>
      <c r="F67" s="237"/>
      <c r="G67" s="108" t="s">
        <v>14</v>
      </c>
      <c r="H67" s="368">
        <f>G18</f>
        <v>40526</v>
      </c>
      <c r="I67" s="109"/>
      <c r="J67" s="109"/>
      <c r="K67" s="110"/>
      <c r="L67" s="237"/>
      <c r="M67" s="108" t="s">
        <v>14</v>
      </c>
      <c r="N67" s="368">
        <f>G18</f>
        <v>40526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78" t="s">
        <v>277</v>
      </c>
      <c r="B68" s="79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6" t="s">
        <v>278</v>
      </c>
      <c r="B69" s="10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72" t="s">
        <v>91</v>
      </c>
      <c r="B70" s="80">
        <f>B67*B69</f>
        <v>2836.82</v>
      </c>
      <c r="C70" s="109">
        <v>10000</v>
      </c>
      <c r="D70" s="368">
        <f>B70-A149</f>
        <v>2836.82</v>
      </c>
      <c r="E70" s="110">
        <f>D70/12</f>
        <v>236.401666666667</v>
      </c>
      <c r="F70" s="237"/>
      <c r="G70" s="169" t="s">
        <v>91</v>
      </c>
      <c r="H70" s="281">
        <f>H67*H69</f>
        <v>2836.82</v>
      </c>
      <c r="I70" s="109"/>
      <c r="J70" s="368">
        <f>H70-G151</f>
        <v>2836.82</v>
      </c>
      <c r="K70" s="110"/>
      <c r="L70" s="237"/>
      <c r="M70" s="169" t="s">
        <v>91</v>
      </c>
      <c r="N70" s="281">
        <f>N67*N69</f>
        <v>2836.82</v>
      </c>
      <c r="O70" s="109"/>
      <c r="P70" s="368">
        <f>N70-M151</f>
        <v>2836.82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78" t="s">
        <v>92</v>
      </c>
      <c r="B71" s="79">
        <v>0.01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6" t="s">
        <v>93</v>
      </c>
      <c r="B72" s="10">
        <f>B71+(B71*0.5*(H29/12-1))</f>
        <v>0.01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72" t="s">
        <v>94</v>
      </c>
      <c r="B73" s="80">
        <f>B66*B72</f>
        <v>210.99996</v>
      </c>
      <c r="C73" s="109"/>
      <c r="D73" s="368"/>
      <c r="E73" s="110"/>
      <c r="F73" s="237"/>
      <c r="G73" s="169" t="s">
        <v>94</v>
      </c>
      <c r="H73" s="281">
        <f>H67*H72</f>
        <v>202.63</v>
      </c>
      <c r="I73" s="109"/>
      <c r="J73" s="368"/>
      <c r="K73" s="110"/>
      <c r="L73" s="237"/>
      <c r="M73" s="169" t="s">
        <v>94</v>
      </c>
      <c r="N73" s="281">
        <f>N67*N72</f>
        <v>202.63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200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60</v>
      </c>
      <c r="C79" s="109"/>
      <c r="D79" s="368">
        <f>B79+B77</f>
        <v>260</v>
      </c>
      <c r="E79" s="481">
        <f>D79+D85+D86</f>
        <v>660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275</v>
      </c>
      <c r="C80" s="109"/>
      <c r="D80" s="109"/>
      <c r="E80" s="481">
        <f>E79+D82</f>
        <v>957.916666666667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79.8263888888889</v>
      </c>
      <c r="F81" s="237"/>
      <c r="G81" s="462" t="s">
        <v>280</v>
      </c>
      <c r="H81" s="293">
        <f>IF(G18&gt;40000,325,0)</f>
        <v>325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((B80+B81)/12)*(H29+1)</f>
        <v>297.916666666667</v>
      </c>
      <c r="C82" s="109"/>
      <c r="D82" s="368">
        <f>IF(A50="YES",0,B82)</f>
        <v>297.916666666667</v>
      </c>
      <c r="E82" s="110"/>
      <c r="F82" s="237"/>
      <c r="G82" s="169" t="s">
        <v>281</v>
      </c>
      <c r="H82" s="281">
        <f>((H80+H81)/12)*(H29-11)</f>
        <v>39.5833333333333</v>
      </c>
      <c r="I82" s="109"/>
      <c r="J82" s="368">
        <f>IF(A50="YES",0,H82)</f>
        <v>39.5833333333333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200</v>
      </c>
      <c r="C85" s="109"/>
      <c r="D85" s="368">
        <f>B85</f>
        <v>200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200</v>
      </c>
      <c r="C86" s="109"/>
      <c r="D86" s="368">
        <f>B86</f>
        <v>200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4461.40333333333</v>
      </c>
      <c r="C87" s="109"/>
      <c r="D87" s="109"/>
      <c r="E87" s="110"/>
      <c r="F87" s="237"/>
      <c r="G87" s="483" t="s">
        <v>103</v>
      </c>
      <c r="H87" s="484">
        <f>SUM(J70:J86)</f>
        <v>5990.40333333333</v>
      </c>
      <c r="I87" s="109"/>
      <c r="J87" s="109"/>
      <c r="K87" s="110"/>
      <c r="L87" s="237"/>
      <c r="M87" s="483" t="s">
        <v>103</v>
      </c>
      <c r="N87" s="484">
        <f>SUM(P70:P86)</f>
        <v>5950.82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371.783611111111</v>
      </c>
      <c r="C88" s="109"/>
      <c r="D88" s="109"/>
      <c r="E88" s="110"/>
      <c r="F88" s="237"/>
      <c r="G88" s="108" t="s">
        <v>104</v>
      </c>
      <c r="H88" s="180">
        <f>H87/H29</f>
        <v>499.200277777778</v>
      </c>
      <c r="I88" s="109"/>
      <c r="J88" s="109"/>
      <c r="K88" s="110"/>
      <c r="L88" s="237"/>
      <c r="M88" s="108" t="s">
        <v>104</v>
      </c>
      <c r="N88" s="180">
        <f>N87/H29</f>
        <v>495.901666666667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292.9445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((B89*H29)+B87)*1.2</f>
        <v>9572.0848</v>
      </c>
      <c r="C91" s="109"/>
      <c r="D91" s="109"/>
      <c r="E91" s="110"/>
      <c r="F91" s="237"/>
      <c r="G91" s="474" t="s">
        <v>115</v>
      </c>
      <c r="H91" s="266">
        <f>((H89*H29)+H87)*1.2</f>
        <v>7188.484</v>
      </c>
      <c r="I91" s="109"/>
      <c r="J91" s="109"/>
      <c r="K91" s="110"/>
      <c r="L91" s="237"/>
      <c r="M91" s="474" t="s">
        <v>115</v>
      </c>
      <c r="N91" s="266">
        <f>((N89*H29)+N87)</f>
        <v>5950.82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67.5722000806777</v>
      </c>
      <c r="C92" s="109"/>
      <c r="D92" s="109"/>
      <c r="E92" s="486"/>
      <c r="F92" s="237"/>
      <c r="G92" s="108" t="s">
        <v>116</v>
      </c>
      <c r="H92" s="180">
        <f>(((H89*H29)+H87)/(1-H76))*H76</f>
        <v>50.7456514723679</v>
      </c>
      <c r="I92" s="109"/>
      <c r="J92" s="109"/>
      <c r="K92" s="110"/>
      <c r="L92" s="237"/>
      <c r="M92" s="108" t="s">
        <v>116</v>
      </c>
      <c r="N92" s="180">
        <f>(N91/(1-N76))*N76</f>
        <v>50.4103348124244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9639.65700008068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9239.22965147237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8001.23033481242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IF(B105=Z104,(((H41*A32)+(H41*A32)*(B111/100))/(B64)),(((H41*A32)+(H41*A32)*(B111/100))/(B63+B64)))*1.2</f>
        <v>0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803.304750006723</v>
      </c>
      <c r="C96" s="109"/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803.304750006723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130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19</v>
      </c>
      <c r="B111" s="101">
        <v>0</v>
      </c>
      <c r="C111" s="101"/>
      <c r="D111" s="102">
        <v>200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239.99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(E124+E123)-E120</f>
        <v>-2760.01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11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11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803.304750006723</v>
      </c>
      <c r="B134" s="113">
        <f>IF(A111="YES",B95,0)</f>
        <v>0</v>
      </c>
      <c r="C134" s="118"/>
      <c r="D134" s="113">
        <f>B97</f>
        <v>803.304750006723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Monthly in advance </v>
      </c>
      <c r="B137" s="127">
        <f>B96*B63</f>
        <v>803.304750006723</v>
      </c>
      <c r="C137" s="109"/>
      <c r="D137" s="127">
        <f>IF(A111="YES",B95*B63,0)</f>
        <v>0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803.304750006723</v>
      </c>
      <c r="B140" s="127">
        <f>E120</f>
        <v>4000</v>
      </c>
      <c r="C140" s="109"/>
      <c r="D140" s="135">
        <f>B64</f>
        <v>11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</v>
      </c>
      <c r="H142" s="127">
        <f>IF(G111="YES",E15*0.000002,0)</f>
        <v>0</v>
      </c>
      <c r="I142" s="127"/>
      <c r="J142" s="127">
        <f>G142+H142</f>
        <v>0</v>
      </c>
      <c r="K142" s="141"/>
      <c r="L142" s="237"/>
      <c r="M142" s="134">
        <f>E15*0.000006</f>
        <v>0</v>
      </c>
      <c r="N142" s="127">
        <f>IF(M111="YES",E15*0.000002,0)</f>
        <v>0</v>
      </c>
      <c r="O142" s="127"/>
      <c r="P142" s="127">
        <f>M142+N142</f>
        <v>0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803.304750006723</v>
      </c>
      <c r="B143" s="127">
        <f>IF(A111="YES",B95,0)</f>
        <v>0</v>
      </c>
      <c r="C143" s="109"/>
      <c r="D143" s="127">
        <f>B97</f>
        <v>803.304750006723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168.858333333333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168.858333333333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2828.84633333333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2788.84833333333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210.99996</v>
      </c>
      <c r="B154" s="127">
        <f>B108</f>
        <v>400</v>
      </c>
      <c r="C154" s="127"/>
      <c r="D154" s="127">
        <f>IF(A111="YES",(A44/100*B111)*B131,0)*0.1</f>
        <v>0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3516.666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710.991626666667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803.304750006723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803.304750006723</v>
      </c>
      <c r="B177" s="156">
        <f>IF(A111="YES",B95,0)</f>
        <v>0</v>
      </c>
      <c r="C177" s="158"/>
      <c r="D177" s="156">
        <f>A177+B177</f>
        <v>803.304750006723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Monthly in advance </v>
      </c>
      <c r="B180" s="133">
        <f>B96*B63</f>
        <v>803.304750006723</v>
      </c>
      <c r="C180" s="154"/>
      <c r="D180" s="133">
        <f>IF(A111="YES",B95*B63,0)</f>
        <v>0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803.304750006723</v>
      </c>
      <c r="B183" s="133">
        <f>E120</f>
        <v>4000</v>
      </c>
      <c r="C183" s="154"/>
      <c r="D183" s="162">
        <f>B64</f>
        <v>11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803.304750006723</v>
      </c>
      <c r="B186" s="133">
        <f>IF(A111="YES",B95,0)</f>
        <v>0</v>
      </c>
      <c r="C186" s="154"/>
      <c r="D186" s="133">
        <f>B97</f>
        <v>803.304750006723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IF(A111="YES",(A44/100*B111)*B131,0)*0.1</f>
        <v>0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710.991626666667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G201" s="237"/>
      <c r="H201" s="237"/>
      <c r="I201" s="237"/>
      <c r="J201" s="237"/>
      <c r="K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G202" s="237"/>
      <c r="H202" s="237"/>
      <c r="I202" s="237"/>
      <c r="J202" s="237"/>
      <c r="K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G203" s="237"/>
      <c r="H203" s="237"/>
      <c r="I203" s="237"/>
      <c r="J203" s="237"/>
      <c r="K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G204" s="237"/>
      <c r="H204" s="237"/>
      <c r="I204" s="237"/>
      <c r="J204" s="237"/>
      <c r="K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G206" s="237"/>
      <c r="H206" s="237"/>
      <c r="I206" s="237"/>
      <c r="J206" s="237"/>
      <c r="K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G207" s="237"/>
      <c r="H207" s="237"/>
      <c r="I207" s="237"/>
      <c r="J207" s="237"/>
      <c r="K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G208" s="237"/>
      <c r="H208" s="237"/>
      <c r="I208" s="237"/>
      <c r="J208" s="237"/>
      <c r="K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2836.82</v>
      </c>
      <c r="E209" s="114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G210" s="237"/>
      <c r="H210" s="237"/>
      <c r="I210" s="237"/>
      <c r="J210" s="237"/>
      <c r="K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339.991666666667</v>
      </c>
      <c r="E211" s="114"/>
      <c r="F211" s="237"/>
      <c r="G211" s="237"/>
      <c r="H211" s="237"/>
      <c r="I211" s="237"/>
      <c r="J211" s="237"/>
      <c r="K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G212" s="237"/>
      <c r="H212" s="237"/>
      <c r="I212" s="237"/>
      <c r="J212" s="237"/>
      <c r="K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2965.81170666667</v>
      </c>
      <c r="C213" s="118"/>
      <c r="D213" s="113"/>
      <c r="E213" s="114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G214" s="237"/>
      <c r="H214" s="237"/>
      <c r="I214" s="237"/>
      <c r="J214" s="237"/>
      <c r="K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G216" s="237"/>
      <c r="H216" s="237"/>
      <c r="I216" s="237"/>
      <c r="J216" s="237"/>
      <c r="K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2836.82</v>
      </c>
      <c r="C217" s="177" t="s">
        <v>223</v>
      </c>
      <c r="D217" s="109"/>
      <c r="E217" s="178">
        <f>B72</f>
        <v>0.01</v>
      </c>
      <c r="F217" s="237"/>
      <c r="G217" s="237"/>
      <c r="H217" s="237"/>
      <c r="I217" s="237"/>
      <c r="J217" s="237"/>
      <c r="K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G218" s="237"/>
      <c r="H218" s="237"/>
      <c r="I218" s="237"/>
      <c r="J218" s="237"/>
      <c r="K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37"/>
      <c r="G219" s="237"/>
      <c r="H219" s="237"/>
      <c r="I219" s="237"/>
      <c r="J219" s="237"/>
      <c r="K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G220" s="237"/>
      <c r="H220" s="237"/>
      <c r="I220" s="237"/>
      <c r="J220" s="237"/>
      <c r="K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37"/>
      <c r="G221" s="237"/>
      <c r="H221" s="237"/>
      <c r="I221" s="237"/>
      <c r="J221" s="237"/>
      <c r="K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G222" s="237"/>
      <c r="H222" s="237"/>
      <c r="I222" s="237"/>
      <c r="J222" s="237"/>
      <c r="K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2965.81170666667</v>
      </c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G224" s="237"/>
      <c r="H224" s="237"/>
      <c r="I224" s="237"/>
      <c r="J224" s="237"/>
      <c r="K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G226" s="237"/>
      <c r="H226" s="237"/>
      <c r="I226" s="237"/>
      <c r="J226" s="237"/>
      <c r="K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G227" s="237"/>
      <c r="H227" s="237"/>
      <c r="I227" s="237"/>
      <c r="J227" s="237"/>
      <c r="K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G228" s="237"/>
      <c r="H228" s="237"/>
      <c r="I228" s="237"/>
      <c r="J228" s="237"/>
      <c r="K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37"/>
      <c r="G229" s="237"/>
      <c r="H229" s="237"/>
      <c r="I229" s="237"/>
      <c r="J229" s="237"/>
      <c r="K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37"/>
      <c r="G230" s="237"/>
      <c r="H230" s="237"/>
      <c r="I230" s="237"/>
      <c r="J230" s="237"/>
      <c r="K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G231" s="237"/>
      <c r="H231" s="237"/>
      <c r="I231" s="237"/>
      <c r="J231" s="237"/>
      <c r="K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67.5722000806777</v>
      </c>
      <c r="F232" s="237"/>
      <c r="G232" s="237"/>
      <c r="H232" s="237"/>
      <c r="I232" s="237"/>
      <c r="J232" s="237"/>
      <c r="K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37"/>
      <c r="G233" s="237"/>
      <c r="H233" s="237"/>
      <c r="I233" s="237"/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37"/>
      <c r="G235" s="237"/>
      <c r="H235" s="237"/>
      <c r="I235" s="237"/>
      <c r="J235" s="237"/>
      <c r="K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G237" s="237"/>
      <c r="H237" s="237"/>
      <c r="I237" s="237"/>
      <c r="J237" s="237"/>
      <c r="K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G238" s="237"/>
      <c r="H238" s="237"/>
      <c r="I238" s="237"/>
      <c r="J238" s="237"/>
      <c r="K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G239" s="237"/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G241" s="237"/>
      <c r="H241" s="237"/>
      <c r="I241" s="237"/>
      <c r="J241" s="237"/>
      <c r="K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G242" s="237"/>
      <c r="H242" s="237"/>
      <c r="I242" s="237"/>
      <c r="J242" s="237"/>
      <c r="K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237"/>
      <c r="B243" s="237"/>
      <c r="C243" s="237"/>
      <c r="D243" s="237"/>
      <c r="E243" s="237"/>
      <c r="F243" s="237"/>
      <c r="G243" s="237"/>
      <c r="H243" s="237"/>
      <c r="I243" s="237"/>
      <c r="J243" s="237"/>
      <c r="K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237"/>
      <c r="B244" s="237"/>
      <c r="C244" s="237"/>
      <c r="D244" s="237"/>
      <c r="E244" s="237"/>
      <c r="F244" s="237"/>
      <c r="G244" s="237"/>
      <c r="H244" s="237"/>
      <c r="I244" s="237"/>
      <c r="J244" s="237"/>
      <c r="K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237"/>
      <c r="B245" s="237"/>
      <c r="C245" s="237"/>
      <c r="D245" s="237"/>
      <c r="E245" s="237"/>
      <c r="F245" s="237"/>
      <c r="G245" s="237"/>
      <c r="H245" s="237"/>
      <c r="I245" s="237"/>
      <c r="J245" s="237"/>
      <c r="K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237"/>
      <c r="B246" s="237"/>
      <c r="C246" s="237"/>
      <c r="D246" s="237"/>
      <c r="E246" s="237"/>
      <c r="F246" s="237"/>
      <c r="G246" s="237"/>
      <c r="H246" s="237"/>
      <c r="I246" s="237"/>
      <c r="J246" s="237"/>
      <c r="K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237"/>
      <c r="B247" s="237"/>
      <c r="C247" s="237"/>
      <c r="D247" s="237"/>
      <c r="E247" s="237"/>
      <c r="F247" s="237"/>
      <c r="G247" s="237"/>
      <c r="H247" s="237"/>
      <c r="I247" s="237"/>
      <c r="J247" s="237"/>
      <c r="K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237"/>
      <c r="B248" s="237"/>
      <c r="C248" s="237"/>
      <c r="D248" s="237"/>
      <c r="E248" s="237"/>
      <c r="F248" s="237"/>
      <c r="G248" s="237"/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0:C50"/>
    <mergeCell ref="B51:C51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0:A51"/>
    <mergeCell ref="A56:A57"/>
    <mergeCell ref="A165:A166"/>
    <mergeCell ref="G156:G157"/>
    <mergeCell ref="M159:M160"/>
    <mergeCell ref="D7:E18"/>
    <mergeCell ref="A16:C18"/>
  </mergeCells>
  <dataValidations count="3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4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2"/>
      <c r="B6" s="2"/>
      <c r="C6" s="2"/>
      <c r="D6" s="2"/>
      <c r="E6" s="2"/>
      <c r="F6" s="2"/>
      <c r="G6" s="2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426"/>
      <c r="B8" s="2"/>
      <c r="C8" s="2"/>
      <c r="D8" s="425"/>
      <c r="E8" s="425"/>
      <c r="F8" s="2"/>
      <c r="G8" s="2"/>
      <c r="H8" s="237"/>
      <c r="I8" s="81" t="s">
        <v>3</v>
      </c>
      <c r="J8" s="82">
        <f>E13+E14</f>
        <v>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428"/>
      <c r="B10" s="2"/>
      <c r="C10" s="2"/>
      <c r="D10" s="425"/>
      <c r="E10" s="425"/>
      <c r="F10" s="2"/>
      <c r="G10" s="2"/>
      <c r="H10" s="237"/>
      <c r="I10" s="83" t="s">
        <v>1</v>
      </c>
      <c r="J10" s="82">
        <f>E15-E11-J8</f>
        <v>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428"/>
      <c r="B12" s="2"/>
      <c r="C12" s="2"/>
      <c r="D12" s="425"/>
      <c r="E12" s="425"/>
      <c r="F12" s="2"/>
      <c r="G12" s="2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429"/>
      <c r="B16" s="429"/>
      <c r="C16" s="429"/>
      <c r="D16" s="425"/>
      <c r="E16" s="425"/>
      <c r="F16" s="2"/>
      <c r="G16" s="2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 t="b">
        <f>ISNUMBER(I31)</f>
        <v>0</v>
      </c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600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347</v>
      </c>
      <c r="B34" s="43" t="s">
        <v>48</v>
      </c>
      <c r="C34" s="41" t="s">
        <v>4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E19</f>
        <v>21099.996</v>
      </c>
      <c r="B35" s="33" t="s">
        <v>45</v>
      </c>
      <c r="C35" s="33"/>
      <c r="D35" s="59">
        <f>A35-B35</f>
        <v>20099.996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4</v>
      </c>
      <c r="G40" s="240" t="s">
        <v>58</v>
      </c>
      <c r="H40" s="240">
        <f>C15</f>
        <v>3516.666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 t="str">
        <f>IF(D41="Yes",A44,0)</f>
        <v>50</v>
      </c>
      <c r="I41" s="240" t="s">
        <v>4</v>
      </c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4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 t="s">
        <v>70</v>
      </c>
      <c r="B44" s="48" t="s">
        <v>336</v>
      </c>
      <c r="C44" s="48"/>
      <c r="D44" s="48" t="s">
        <v>336</v>
      </c>
      <c r="E44" s="48"/>
      <c r="F44" s="237"/>
      <c r="G44" s="240" t="s">
        <v>65</v>
      </c>
      <c r="H44" s="240">
        <f>((H40-(((H42/(1.2))*0.2)))/(H43))</f>
        <v>209.722166666667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340.277833333333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342.9445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128"/>
      <c r="B50" s="41"/>
      <c r="C50" s="41"/>
      <c r="D50" s="41"/>
      <c r="E50" s="57"/>
      <c r="F50" s="237"/>
      <c r="G50" s="240" t="s">
        <v>339</v>
      </c>
      <c r="H50" s="240">
        <f>H49-H41</f>
        <v>292.9445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49"/>
      <c r="B51" s="41"/>
      <c r="C51" s="41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/>
      <c r="B52" s="71"/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342.9445</v>
      </c>
      <c r="C58" s="71"/>
      <c r="D58" s="473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1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11</v>
      </c>
      <c r="C64" s="109" t="s">
        <v>4</v>
      </c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6" t="s">
        <v>276</v>
      </c>
      <c r="B66" s="13">
        <f>E19</f>
        <v>21099.996</v>
      </c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6" t="s">
        <v>14</v>
      </c>
      <c r="B67" s="12">
        <f>G18</f>
        <v>40526</v>
      </c>
      <c r="C67" s="109"/>
      <c r="D67" s="109"/>
      <c r="E67" s="110"/>
      <c r="F67" s="237"/>
      <c r="G67" s="108" t="s">
        <v>14</v>
      </c>
      <c r="H67" s="368">
        <f>G18</f>
        <v>40526</v>
      </c>
      <c r="I67" s="109"/>
      <c r="J67" s="109"/>
      <c r="K67" s="110"/>
      <c r="L67" s="237"/>
      <c r="M67" s="108" t="s">
        <v>14</v>
      </c>
      <c r="N67" s="368">
        <f>G18</f>
        <v>40526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78" t="s">
        <v>277</v>
      </c>
      <c r="B68" s="79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6" t="s">
        <v>278</v>
      </c>
      <c r="B69" s="10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72" t="s">
        <v>91</v>
      </c>
      <c r="B70" s="80">
        <f>B67*B69</f>
        <v>2836.82</v>
      </c>
      <c r="C70" s="109">
        <v>10000</v>
      </c>
      <c r="D70" s="368">
        <f>B70-A149</f>
        <v>2836.82</v>
      </c>
      <c r="E70" s="110">
        <f>D70/12</f>
        <v>236.401666666667</v>
      </c>
      <c r="F70" s="237"/>
      <c r="G70" s="169" t="s">
        <v>91</v>
      </c>
      <c r="H70" s="281">
        <f>H67*H69</f>
        <v>2836.82</v>
      </c>
      <c r="I70" s="109"/>
      <c r="J70" s="368">
        <f>H70-G151</f>
        <v>2836.82</v>
      </c>
      <c r="K70" s="110"/>
      <c r="L70" s="237"/>
      <c r="M70" s="169" t="s">
        <v>91</v>
      </c>
      <c r="N70" s="281">
        <f>N67*N69</f>
        <v>2836.82</v>
      </c>
      <c r="O70" s="109"/>
      <c r="P70" s="368">
        <f>N70-M151</f>
        <v>2836.82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78" t="s">
        <v>92</v>
      </c>
      <c r="B71" s="79">
        <v>0.01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6" t="s">
        <v>93</v>
      </c>
      <c r="B72" s="10">
        <f>B71+(B71*0.5*(H29/12-1))</f>
        <v>0.01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72" t="s">
        <v>94</v>
      </c>
      <c r="B73" s="80">
        <f>B66*B72</f>
        <v>210.99996</v>
      </c>
      <c r="C73" s="109"/>
      <c r="D73" s="368"/>
      <c r="E73" s="110"/>
      <c r="F73" s="237"/>
      <c r="G73" s="169" t="s">
        <v>94</v>
      </c>
      <c r="H73" s="281">
        <f>H67*H72</f>
        <v>202.63</v>
      </c>
      <c r="I73" s="109"/>
      <c r="J73" s="368"/>
      <c r="K73" s="110"/>
      <c r="L73" s="237"/>
      <c r="M73" s="169" t="s">
        <v>94</v>
      </c>
      <c r="N73" s="281">
        <f>N67*N72</f>
        <v>202.63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200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60</v>
      </c>
      <c r="C79" s="109"/>
      <c r="D79" s="368">
        <f>B79+B77</f>
        <v>260</v>
      </c>
      <c r="E79" s="481">
        <f>D79+D85+D86</f>
        <v>660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275</v>
      </c>
      <c r="C80" s="109"/>
      <c r="D80" s="109"/>
      <c r="E80" s="481">
        <f>E79+D82</f>
        <v>957.916666666667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79.8263888888889</v>
      </c>
      <c r="F81" s="237"/>
      <c r="G81" s="462" t="s">
        <v>280</v>
      </c>
      <c r="H81" s="293">
        <f>IF(G18&gt;40000,325,0)</f>
        <v>325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((B80+B81)/12)*(H29+1)</f>
        <v>297.916666666667</v>
      </c>
      <c r="C82" s="109"/>
      <c r="D82" s="368">
        <f>IF(A50="YES",0,B82)</f>
        <v>297.916666666667</v>
      </c>
      <c r="E82" s="110"/>
      <c r="F82" s="237"/>
      <c r="G82" s="169" t="s">
        <v>281</v>
      </c>
      <c r="H82" s="281">
        <f>((H80+H81)/12)*(H29-11)</f>
        <v>39.5833333333333</v>
      </c>
      <c r="I82" s="109"/>
      <c r="J82" s="368">
        <f>IF(A50="YES",0,H82)</f>
        <v>39.5833333333333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200</v>
      </c>
      <c r="C85" s="109"/>
      <c r="D85" s="368">
        <f>B85</f>
        <v>200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200</v>
      </c>
      <c r="C86" s="109"/>
      <c r="D86" s="368">
        <f>B86</f>
        <v>200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4461.40333333333</v>
      </c>
      <c r="C87" s="109"/>
      <c r="D87" s="109"/>
      <c r="E87" s="110"/>
      <c r="F87" s="237"/>
      <c r="G87" s="483" t="s">
        <v>103</v>
      </c>
      <c r="H87" s="484">
        <f>SUM(J70:J86)</f>
        <v>5990.40333333333</v>
      </c>
      <c r="I87" s="109"/>
      <c r="J87" s="109"/>
      <c r="K87" s="110"/>
      <c r="L87" s="237"/>
      <c r="M87" s="483" t="s">
        <v>103</v>
      </c>
      <c r="N87" s="484">
        <f>SUM(P70:P86)</f>
        <v>5950.82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371.783611111111</v>
      </c>
      <c r="C88" s="109"/>
      <c r="D88" s="109"/>
      <c r="E88" s="110"/>
      <c r="F88" s="237"/>
      <c r="G88" s="108" t="s">
        <v>104</v>
      </c>
      <c r="H88" s="180">
        <f>H87/H29</f>
        <v>499.200277777778</v>
      </c>
      <c r="I88" s="109"/>
      <c r="J88" s="109"/>
      <c r="K88" s="110"/>
      <c r="L88" s="237"/>
      <c r="M88" s="108" t="s">
        <v>104</v>
      </c>
      <c r="N88" s="180">
        <f>N87/H29</f>
        <v>495.901666666667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292.9445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</f>
        <v>7976.73733333333</v>
      </c>
      <c r="C91" s="109"/>
      <c r="D91" s="109"/>
      <c r="E91" s="110"/>
      <c r="F91" s="237"/>
      <c r="G91" s="474" t="s">
        <v>115</v>
      </c>
      <c r="H91" s="266">
        <f>((H89*H29)+H87)*1.2</f>
        <v>7188.484</v>
      </c>
      <c r="I91" s="109"/>
      <c r="J91" s="109"/>
      <c r="K91" s="110"/>
      <c r="L91" s="237"/>
      <c r="M91" s="474" t="s">
        <v>115</v>
      </c>
      <c r="N91" s="266">
        <f>((N89*H29)+N87)</f>
        <v>5950.82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67.5722000806777</v>
      </c>
      <c r="C92" s="109"/>
      <c r="D92" s="109"/>
      <c r="E92" s="486"/>
      <c r="F92" s="237"/>
      <c r="G92" s="108" t="s">
        <v>116</v>
      </c>
      <c r="H92" s="180">
        <f>(((H89*H29)+H87)/(1-H76))*H76</f>
        <v>50.7456514723679</v>
      </c>
      <c r="I92" s="109"/>
      <c r="J92" s="109"/>
      <c r="K92" s="110"/>
      <c r="L92" s="237"/>
      <c r="M92" s="108" t="s">
        <v>116</v>
      </c>
      <c r="N92" s="180">
        <f>(N91/(1-N76))*N76</f>
        <v>50.4103348124244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8044.30953341401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9239.22965147237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8001.23033481242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</f>
        <v>65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670.359127784501</v>
      </c>
      <c r="C96" s="109" t="s">
        <v>4</v>
      </c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735.359127784501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130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18</v>
      </c>
      <c r="B111" s="101">
        <v>30</v>
      </c>
      <c r="C111" s="101"/>
      <c r="D111" s="102">
        <v>200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199.99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((E124*1.2)+E123)-E120</f>
        <v>-2760.012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11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11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670.359127784501</v>
      </c>
      <c r="B134" s="113">
        <f>IF(A111="YES",B95,0)</f>
        <v>65</v>
      </c>
      <c r="C134" s="119"/>
      <c r="D134" s="113">
        <f>B97</f>
        <v>735.359127784501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Monthly in advance </v>
      </c>
      <c r="B137" s="127">
        <f>B96*B63</f>
        <v>670.359127784501</v>
      </c>
      <c r="C137" s="109"/>
      <c r="D137" s="127">
        <f>IF(A111="YES",B95*B63,0)</f>
        <v>65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735.359127784501</v>
      </c>
      <c r="B140" s="127">
        <f>E120</f>
        <v>4000</v>
      </c>
      <c r="C140" s="109"/>
      <c r="D140" s="135">
        <f>B64</f>
        <v>11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</v>
      </c>
      <c r="H142" s="127">
        <f>IF(G111="YES",E15*0.000002,0)</f>
        <v>0</v>
      </c>
      <c r="I142" s="127"/>
      <c r="J142" s="127">
        <f>G142+H142</f>
        <v>0</v>
      </c>
      <c r="K142" s="141"/>
      <c r="L142" s="237"/>
      <c r="M142" s="134">
        <f>E15*0.000006</f>
        <v>0</v>
      </c>
      <c r="N142" s="127">
        <f>IF(M111="YES",E15*0.000002,0)</f>
        <v>0</v>
      </c>
      <c r="O142" s="127"/>
      <c r="P142" s="127">
        <f>M142+N142</f>
        <v>0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670.359127784501</v>
      </c>
      <c r="B143" s="127">
        <f>IF(A111="YES",B95,0)</f>
        <v>65</v>
      </c>
      <c r="C143" s="109"/>
      <c r="D143" s="127">
        <f>B97</f>
        <v>735.359127784501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168.858333333333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168.858333333333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2828.84633333333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2788.84833333333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210.99996</v>
      </c>
      <c r="B154" s="133">
        <f>B108</f>
        <v>400</v>
      </c>
      <c r="C154" s="127"/>
      <c r="D154" s="127">
        <f>IF(A111="YES",(A44/100*B111)*B131,0)*0.1</f>
        <v>18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3516.666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728.98996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735.359127784501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 t="b">
        <f>ISNUMBER(B183)</f>
        <v>1</v>
      </c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670.359127784501</v>
      </c>
      <c r="B177" s="156">
        <f>IF(A111="YES",B95,0)</f>
        <v>65</v>
      </c>
      <c r="C177" s="159"/>
      <c r="D177" s="156">
        <f>B91</f>
        <v>7976.73733333333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Monthly in advance </v>
      </c>
      <c r="B180" s="133">
        <f>B96*B63</f>
        <v>670.359127784501</v>
      </c>
      <c r="C180" s="154"/>
      <c r="D180" s="133">
        <f>IF(A111="YES",B95*B63,0)</f>
        <v>65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735.359127784501</v>
      </c>
      <c r="B183" s="133">
        <f>E120</f>
        <v>4000</v>
      </c>
      <c r="C183" s="154"/>
      <c r="D183" s="162">
        <f>B64</f>
        <v>11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670.359127784501</v>
      </c>
      <c r="B186" s="133">
        <f>IF(A111="YES",B95,0)</f>
        <v>65</v>
      </c>
      <c r="C186" s="154"/>
      <c r="D186" s="133">
        <f>B97</f>
        <v>735.359127784501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IF(A111="YES",(A44/100*B111)*B131,0)*0.1</f>
        <v>18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728.98996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2836.82</v>
      </c>
      <c r="E209" s="114"/>
      <c r="F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519.99</v>
      </c>
      <c r="E211" s="114"/>
      <c r="F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3145.81004</v>
      </c>
      <c r="C213" s="118"/>
      <c r="D213" s="113"/>
      <c r="E213" s="114"/>
      <c r="F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2836.82</v>
      </c>
      <c r="C217" s="177" t="s">
        <v>223</v>
      </c>
      <c r="D217" s="109"/>
      <c r="E217" s="178">
        <f>B72</f>
        <v>0.01</v>
      </c>
      <c r="F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3145.81004</v>
      </c>
      <c r="F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180</v>
      </c>
      <c r="C225" s="127"/>
      <c r="D225" s="140"/>
      <c r="E225" s="106"/>
      <c r="F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67.5722000806777</v>
      </c>
      <c r="F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108"/>
      <c r="B243" s="109"/>
      <c r="C243" s="109"/>
      <c r="D243" s="109"/>
      <c r="E243" s="110"/>
      <c r="F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134"/>
      <c r="B244" s="127"/>
      <c r="C244" s="127"/>
      <c r="D244" s="127"/>
      <c r="E244" s="141"/>
      <c r="F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108"/>
      <c r="B245" s="109"/>
      <c r="C245" s="109"/>
      <c r="D245" s="109"/>
      <c r="E245" s="110"/>
      <c r="F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108"/>
      <c r="B246" s="109"/>
      <c r="C246" s="109"/>
      <c r="D246" s="109"/>
      <c r="E246" s="110"/>
      <c r="F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134"/>
      <c r="B247" s="127"/>
      <c r="C247" s="109"/>
      <c r="D247" s="109"/>
      <c r="E247" s="110"/>
      <c r="F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169"/>
      <c r="B248" s="170"/>
      <c r="C248" s="170"/>
      <c r="D248" s="170"/>
      <c r="E248" s="171"/>
      <c r="F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3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3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37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 t="str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348</v>
      </c>
      <c r="B41" s="55" t="str">
        <f>IF(B38="YES",D38+A41,D38)</f>
        <v>500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348</v>
      </c>
      <c r="E44" s="48"/>
      <c r="F44" s="2"/>
      <c r="G44" s="2" t="s">
        <v>257</v>
      </c>
      <c r="H44" s="50" t="str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338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9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3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2803.66638666667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233.638865555556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8815.66638666667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74.6789004114563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8890.34528707812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740.86210725651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740.86210725651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350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351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4">
        <v>0</v>
      </c>
      <c r="C111" s="104"/>
      <c r="D111" s="102" t="s">
        <v>352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3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3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740.86210725651</v>
      </c>
      <c r="B134" s="113">
        <f>IF(A111="YES",B95,0)</f>
        <v>0</v>
      </c>
      <c r="C134" s="119"/>
      <c r="D134" s="113">
        <f>B97</f>
        <v>740.86210725651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Terminal pause with 9 down </v>
      </c>
      <c r="B137" s="127">
        <f>B96*B63</f>
        <v>6667.75896530859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6667.75896530859</v>
      </c>
      <c r="B140" s="127">
        <f>E120</f>
        <v>4000</v>
      </c>
      <c r="C140" s="109"/>
      <c r="D140" s="135">
        <f>B64</f>
        <v>3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740.86210725651</v>
      </c>
      <c r="B143" s="127">
        <f>IF(A111="YES",B95,0)</f>
        <v>0</v>
      </c>
      <c r="C143" s="109"/>
      <c r="D143" s="127">
        <f>B97</f>
        <v>740.86210725651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1388.84633333333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1348.84833333333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33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710.98996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740.86210725651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740.86210725651</v>
      </c>
      <c r="B177" s="156">
        <f>IF(A111="YES",B95,0)</f>
        <v>0</v>
      </c>
      <c r="C177" s="159"/>
      <c r="D177" s="156">
        <f>B91</f>
        <v>8815.66638666667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Terminal pause with 9 down </v>
      </c>
      <c r="B180" s="133">
        <f>B96*B63</f>
        <v>6667.75896530859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6667.75896530859</v>
      </c>
      <c r="B183" s="133">
        <f>E120</f>
        <v>4000</v>
      </c>
      <c r="C183" s="154"/>
      <c r="D183" s="162">
        <f>B64</f>
        <v>3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740.86210725651</v>
      </c>
      <c r="B186" s="133">
        <f>IF(A111="YES",B95,0)</f>
        <v>0</v>
      </c>
      <c r="C186" s="154"/>
      <c r="D186" s="133">
        <f>B97</f>
        <v>740.86210725651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710.98996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1605.98976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1605.98976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74.6789004114563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4" workbookViewId="0">
      <selection activeCell="E125" sqref="E125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 t="str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70</v>
      </c>
      <c r="B41" s="55">
        <f>IF(B38="YES",D38+A41,D38)</f>
        <v>550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349</v>
      </c>
      <c r="E44" s="48"/>
      <c r="F44" s="2"/>
      <c r="G44" s="2" t="s">
        <v>257</v>
      </c>
      <c r="H44" s="50" t="str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4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275</v>
      </c>
      <c r="C80" s="13"/>
      <c r="D80" s="13"/>
      <c r="E80" s="194">
        <f>E79+D82</f>
        <v>957.916666666667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79.8263888888889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297.916666666667</v>
      </c>
      <c r="C82" s="13"/>
      <c r="D82" s="12">
        <f>IF(A50="YES",0,B82)</f>
        <v>297.916666666667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3101.58305333333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258.465254444444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10936.299664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77.2025994836628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11013.5022634837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78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917.791855290305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995.791855290305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18</v>
      </c>
      <c r="B111" s="101">
        <v>30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917.791855290305</v>
      </c>
      <c r="B134" s="113">
        <f>IF(A111="YES",B95,0)</f>
        <v>78</v>
      </c>
      <c r="C134" s="119"/>
      <c r="D134" s="113">
        <f>B97</f>
        <v>995.791855290305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917.791855290305</v>
      </c>
      <c r="C137" s="109"/>
      <c r="D137" s="127">
        <f>IF(A111="YES",B95*B63,0)</f>
        <v>78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995.791855290305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917.791855290305</v>
      </c>
      <c r="B143" s="127">
        <f>IF(A111="YES",B95,0)</f>
        <v>78</v>
      </c>
      <c r="C143" s="109"/>
      <c r="D143" s="127">
        <f>B97</f>
        <v>995.791855290305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1400.84633333333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1360.84833333333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27">
        <f>B108</f>
        <v>400</v>
      </c>
      <c r="C154" s="127"/>
      <c r="D154" s="127">
        <f>IF(A111="YES",(A41/100*B111)*B131,0)*0.1</f>
        <v>18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728.991626666667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995.791855290305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917.791855290305</v>
      </c>
      <c r="B177" s="156">
        <f>IF(A111="YES",B95,0)</f>
        <v>78</v>
      </c>
      <c r="C177" s="159"/>
      <c r="D177" s="156">
        <f>B97</f>
        <v>995.791855290305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917.791855290305</v>
      </c>
      <c r="C180" s="154"/>
      <c r="D180" s="133">
        <f>IF(A111="YES",B95*B63,0)</f>
        <v>78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995.791855290305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917.791855290305</v>
      </c>
      <c r="B186" s="133">
        <f>IF(A111="YES",B95,0)</f>
        <v>78</v>
      </c>
      <c r="C186" s="154"/>
      <c r="D186" s="133">
        <f>B97</f>
        <v>995.791855290305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IF(A111="YES",(A41/100*B111)*B131,0)*0.1</f>
        <v>18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728.991626666667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519.991666666667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1785.99142666667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1785.99142666667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180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77.2025994836628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 t="str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70</v>
      </c>
      <c r="B41" s="55">
        <f>IF(B38="YES",D38+A41,D38)</f>
        <v>550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349</v>
      </c>
      <c r="E44" s="48"/>
      <c r="F44" s="2"/>
      <c r="G44" s="2" t="s">
        <v>257</v>
      </c>
      <c r="H44" s="50" t="str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275</v>
      </c>
      <c r="C80" s="13"/>
      <c r="D80" s="13"/>
      <c r="E80" s="194">
        <f>E79+D82</f>
        <v>957.916666666667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79.8263888888889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297.916666666667</v>
      </c>
      <c r="C82" s="13"/>
      <c r="D82" s="12">
        <f>IF(A50="YES",0,B82)</f>
        <v>297.916666666667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3101.58305333333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258.465254444444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9113.58305333333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77.2025994836628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9190.785652817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65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765.898804401416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830.898804401416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18</v>
      </c>
      <c r="B111" s="101">
        <v>30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765.898804401416</v>
      </c>
      <c r="B134" s="113">
        <f>IF(A111="YES",B95,0)</f>
        <v>65</v>
      </c>
      <c r="C134" s="119"/>
      <c r="D134" s="113">
        <f>B97</f>
        <v>830.898804401416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765.898804401416</v>
      </c>
      <c r="C137" s="109"/>
      <c r="D137" s="127">
        <f>IF(A111="YES",B95*B63,0)</f>
        <v>65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830.898804401416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765.898804401416</v>
      </c>
      <c r="B143" s="127">
        <f>IF(A111="YES",B95,0)</f>
        <v>65</v>
      </c>
      <c r="C143" s="109"/>
      <c r="D143" s="127">
        <f>B97</f>
        <v>830.898804401416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1400.84633333333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1360.84833333333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27">
        <f>B108</f>
        <v>400</v>
      </c>
      <c r="C154" s="127"/>
      <c r="D154" s="127">
        <f>IF(A111="YES",(A41/100*B111)*B131,0)*0.1</f>
        <v>18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728.98996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830.898804401416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765.898804401416</v>
      </c>
      <c r="B177" s="156">
        <f>IF(A111="YES",B95,0)</f>
        <v>65</v>
      </c>
      <c r="C177" s="159"/>
      <c r="D177" s="156">
        <f>B91</f>
        <v>9113.58305333333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765.898804401416</v>
      </c>
      <c r="C180" s="154"/>
      <c r="D180" s="133">
        <f>IF(A111="YES",B95*B63,0)</f>
        <v>65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830.898804401416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765.898804401416</v>
      </c>
      <c r="B186" s="133">
        <f>IF(A111="YES",B95,0)</f>
        <v>65</v>
      </c>
      <c r="C186" s="154"/>
      <c r="D186" s="133">
        <f>B97</f>
        <v>830.898804401416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B154</f>
        <v>400</v>
      </c>
      <c r="C197" s="133"/>
      <c r="D197" s="133">
        <f>IF(A111="YES",(A41/100*B111)*B131,0)*0.1</f>
        <v>18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728.98996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519.99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1785.98976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1785.98976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180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77.2025994836628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8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 t="str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9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3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2803.66638666667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233.638865555556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8815.66638666667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74.6789004114563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8890.34528707812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740.86210725651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740.86210725651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341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351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 t="s">
        <v>352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3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3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740.86210725651</v>
      </c>
      <c r="B134" s="113">
        <f>IF(A111="YES",B95,0)</f>
        <v>0</v>
      </c>
      <c r="C134" s="119"/>
      <c r="D134" s="113">
        <f>B97</f>
        <v>740.86210725651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Terminal pause with 9 down </v>
      </c>
      <c r="B137" s="127">
        <f>B96*B63</f>
        <v>6667.75896530859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6667.75896530859</v>
      </c>
      <c r="B140" s="127">
        <f>E120</f>
        <v>4000</v>
      </c>
      <c r="C140" s="109"/>
      <c r="D140" s="135">
        <f>B64</f>
        <v>3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740.86210725651</v>
      </c>
      <c r="B143" s="127">
        <f>IF(A111="YES",B95,0)</f>
        <v>0</v>
      </c>
      <c r="C143" s="109"/>
      <c r="D143" s="127">
        <f>B97</f>
        <v>740.86210725651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1388.84633333333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1348.84833333333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710.98996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740.86210725651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740.86210725651</v>
      </c>
      <c r="B177" s="156">
        <f>IF(A111="YES",B95,0)</f>
        <v>0</v>
      </c>
      <c r="C177" s="159"/>
      <c r="D177" s="156">
        <f>B91</f>
        <v>8815.66638666667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Terminal pause with 9 down </v>
      </c>
      <c r="B180" s="133">
        <f>B96*B63</f>
        <v>6667.75896530859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6667.75896530859</v>
      </c>
      <c r="B183" s="133">
        <f>E120</f>
        <v>4000</v>
      </c>
      <c r="C183" s="154"/>
      <c r="D183" s="162">
        <f>B64</f>
        <v>3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740.86210725651</v>
      </c>
      <c r="B186" s="133">
        <f>IF(A111="YES",B95,0)</f>
        <v>0</v>
      </c>
      <c r="C186" s="154"/>
      <c r="D186" s="133">
        <f>B97</f>
        <v>740.86210725651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710.98996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1605.98976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1605.98976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74.6789004114563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44" workbookViewId="0">
      <selection activeCell="B68" sqref="B68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 t="str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275</v>
      </c>
      <c r="C80" s="13"/>
      <c r="D80" s="13"/>
      <c r="E80" s="194">
        <f>E79+D82</f>
        <v>957.916666666667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79.8263888888889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297.916666666667</v>
      </c>
      <c r="C82" s="13"/>
      <c r="D82" s="12">
        <f>IF(A50="YES",0,B82)</f>
        <v>297.916666666667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0</v>
      </c>
      <c r="C83" s="13"/>
      <c r="D83" s="12">
        <f>B83</f>
        <v>0</v>
      </c>
      <c r="E83" s="14">
        <f>D83/12</f>
        <v>0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0</v>
      </c>
      <c r="C84" s="13"/>
      <c r="D84" s="12">
        <f>B84</f>
        <v>0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2434.91638666667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202.909698888889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10136.299664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71.5551610004034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10207.8548250004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850.654568750034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850.654568750034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0</v>
      </c>
      <c r="C108" s="102"/>
      <c r="D108" s="102">
        <v>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850.654568750034</v>
      </c>
      <c r="B134" s="113">
        <f>IF(A111="YES",B95,0)</f>
        <v>0</v>
      </c>
      <c r="C134" s="119"/>
      <c r="D134" s="113">
        <f>B97</f>
        <v>850.654568750034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850.654568750034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850.654568750034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850.654568750034</v>
      </c>
      <c r="B143" s="127">
        <f>IF(A111="YES",B95,0)</f>
        <v>0</v>
      </c>
      <c r="C143" s="109"/>
      <c r="D143" s="127">
        <f>B97</f>
        <v>850.654568750034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1388.84633333333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1348.84833333333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27">
        <f>B108</f>
        <v>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310.991626666667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850.654568750034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850.654568750034</v>
      </c>
      <c r="B177" s="156">
        <f>IF(A111="YES",B95,0)</f>
        <v>0</v>
      </c>
      <c r="C177" s="159"/>
      <c r="D177" s="156">
        <f>B91</f>
        <v>10136.299664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850.654568750034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850.654568750034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850.654568750034</v>
      </c>
      <c r="B186" s="133">
        <f>IF(A111="YES",B95,0)</f>
        <v>0</v>
      </c>
      <c r="C186" s="154"/>
      <c r="D186" s="133">
        <f>B97</f>
        <v>850.654568750034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B108</f>
        <v>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310.991626666667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99.9916666666667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1365.99142666667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0</v>
      </c>
      <c r="C223" s="130" t="s">
        <v>220</v>
      </c>
      <c r="D223" s="109"/>
      <c r="E223" s="180">
        <f>(B217-B211+D211)</f>
        <v>1365.99142666667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71.5551610004034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89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40526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 t="str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9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3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21099.996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40526</v>
      </c>
      <c r="C67" s="13"/>
      <c r="D67" s="13"/>
      <c r="E67" s="14"/>
      <c r="F67" s="2"/>
      <c r="G67" s="6" t="s">
        <v>14</v>
      </c>
      <c r="H67" s="12">
        <f>G18</f>
        <v>40526</v>
      </c>
      <c r="I67" s="13"/>
      <c r="J67" s="13"/>
      <c r="K67" s="14"/>
      <c r="L67" s="2"/>
      <c r="M67" s="6" t="s">
        <v>14</v>
      </c>
      <c r="N67" s="12">
        <f>G18</f>
        <v>40526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1476.99972</v>
      </c>
      <c r="C70" s="13">
        <v>10000</v>
      </c>
      <c r="D70" s="12">
        <f>B70-A149</f>
        <v>1476.99972</v>
      </c>
      <c r="E70" s="14">
        <f>D70/12</f>
        <v>123.08331</v>
      </c>
      <c r="F70" s="2"/>
      <c r="G70" s="72" t="s">
        <v>91</v>
      </c>
      <c r="H70" s="80">
        <f>H67*H69</f>
        <v>2836.82</v>
      </c>
      <c r="I70" s="13"/>
      <c r="J70" s="12">
        <f>H70-G151</f>
        <v>2836.82</v>
      </c>
      <c r="K70" s="14"/>
      <c r="L70" s="2"/>
      <c r="M70" s="72" t="s">
        <v>91</v>
      </c>
      <c r="N70" s="80">
        <f>N67*N69</f>
        <v>2836.82</v>
      </c>
      <c r="O70" s="13"/>
      <c r="P70" s="12">
        <f>N70-M151</f>
        <v>2836.82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210.99996</v>
      </c>
      <c r="C73" s="13"/>
      <c r="D73" s="12"/>
      <c r="E73" s="14"/>
      <c r="F73" s="2"/>
      <c r="G73" s="72" t="s">
        <v>94</v>
      </c>
      <c r="H73" s="80">
        <f>H67*H72</f>
        <v>202.63</v>
      </c>
      <c r="I73" s="13"/>
      <c r="J73" s="12"/>
      <c r="K73" s="14"/>
      <c r="L73" s="2"/>
      <c r="M73" s="72" t="s">
        <v>94</v>
      </c>
      <c r="N73" s="80">
        <f>N67*N72</f>
        <v>202.63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275</v>
      </c>
      <c r="C80" s="13"/>
      <c r="D80" s="13"/>
      <c r="E80" s="194">
        <f>E79+D82</f>
        <v>957.916666666667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79.8263888888889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297.916666666667</v>
      </c>
      <c r="C82" s="13"/>
      <c r="D82" s="12">
        <f>IF(A50="YES",0,B82)</f>
        <v>297.916666666667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3101.58305333333</v>
      </c>
      <c r="C87" s="13"/>
      <c r="D87" s="13"/>
      <c r="E87" s="14"/>
      <c r="F87" s="2"/>
      <c r="G87" s="91" t="s">
        <v>103</v>
      </c>
      <c r="H87" s="92">
        <f>SUM(J70:J86)</f>
        <v>5990.40333333333</v>
      </c>
      <c r="I87" s="13"/>
      <c r="J87" s="13"/>
      <c r="K87" s="14"/>
      <c r="L87" s="2"/>
      <c r="M87" s="91" t="s">
        <v>103</v>
      </c>
      <c r="N87" s="92">
        <f>SUM(P70:P86)</f>
        <v>5950.82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258.465254444444</v>
      </c>
      <c r="C88" s="13"/>
      <c r="D88" s="13"/>
      <c r="E88" s="14"/>
      <c r="F88" s="2"/>
      <c r="G88" s="6" t="s">
        <v>104</v>
      </c>
      <c r="H88" s="11">
        <f>H87/H29</f>
        <v>499.200277777778</v>
      </c>
      <c r="I88" s="13"/>
      <c r="J88" s="13"/>
      <c r="K88" s="14"/>
      <c r="L88" s="2"/>
      <c r="M88" s="6" t="s">
        <v>104</v>
      </c>
      <c r="N88" s="11">
        <f>N87/H29</f>
        <v>495.901666666667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9113.58305333333</v>
      </c>
      <c r="C91" s="13"/>
      <c r="D91" s="13"/>
      <c r="E91" s="14"/>
      <c r="F91" s="2"/>
      <c r="G91" s="75" t="s">
        <v>115</v>
      </c>
      <c r="H91" s="95">
        <f>((H89*H29)+H87)*1.2</f>
        <v>14402.884</v>
      </c>
      <c r="I91" s="13"/>
      <c r="J91" s="13"/>
      <c r="K91" s="14"/>
      <c r="L91" s="2"/>
      <c r="M91" s="75" t="s">
        <v>115</v>
      </c>
      <c r="N91" s="95">
        <f>((N89*H29)+N87)</f>
        <v>11962.82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77.2025994836628</v>
      </c>
      <c r="C92" s="13"/>
      <c r="D92" s="13"/>
      <c r="E92" s="195"/>
      <c r="F92" s="2"/>
      <c r="G92" s="6" t="s">
        <v>116</v>
      </c>
      <c r="H92" s="11">
        <f>(((H89*H29)+H87)/(1-H76))*H76</f>
        <v>101.674251714401</v>
      </c>
      <c r="I92" s="13"/>
      <c r="J92" s="13"/>
      <c r="K92" s="14"/>
      <c r="L92" s="2"/>
      <c r="M92" s="6" t="s">
        <v>116</v>
      </c>
      <c r="N92" s="11">
        <f>(N91/(1-N76))*N76</f>
        <v>101.338935054457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9190.785652817</v>
      </c>
      <c r="C93" s="13"/>
      <c r="D93" s="13"/>
      <c r="E93" s="14"/>
      <c r="F93" s="2"/>
      <c r="G93" s="72" t="s">
        <v>117</v>
      </c>
      <c r="H93" s="80">
        <f>IF(H116="YES",((H91+H92)-K120),(H91+H92))</f>
        <v>16504.5582517144</v>
      </c>
      <c r="I93" s="13"/>
      <c r="J93" s="13"/>
      <c r="K93" s="14"/>
      <c r="L93" s="2"/>
      <c r="M93" s="72" t="s">
        <v>117</v>
      </c>
      <c r="N93" s="80">
        <f>IF(N116="YES",((N91+N92)-K120),(N91+N92))</f>
        <v>14064.1589350545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765.898804401416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765.898804401416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351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 t="s">
        <v>352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3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3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765.898804401416</v>
      </c>
      <c r="B134" s="113">
        <f>IF(A111="YES",B95,0)</f>
        <v>0</v>
      </c>
      <c r="C134" s="119"/>
      <c r="D134" s="113">
        <f>B97</f>
        <v>765.898804401416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Terminal pause with 9 down </v>
      </c>
      <c r="B137" s="127">
        <f>B96*B63</f>
        <v>6893.08923961275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6893.08923961275</v>
      </c>
      <c r="B140" s="127">
        <f>E120</f>
        <v>4000</v>
      </c>
      <c r="C140" s="109"/>
      <c r="D140" s="135">
        <f>B64</f>
        <v>3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765.898804401416</v>
      </c>
      <c r="B143" s="127">
        <f>IF(A111="YES",B95,0)</f>
        <v>0</v>
      </c>
      <c r="C143" s="109"/>
      <c r="D143" s="127">
        <f>B97</f>
        <v>765.898804401416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168.858333333333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168.858333333333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29.17872</v>
      </c>
      <c r="B146" s="143">
        <f>G18*0.000002*1.2*100</f>
        <v>9.72624</v>
      </c>
      <c r="C146" s="109"/>
      <c r="D146" s="143">
        <f>A146+B146</f>
        <v>38.90496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1388.84633333333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1348.84833333333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210.99996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710.98996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765.898804401416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765.898804401416</v>
      </c>
      <c r="B177" s="156">
        <f>IF(A111="YES",B95,0)</f>
        <v>0</v>
      </c>
      <c r="C177" s="159"/>
      <c r="D177" s="156">
        <f>B91</f>
        <v>9113.58305333333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Terminal pause with 9 down </v>
      </c>
      <c r="B180" s="133">
        <f>B96*B63</f>
        <v>6893.08923961275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6893.08923961275</v>
      </c>
      <c r="B183" s="133">
        <f>E120</f>
        <v>4000</v>
      </c>
      <c r="C183" s="154"/>
      <c r="D183" s="162">
        <f>B64</f>
        <v>3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765.898804401416</v>
      </c>
      <c r="B186" s="133">
        <f>IF(A111="YES",B95,0)</f>
        <v>0</v>
      </c>
      <c r="C186" s="154"/>
      <c r="D186" s="133">
        <f>B97</f>
        <v>765.898804401416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29.17872</v>
      </c>
      <c r="B189" s="166">
        <f>G18*0.000002*1.2*100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210.99996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710.98996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1605.98976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1476.99972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1605.98976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77.2025994836628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78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35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35000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35</v>
      </c>
      <c r="B33" s="44">
        <f>B51</f>
        <v>35000</v>
      </c>
      <c r="C33" s="250"/>
      <c r="D33" s="250"/>
      <c r="E33" s="44">
        <f>K48</f>
        <v>552.861519485774</v>
      </c>
      <c r="F33" s="44"/>
      <c r="G33" s="44"/>
      <c r="H33" s="271"/>
      <c r="I33" s="240"/>
      <c r="J33" s="302" t="s">
        <v>355</v>
      </c>
      <c r="K33" s="306">
        <f>E21</f>
        <v>17583.33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0.065</v>
      </c>
      <c r="P35" s="273"/>
    </row>
    <row r="36" spans="1:16">
      <c r="A36" s="132">
        <f>K47</f>
        <v>552.861519485774</v>
      </c>
      <c r="B36" s="44" t="str">
        <f>IF(B26="YES",K42,"0.00")</f>
        <v>0.00</v>
      </c>
      <c r="C36" s="44"/>
      <c r="D36" s="44"/>
      <c r="E36" s="44">
        <f>K31</f>
        <v>0</v>
      </c>
      <c r="F36" s="44"/>
      <c r="G36" s="44"/>
      <c r="H36" s="271"/>
      <c r="I36" s="240"/>
      <c r="J36" s="240" t="s">
        <v>50</v>
      </c>
      <c r="K36" s="240">
        <f>K29</f>
        <v>35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17583.33</v>
      </c>
      <c r="L39" s="240">
        <f>(L47*K46)+K44</f>
        <v>25443.3768750692</v>
      </c>
      <c r="N39" s="239">
        <f>K39-L39</f>
        <v>-7860.04687506925</v>
      </c>
      <c r="P39" s="273"/>
    </row>
    <row r="40" ht="19.5" spans="1:16">
      <c r="A40" s="102">
        <f>E36*A45/100</f>
        <v>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0</v>
      </c>
      <c r="L40" s="240">
        <f>K39-L39</f>
        <v>-7860.04687506925</v>
      </c>
      <c r="N40" s="239">
        <f>N38-N39</f>
        <v>10771.7268750692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0.00541666666666667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0</v>
      </c>
      <c r="L44" s="240"/>
      <c r="P44" s="273"/>
    </row>
    <row r="45" ht="19.5" spans="1:16">
      <c r="A45" s="395">
        <v>30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17583.33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31.8042210938366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552.861519485774</v>
      </c>
      <c r="L47" s="240">
        <f>L49-K42</f>
        <v>800</v>
      </c>
      <c r="M47" s="239">
        <f>K47-L47</f>
        <v>-247.138480514226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552.861519485774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35000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35</v>
      </c>
      <c r="B52" s="71">
        <f>K48</f>
        <v>552.861519485774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34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34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34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34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40526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40526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40526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40526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0.065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5356.14215907465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0.00979166666666667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0.0739583333333333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0.00979166666666667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0.00979166666666667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171.354134027778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2997.23541666667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396.817083333333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552.861519485774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552.861519485774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552.861519485774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552.861519485774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20999.996</v>
      </c>
      <c r="C81" s="250"/>
      <c r="D81" s="250"/>
      <c r="E81" s="291"/>
      <c r="F81" s="264" t="s">
        <v>106</v>
      </c>
      <c r="G81" s="266">
        <f>G158</f>
        <v>20999.996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0</v>
      </c>
      <c r="C82" s="250"/>
      <c r="D82" s="250"/>
      <c r="E82" s="291"/>
      <c r="F82" s="245" t="s">
        <v>107</v>
      </c>
      <c r="G82" s="180">
        <f>IF(A111="YES",A40,0)</f>
        <v>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B59</f>
        <v>34</v>
      </c>
      <c r="C85" s="250"/>
      <c r="D85" s="250"/>
      <c r="E85" s="291"/>
      <c r="F85" s="245" t="s">
        <v>110</v>
      </c>
      <c r="G85" s="180">
        <f>IF(G82=0,(B59+B58),(B59))</f>
        <v>35</v>
      </c>
      <c r="H85" s="180"/>
      <c r="J85" s="245" t="s">
        <v>110</v>
      </c>
      <c r="K85" s="180">
        <f>IF(K82=0,(K59+K58),(K59))</f>
        <v>35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34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34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0</v>
      </c>
      <c r="C86" s="250"/>
      <c r="D86" s="250"/>
      <c r="E86" s="291"/>
      <c r="F86" s="245" t="s">
        <v>111</v>
      </c>
      <c r="G86" s="180">
        <f>(G82/((1+G84)^(G85+1)))</f>
        <v>0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0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0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28.8995114056174</v>
      </c>
      <c r="C87" s="250"/>
      <c r="D87" s="250"/>
      <c r="E87" s="291"/>
      <c r="F87" s="245" t="s">
        <v>112</v>
      </c>
      <c r="G87" s="180">
        <f>((1-(1/((1+G84)^G85)))/G84)</f>
        <v>31.8042210938366</v>
      </c>
      <c r="H87" s="180"/>
      <c r="J87" s="245" t="s">
        <v>112</v>
      </c>
      <c r="K87" s="180">
        <f>((1-(1/((1+K84)^K85)))/K84)</f>
        <v>24.9986193320352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28.2762125724768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28.2762125724768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20999.996</v>
      </c>
      <c r="C88" s="250"/>
      <c r="D88" s="250"/>
      <c r="E88" s="291"/>
      <c r="F88" s="245" t="s">
        <v>113</v>
      </c>
      <c r="G88" s="180">
        <f>G81-G86</f>
        <v>20999.996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726.655745325787</v>
      </c>
      <c r="C89" s="250"/>
      <c r="D89" s="250"/>
      <c r="E89" s="291"/>
      <c r="F89" s="245" t="s">
        <v>114</v>
      </c>
      <c r="G89" s="180">
        <f>(G88/G87)</f>
        <v>660.289586657089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24706.2953410768</v>
      </c>
      <c r="C90" s="250"/>
      <c r="D90" s="250"/>
      <c r="E90" s="291"/>
      <c r="F90" s="245" t="s">
        <v>115</v>
      </c>
      <c r="G90" s="180">
        <f>((G89*(G85))+G77)</f>
        <v>23110.1355329981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24706.2953410768</v>
      </c>
      <c r="C92" s="250"/>
      <c r="D92" s="250"/>
      <c r="E92" s="291"/>
      <c r="F92" s="275" t="s">
        <v>117</v>
      </c>
      <c r="G92" s="281">
        <f>(G90+G91)</f>
        <v>23110.1355329981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IF(B26="YES",((E40/B85)*(1+A108)*1.2*(C45/100)),"0")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(B92/B85)</f>
        <v>726.655745325787</v>
      </c>
      <c r="C95" s="250"/>
      <c r="D95" s="250"/>
      <c r="E95" s="291"/>
      <c r="F95" s="319" t="s">
        <v>119</v>
      </c>
      <c r="G95" s="320">
        <f>G92/(G85)</f>
        <v>660.289586657089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726.655745325787</v>
      </c>
      <c r="C96" s="250"/>
      <c r="D96" s="250"/>
      <c r="E96" s="291"/>
      <c r="F96" s="321" t="s">
        <v>120</v>
      </c>
      <c r="G96" s="322">
        <f>G94+G95</f>
        <v>660.289586657089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0.115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17583.33</v>
      </c>
      <c r="C121" s="336">
        <v>19583.33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21099.996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21099.996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21099.996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17583.33</v>
      </c>
      <c r="C125" s="80">
        <f t="shared" si="3"/>
        <v>19583.33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17583.33</v>
      </c>
      <c r="H135" s="354">
        <f>C125+E125+G125+H128</f>
        <v>19583.33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21099.996</v>
      </c>
      <c r="H147" s="359">
        <f>H141-((H144*1.2)+(H145*1.2)+(H146*1.2)+(H142*1.2))</f>
        <v>23499.996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-15833.33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20999.996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726.655745325787</v>
      </c>
      <c r="B167" s="126" t="str">
        <f>B94</f>
        <v>0</v>
      </c>
      <c r="C167" s="365"/>
      <c r="D167" s="365"/>
      <c r="E167" s="126">
        <f>B96</f>
        <v>726.655745325787</v>
      </c>
      <c r="F167" s="262"/>
      <c r="G167" s="262">
        <f>ROUND(G95,2)</f>
        <v>660.29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35</v>
      </c>
      <c r="B170" s="42">
        <f>K30</f>
        <v>35000</v>
      </c>
      <c r="C170" s="367"/>
      <c r="D170" s="262"/>
      <c r="E170" s="274">
        <f>IF(A111="YES",A40,0)</f>
        <v>0</v>
      </c>
      <c r="F170" s="262"/>
      <c r="G170" s="262"/>
      <c r="H170" s="180"/>
      <c r="J170" s="270">
        <f>K29</f>
        <v>35</v>
      </c>
      <c r="K170" s="42">
        <f>K30</f>
        <v>35000</v>
      </c>
      <c r="L170" s="367"/>
      <c r="M170" s="262"/>
      <c r="N170" s="274">
        <f>IF(A111="YES",A40,0)</f>
        <v>0</v>
      </c>
      <c r="O170" s="262"/>
      <c r="P170" s="262"/>
      <c r="Q170" s="180"/>
      <c r="S170" s="270">
        <f>K29</f>
        <v>35</v>
      </c>
      <c r="T170" s="42">
        <f>K30</f>
        <v>35000</v>
      </c>
      <c r="U170" s="367"/>
      <c r="V170" s="262"/>
      <c r="W170" s="274">
        <f>IF(A111="YES",A40,0)</f>
        <v>0</v>
      </c>
      <c r="X170" s="262"/>
      <c r="Y170" s="262"/>
      <c r="Z170" s="180"/>
      <c r="AB170" s="270">
        <f>K29</f>
        <v>35</v>
      </c>
      <c r="AC170" s="42">
        <f>K30</f>
        <v>35000</v>
      </c>
      <c r="AD170" s="367"/>
      <c r="AE170" s="262"/>
      <c r="AF170" s="274">
        <f>IF(A111="YES",A40,0)</f>
        <v>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H141</f>
        <v>23499.996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20999.996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4422.95508640254</v>
      </c>
      <c r="B182" s="133" t="str">
        <f>B114</f>
        <v>239.99</v>
      </c>
      <c r="C182" s="133"/>
      <c r="D182" s="262"/>
      <c r="E182" s="133">
        <f>E179+A182+B182+A185</f>
        <v>25672.9410864025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A179+B182</f>
        <v>2239.99</v>
      </c>
      <c r="C185" s="133"/>
      <c r="D185" s="262"/>
      <c r="E185" s="133">
        <f>IF(A40=0,(E167),(E170+A185))</f>
        <v>726.655745325787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20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</f>
        <v>0</v>
      </c>
      <c r="B188" s="133">
        <f>(G158*B67)/1.2</f>
        <v>171.354134027778</v>
      </c>
      <c r="C188" s="250"/>
      <c r="D188" s="250"/>
      <c r="E188" s="133">
        <f>(E40*A108)*0.1*C45/100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(B182/1.2)-100</f>
        <v>99.9916666666667</v>
      </c>
      <c r="B191" s="133">
        <f>B188+E188+A191</f>
        <v>271.345800694445</v>
      </c>
      <c r="C191" s="250"/>
      <c r="D191" s="250"/>
      <c r="E191" s="133">
        <f>H148</f>
        <v>2000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35000</v>
      </c>
      <c r="C196" s="288"/>
      <c r="D196" s="288"/>
      <c r="E196" s="262"/>
      <c r="F196" s="262"/>
      <c r="G196" s="262"/>
      <c r="H196" s="180"/>
      <c r="J196" s="286"/>
      <c r="K196" s="288">
        <f>K30</f>
        <v>35000</v>
      </c>
      <c r="L196" s="288"/>
      <c r="M196" s="288"/>
      <c r="N196" s="262"/>
      <c r="O196" s="262"/>
      <c r="P196" s="262"/>
      <c r="Q196" s="180"/>
      <c r="S196" s="286"/>
      <c r="T196" s="288">
        <f>K30</f>
        <v>35000</v>
      </c>
      <c r="U196" s="288"/>
      <c r="V196" s="288"/>
      <c r="W196" s="262"/>
      <c r="X196" s="262"/>
      <c r="Y196" s="262"/>
      <c r="Z196" s="180"/>
      <c r="AB196" s="286"/>
      <c r="AC196" s="288">
        <f>K30</f>
        <v>35000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35</v>
      </c>
      <c r="B197" s="71">
        <f>B96</f>
        <v>726.655745325787</v>
      </c>
      <c r="C197" s="71"/>
      <c r="D197" s="71"/>
      <c r="E197" s="262"/>
      <c r="F197" s="262"/>
      <c r="G197" s="262"/>
      <c r="H197" s="180"/>
      <c r="J197" s="289">
        <f>K29</f>
        <v>35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35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35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2110.154</v>
      </c>
      <c r="B201" s="272">
        <f>E179+A201+B182+A185</f>
        <v>23360.14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35</v>
      </c>
      <c r="C209" s="365"/>
      <c r="D209" s="365"/>
      <c r="E209" s="365">
        <f>B196</f>
        <v>35000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726.655745325787</v>
      </c>
      <c r="B212" s="126" t="str">
        <f>B167</f>
        <v>0</v>
      </c>
      <c r="C212" s="365"/>
      <c r="D212" s="365"/>
      <c r="E212" s="126">
        <f>E167</f>
        <v>726.655745325787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20999.996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4422.95508640254</v>
      </c>
      <c r="B224" s="133" t="str">
        <f>B182</f>
        <v>239.99</v>
      </c>
      <c r="C224" s="133"/>
      <c r="D224" s="291"/>
      <c r="E224" s="133">
        <f>E182</f>
        <v>25672.9410864025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2239.99</v>
      </c>
      <c r="C227" s="133"/>
      <c r="D227" s="291"/>
      <c r="E227" s="133">
        <f>B59</f>
        <v>34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726.655745325787</v>
      </c>
      <c r="B230" s="133" t="str">
        <f>B167</f>
        <v>0</v>
      </c>
      <c r="C230" s="272"/>
      <c r="D230" s="272"/>
      <c r="E230" s="133">
        <f>E167</f>
        <v>726.655745325787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0</v>
      </c>
      <c r="B233" s="133">
        <f>E185</f>
        <v>726.655745325787</v>
      </c>
      <c r="C233" s="250"/>
      <c r="D233" s="250"/>
      <c r="E233" s="133">
        <f>J18*0.000006*100*1.2</f>
        <v>29.17872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IF(E105="YES",J18*0.000002,0)*100*1.2</f>
        <v>0</v>
      </c>
      <c r="B236" s="133">
        <f>E233+A236</f>
        <v>29.17872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B68</f>
        <v>171.354134027778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2271.34580069444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93">
        <f>(E182-B182)-(B201-B182-A185)</f>
        <v>2322.8010864025</v>
      </c>
      <c r="C254" s="376"/>
      <c r="D254" s="377" t="s">
        <v>218</v>
      </c>
      <c r="E254" s="377"/>
      <c r="F254" s="378">
        <f>F261+F267+F269+B270+B271</f>
        <v>205.624960833333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2217.16779223584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B254</f>
        <v>2322.8010864025</v>
      </c>
      <c r="G260" s="262"/>
      <c r="H260" s="180"/>
    </row>
    <row r="261" ht="19.5" spans="1:8">
      <c r="A261" s="245" t="s">
        <v>223</v>
      </c>
      <c r="B261" s="387">
        <f>B67</f>
        <v>0.00979166666666667</v>
      </c>
      <c r="C261" s="368"/>
      <c r="D261" s="105" t="s">
        <v>223</v>
      </c>
      <c r="E261" s="105"/>
      <c r="F261" s="144">
        <f>B68*1.2</f>
        <v>205.624960833333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2217.16779223584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89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7.2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18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12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17280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300</v>
      </c>
      <c r="P32" s="273"/>
    </row>
    <row r="33" ht="36.75" spans="1:16">
      <c r="A33" s="270">
        <f>A52</f>
        <v>12</v>
      </c>
      <c r="B33" s="44">
        <f>B51</f>
        <v>10000</v>
      </c>
      <c r="C33" s="250"/>
      <c r="D33" s="250"/>
      <c r="E33" s="44">
        <f>K48</f>
        <v>391.182122867598</v>
      </c>
      <c r="F33" s="44"/>
      <c r="G33" s="44"/>
      <c r="H33" s="271"/>
      <c r="I33" s="240"/>
      <c r="J33" s="302" t="s">
        <v>355</v>
      </c>
      <c r="K33" s="306">
        <f>E21</f>
        <v>17583.33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366.182122867598</v>
      </c>
      <c r="B36" s="44">
        <f>IF(B26="YES",K42,"0.00")</f>
        <v>25</v>
      </c>
      <c r="C36" s="44"/>
      <c r="D36" s="44"/>
      <c r="E36" s="44">
        <f>K31</f>
        <v>17280</v>
      </c>
      <c r="F36" s="44"/>
      <c r="G36" s="44"/>
      <c r="H36" s="271"/>
      <c r="I36" s="240"/>
      <c r="J36" s="240" t="s">
        <v>50</v>
      </c>
      <c r="K36" s="240">
        <f>K29</f>
        <v>12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17583.33</v>
      </c>
      <c r="L39" s="240">
        <f>(L47*K46)+K44</f>
        <v>22308.087321496</v>
      </c>
      <c r="N39" s="239">
        <f>K39-L39</f>
        <v>-4724.75732149599</v>
      </c>
      <c r="P39" s="273"/>
    </row>
    <row r="40" ht="19.5" spans="1:16">
      <c r="A40" s="102">
        <f>E36*A45/100</f>
        <v>17280</v>
      </c>
      <c r="B40" s="102">
        <f>IF(B26="YES",K42,"0.00")</f>
        <v>25</v>
      </c>
      <c r="C40" s="102"/>
      <c r="D40" s="102"/>
      <c r="E40" s="274">
        <f>K32</f>
        <v>300</v>
      </c>
      <c r="F40" s="272"/>
      <c r="G40" s="272"/>
      <c r="H40" s="271"/>
      <c r="J40" s="240" t="s">
        <v>107</v>
      </c>
      <c r="K40" s="240">
        <f>(A40)/1.2</f>
        <v>14400</v>
      </c>
      <c r="L40" s="240">
        <f>K39-L39</f>
        <v>-4724.75732149599</v>
      </c>
      <c r="N40" s="239">
        <f>N38-N39</f>
        <v>7636.43732149599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25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13351.319212812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4232.01078718802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11.5571201402374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366.182122867598</v>
      </c>
      <c r="L47" s="240">
        <f>L49-K42</f>
        <v>775</v>
      </c>
      <c r="M47" s="239">
        <f>K47-L47</f>
        <v>-408.817877132402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391.182122867598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12</v>
      </c>
      <c r="B52" s="71">
        <f>K48</f>
        <v>391.182122867598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11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11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11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11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40526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40526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40526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40526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0.0105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0.0105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0.0105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1816.0436977276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0.005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0.005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0.005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87.4999833333334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2026.3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202.63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366.182122867598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366.182122867598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391.182122867598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391.182122867598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20999.996</v>
      </c>
      <c r="C81" s="250"/>
      <c r="D81" s="250"/>
      <c r="E81" s="291"/>
      <c r="F81" s="264" t="s">
        <v>106</v>
      </c>
      <c r="G81" s="266">
        <f>G158</f>
        <v>20999.996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17280</v>
      </c>
      <c r="C82" s="250"/>
      <c r="D82" s="250"/>
      <c r="E82" s="291"/>
      <c r="F82" s="245" t="s">
        <v>107</v>
      </c>
      <c r="G82" s="180">
        <f>IF(A111="YES",A40,0)</f>
        <v>17280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17280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17280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0.1305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0.1415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0.1415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0.010875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0.0117916666666667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0.0117916666666667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B59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  <c r="J85" s="245" t="s">
        <v>110</v>
      </c>
      <c r="K85" s="180">
        <f>IF(K82=0,(K59+K58),(K59))</f>
        <v>12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11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11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15176.5922023999</v>
      </c>
      <c r="C86" s="250"/>
      <c r="D86" s="250"/>
      <c r="E86" s="291"/>
      <c r="F86" s="245" t="s">
        <v>111</v>
      </c>
      <c r="G86" s="180">
        <f>(G82/((1+G84)^(G85+1)))</f>
        <v>16115.0422898641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15012.4149638869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15012.4149638869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10.3148273595096</v>
      </c>
      <c r="C87" s="250"/>
      <c r="D87" s="250"/>
      <c r="E87" s="291"/>
      <c r="F87" s="245" t="s">
        <v>112</v>
      </c>
      <c r="G87" s="180">
        <f>((1-(1/((1+G84)^G85)))/G84)</f>
        <v>10.6245366743888</v>
      </c>
      <c r="H87" s="180"/>
      <c r="J87" s="245" t="s">
        <v>112</v>
      </c>
      <c r="K87" s="180">
        <f>((1-(1/((1+K84)^K85)))/K84)</f>
        <v>10.5753412209172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10.2599315027351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10.2599315027351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5823.40379760014</v>
      </c>
      <c r="C88" s="250"/>
      <c r="D88" s="250"/>
      <c r="E88" s="291"/>
      <c r="F88" s="245" t="s">
        <v>113</v>
      </c>
      <c r="G88" s="180">
        <f>G81-G86</f>
        <v>4884.95371013594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564.566288376252</v>
      </c>
      <c r="C89" s="250"/>
      <c r="D89" s="250"/>
      <c r="E89" s="291"/>
      <c r="F89" s="245" t="s">
        <v>114</v>
      </c>
      <c r="G89" s="180">
        <f>(G88/G87)</f>
        <v>459.780398886612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6210.22917213878</v>
      </c>
      <c r="C90" s="250"/>
      <c r="D90" s="250"/>
      <c r="E90" s="291"/>
      <c r="F90" s="245" t="s">
        <v>115</v>
      </c>
      <c r="G90" s="180">
        <f>((G89*(G85))+G77)</f>
        <v>5057.58438775273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6210.22917213878</v>
      </c>
      <c r="C92" s="250"/>
      <c r="D92" s="250"/>
      <c r="E92" s="291"/>
      <c r="F92" s="275" t="s">
        <v>117</v>
      </c>
      <c r="G92" s="281">
        <f>(G90+G91)</f>
        <v>5057.58438775273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>
        <f>IF(B26="YES",((E40/B85)*(1+A108)*(C45/100)),"0")</f>
        <v>32.7272727272727</v>
      </c>
      <c r="C94" s="250"/>
      <c r="D94" s="250"/>
      <c r="E94" s="291"/>
      <c r="F94" s="314" t="s">
        <v>118</v>
      </c>
      <c r="G94" s="318">
        <f>IF(B26="YES",((E40/B85)*(1+A108)*(C45/100)),"0")</f>
        <v>32.7272727272727</v>
      </c>
      <c r="H94" s="180"/>
      <c r="J94" s="314" t="s">
        <v>118</v>
      </c>
      <c r="K94" s="315">
        <f>((E40/K85)*(1+J108))*1.2</f>
        <v>39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32.7272727272727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39.2727272727273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(B92/B85)</f>
        <v>564.566288376252</v>
      </c>
      <c r="C95" s="250"/>
      <c r="D95" s="250"/>
      <c r="E95" s="291"/>
      <c r="F95" s="319" t="s">
        <v>119</v>
      </c>
      <c r="G95" s="320">
        <f>G92/(G85)</f>
        <v>459.780398886612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597.293561103525</v>
      </c>
      <c r="C96" s="250"/>
      <c r="D96" s="250"/>
      <c r="E96" s="291"/>
      <c r="F96" s="321" t="s">
        <v>120</v>
      </c>
      <c r="G96" s="322">
        <f>G94+G95</f>
        <v>492.507671613885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18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0.1305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0.1415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0.1415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17583.33</v>
      </c>
      <c r="C121" s="336">
        <v>19583.33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21099.996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21099.996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21099.996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17583.33</v>
      </c>
      <c r="C125" s="80">
        <f t="shared" si="3"/>
        <v>19583.33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17583.33</v>
      </c>
      <c r="H135" s="354">
        <f>C125+E125+G125+H128</f>
        <v>19583.33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21099.996</v>
      </c>
      <c r="H147" s="359">
        <f>H141-((H144*1.2)+(H145*1.2)+(H146*1.2)+(H142*1.2))</f>
        <v>23499.996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-15833.33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20999.996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564.566288376252</v>
      </c>
      <c r="B167" s="126">
        <f>B94</f>
        <v>32.7272727272727</v>
      </c>
      <c r="C167" s="365"/>
      <c r="D167" s="365"/>
      <c r="E167" s="126">
        <f>B96</f>
        <v>597.293561103525</v>
      </c>
      <c r="F167" s="262"/>
      <c r="G167" s="262">
        <f>ROUND(G95,2)</f>
        <v>459.78</v>
      </c>
      <c r="H167" s="180"/>
      <c r="J167" s="366" t="e">
        <f>K95</f>
        <v>#VALUE!</v>
      </c>
      <c r="K167" s="126">
        <f>K94</f>
        <v>39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32.7272727272727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39.2727272727273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12</v>
      </c>
      <c r="B170" s="42">
        <f>K30</f>
        <v>10000</v>
      </c>
      <c r="C170" s="367"/>
      <c r="D170" s="262"/>
      <c r="E170" s="274">
        <f>IF(A111="YES",A40,0)</f>
        <v>17280</v>
      </c>
      <c r="F170" s="262"/>
      <c r="G170" s="262"/>
      <c r="H170" s="180"/>
      <c r="J170" s="270">
        <f>K29</f>
        <v>12</v>
      </c>
      <c r="K170" s="42">
        <f>K30</f>
        <v>10000</v>
      </c>
      <c r="L170" s="367"/>
      <c r="M170" s="262"/>
      <c r="N170" s="274">
        <f>IF(A111="YES",A40,0)</f>
        <v>17280</v>
      </c>
      <c r="O170" s="262"/>
      <c r="P170" s="262"/>
      <c r="Q170" s="180"/>
      <c r="S170" s="270">
        <f>K29</f>
        <v>12</v>
      </c>
      <c r="T170" s="42">
        <f>K30</f>
        <v>10000</v>
      </c>
      <c r="U170" s="367"/>
      <c r="V170" s="262"/>
      <c r="W170" s="274">
        <f>IF(A111="YES",A40,0)</f>
        <v>17280</v>
      </c>
      <c r="X170" s="262"/>
      <c r="Y170" s="262"/>
      <c r="Z170" s="180"/>
      <c r="AB170" s="270">
        <f>K29</f>
        <v>12</v>
      </c>
      <c r="AC170" s="42">
        <f>K30</f>
        <v>10000</v>
      </c>
      <c r="AD170" s="367"/>
      <c r="AE170" s="262"/>
      <c r="AF170" s="274">
        <f>IF(A111="YES",A40,0)</f>
        <v>17280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H141</f>
        <v>23499.996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20999.996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2490.23317213877</v>
      </c>
      <c r="B182" s="133" t="str">
        <f>B114</f>
        <v>199.99</v>
      </c>
      <c r="C182" s="133"/>
      <c r="D182" s="262"/>
      <c r="E182" s="133">
        <f>E179+A182+(B182*1.2)+A185</f>
        <v>23740.2171721388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A179+B182*1.2</f>
        <v>2239.988</v>
      </c>
      <c r="C185" s="133"/>
      <c r="D185" s="262"/>
      <c r="E185" s="133">
        <f>IF(A40=0,(E167),(E170+A185))</f>
        <v>17290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17300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17290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17290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</f>
        <v>8.1052</v>
      </c>
      <c r="B188" s="133">
        <f>(G158*B67)/1.2</f>
        <v>87.4999833333334</v>
      </c>
      <c r="C188" s="250"/>
      <c r="D188" s="250"/>
      <c r="E188" s="133">
        <f>(E40*A108)*0.1*(C45/100)</f>
        <v>6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9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6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6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193.489983333333</v>
      </c>
      <c r="C191" s="250"/>
      <c r="D191" s="250"/>
      <c r="E191" s="133">
        <f>H148</f>
        <v>2000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12</v>
      </c>
      <c r="B197" s="71">
        <f>B96</f>
        <v>597.293561103525</v>
      </c>
      <c r="C197" s="71"/>
      <c r="D197" s="71"/>
      <c r="E197" s="262"/>
      <c r="F197" s="262"/>
      <c r="G197" s="262"/>
      <c r="H197" s="180"/>
      <c r="J197" s="289">
        <f>K29</f>
        <v>12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12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12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1337.584</v>
      </c>
      <c r="B201" s="272">
        <f>E179+A201+(B182*1.2)+A185</f>
        <v>22587.568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12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564.566288376252</v>
      </c>
      <c r="B212" s="126">
        <f>B167</f>
        <v>32.7272727272727</v>
      </c>
      <c r="C212" s="365"/>
      <c r="D212" s="365"/>
      <c r="E212" s="126">
        <f>E167</f>
        <v>597.293561103525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20999.996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2490.23317213877</v>
      </c>
      <c r="B224" s="133" t="str">
        <f>B182</f>
        <v>199.99</v>
      </c>
      <c r="C224" s="133"/>
      <c r="D224" s="291"/>
      <c r="E224" s="133">
        <f>E182</f>
        <v>23740.2171721388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564.566288376252</v>
      </c>
      <c r="B230" s="133">
        <f>B167</f>
        <v>32.7272727272727</v>
      </c>
      <c r="C230" s="272"/>
      <c r="D230" s="272"/>
      <c r="E230" s="133">
        <f>E167</f>
        <v>597.293561103525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17280</v>
      </c>
      <c r="B233" s="133">
        <f>E185</f>
        <v>17290</v>
      </c>
      <c r="C233" s="250"/>
      <c r="D233" s="250"/>
      <c r="E233" s="133">
        <f>J18*0.000006*100</f>
        <v>24.3156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</f>
        <v>8.1052</v>
      </c>
      <c r="B236" s="133">
        <f>E233+A236</f>
        <v>32.4208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B68</f>
        <v>87.4999833333334</v>
      </c>
      <c r="C240" s="250"/>
      <c r="D240" s="250"/>
      <c r="E240" s="133">
        <f>E188</f>
        <v>6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2193.48998333333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0.1305</v>
      </c>
      <c r="G253" s="262"/>
      <c r="H253" s="180"/>
    </row>
    <row r="254" spans="1:8">
      <c r="A254" s="370" t="s">
        <v>217</v>
      </c>
      <c r="B254" s="378">
        <f>(E182-B182)-(B201-B182-A185)</f>
        <v>1162.6491721388</v>
      </c>
      <c r="C254" s="376"/>
      <c r="D254" s="377" t="s">
        <v>218</v>
      </c>
      <c r="E254" s="377"/>
      <c r="F254" s="378">
        <f>F261+F267+F269+B270+B271</f>
        <v>104.99998</v>
      </c>
      <c r="G254" s="262"/>
      <c r="H254" s="180"/>
    </row>
    <row r="255" spans="1:8">
      <c r="A255" s="370" t="s">
        <v>219</v>
      </c>
      <c r="B255" s="378">
        <f>F262+B263</f>
        <v>159.99</v>
      </c>
      <c r="C255" s="376"/>
      <c r="D255" s="377" t="s">
        <v>220</v>
      </c>
      <c r="E255" s="377"/>
      <c r="F255" s="378">
        <f>(B254-F254)+B255</f>
        <v>1217.6391921388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0.1305</v>
      </c>
      <c r="C260" s="388"/>
      <c r="D260" s="105" t="s">
        <v>217</v>
      </c>
      <c r="E260" s="105"/>
      <c r="F260" s="389">
        <f>B254</f>
        <v>1162.6491721388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B68*1.2</f>
        <v>104.99998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60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1217.6391921388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84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36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11730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36</v>
      </c>
      <c r="B33" s="44">
        <f>B51</f>
        <v>10000</v>
      </c>
      <c r="C33" s="250"/>
      <c r="D33" s="250"/>
      <c r="E33" s="44">
        <f>K48</f>
        <v>299.539129582044</v>
      </c>
      <c r="F33" s="44"/>
      <c r="G33" s="44"/>
      <c r="H33" s="271"/>
      <c r="I33" s="240"/>
      <c r="J33" s="302" t="s">
        <v>355</v>
      </c>
      <c r="K33" s="306">
        <f>E21</f>
        <v>17583.33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299.539129582044</v>
      </c>
      <c r="B36" s="44" t="str">
        <f>IF(B26="YES",K42,"0.00")</f>
        <v>0.00</v>
      </c>
      <c r="C36" s="44"/>
      <c r="D36" s="44"/>
      <c r="E36" s="44">
        <f>K31</f>
        <v>11730</v>
      </c>
      <c r="F36" s="44"/>
      <c r="G36" s="44"/>
      <c r="H36" s="271"/>
      <c r="I36" s="240"/>
      <c r="J36" s="240" t="s">
        <v>50</v>
      </c>
      <c r="K36" s="240">
        <f>K29</f>
        <v>36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17583.33</v>
      </c>
      <c r="L39" s="240">
        <f>(L47*K46)+K44</f>
        <v>33791.4881892245</v>
      </c>
      <c r="N39" s="239">
        <f>K39-L39</f>
        <v>-16208.1581892245</v>
      </c>
      <c r="P39" s="273"/>
    </row>
    <row r="40" ht="19.5" spans="1:16">
      <c r="A40" s="102">
        <f>E36*A45/100</f>
        <v>11730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9775</v>
      </c>
      <c r="L40" s="240">
        <f>K39-L39</f>
        <v>-16208.1581892245</v>
      </c>
      <c r="N40" s="239">
        <f>N38-N39</f>
        <v>19119.8381892245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7882.31662791798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9701.01337208202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32.3864644516332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299.539129582044</v>
      </c>
      <c r="L47" s="240">
        <f>L49-K42</f>
        <v>800</v>
      </c>
      <c r="M47" s="239">
        <f>K47-L47</f>
        <v>-500.460870417956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299.539129582044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36</v>
      </c>
      <c r="B52" s="71">
        <f>K48</f>
        <v>299.539129582044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35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35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35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35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40526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40526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40526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40526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4452.15254185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0.01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0.01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0.01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174.999966666667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3039.45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405.26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299.539129582044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299.539129582044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299.539129582044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299.539129582044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20999.996</v>
      </c>
      <c r="C81" s="250"/>
      <c r="D81" s="250"/>
      <c r="E81" s="291"/>
      <c r="F81" s="264" t="s">
        <v>106</v>
      </c>
      <c r="G81" s="266">
        <f>G158</f>
        <v>20999.996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11730</v>
      </c>
      <c r="C82" s="250"/>
      <c r="D82" s="250"/>
      <c r="E82" s="291"/>
      <c r="F82" s="245" t="s">
        <v>107</v>
      </c>
      <c r="G82" s="180">
        <f>IF(A111="YES",A40,0)</f>
        <v>11730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11730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11730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35</v>
      </c>
      <c r="C85" s="250"/>
      <c r="D85" s="250"/>
      <c r="E85" s="291"/>
      <c r="F85" s="245" t="s">
        <v>110</v>
      </c>
      <c r="G85" s="180">
        <f>IF(G82=0,(B59+B58),(B59))</f>
        <v>35</v>
      </c>
      <c r="H85" s="180"/>
      <c r="J85" s="245" t="s">
        <v>110</v>
      </c>
      <c r="K85" s="180">
        <f>IF(K82=0,(K59+K58),(K59))</f>
        <v>36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35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35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8198.38965912774</v>
      </c>
      <c r="C86" s="250"/>
      <c r="D86" s="250"/>
      <c r="E86" s="291"/>
      <c r="F86" s="245" t="s">
        <v>111</v>
      </c>
      <c r="G86" s="180">
        <f>(G82/((1+G84)^(G85+1)))</f>
        <v>9513.956169897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7934.96785267316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7934.96785267316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29.4085800876469</v>
      </c>
      <c r="C87" s="250"/>
      <c r="D87" s="250"/>
      <c r="E87" s="291"/>
      <c r="F87" s="245" t="s">
        <v>112</v>
      </c>
      <c r="G87" s="180">
        <f>((1-(1/((1+G84)^G85)))/G84)</f>
        <v>31.5753854942677</v>
      </c>
      <c r="H87" s="180"/>
      <c r="J87" s="245" t="s">
        <v>112</v>
      </c>
      <c r="K87" s="180">
        <f>((1-(1/((1+K84)^K85)))/K84)</f>
        <v>25.4888424823874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28.9600651941078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28.9600651941078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12801.6063408723</v>
      </c>
      <c r="C88" s="250"/>
      <c r="D88" s="250"/>
      <c r="E88" s="291"/>
      <c r="F88" s="245" t="s">
        <v>113</v>
      </c>
      <c r="G88" s="180">
        <f>G81-G86</f>
        <v>11486.039830103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435.301748765817</v>
      </c>
      <c r="C89" s="250"/>
      <c r="D89" s="250"/>
      <c r="E89" s="291"/>
      <c r="F89" s="245" t="s">
        <v>114</v>
      </c>
      <c r="G89" s="180">
        <f>(G88/G87)</f>
        <v>363.765624720186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15235.5612068036</v>
      </c>
      <c r="C90" s="250"/>
      <c r="D90" s="250"/>
      <c r="E90" s="291"/>
      <c r="F90" s="245" t="s">
        <v>115</v>
      </c>
      <c r="G90" s="180">
        <f>((G89*(G85))+G77)</f>
        <v>12731.7968652065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15235.5612068036</v>
      </c>
      <c r="C92" s="250"/>
      <c r="D92" s="250"/>
      <c r="E92" s="291"/>
      <c r="F92" s="275" t="s">
        <v>117</v>
      </c>
      <c r="G92" s="281">
        <f>(G90+G91)</f>
        <v>12731.7968652065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IF(B26="YES",((E40/B85)*(1+A108)*1.2*(C45/100)),"0")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435.301748765817</v>
      </c>
      <c r="C95" s="250"/>
      <c r="D95" s="250"/>
      <c r="E95" s="291"/>
      <c r="F95" s="319" t="s">
        <v>119</v>
      </c>
      <c r="G95" s="320">
        <f>G92/(G85)</f>
        <v>363.765624720186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435.301748765817</v>
      </c>
      <c r="C96" s="250"/>
      <c r="D96" s="250"/>
      <c r="E96" s="291"/>
      <c r="F96" s="321" t="s">
        <v>120</v>
      </c>
      <c r="G96" s="322">
        <f>G94+G95</f>
        <v>363.765624720186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17583.33</v>
      </c>
      <c r="C121" s="336">
        <v>19583.33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21099.996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21099.996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21099.996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17583.33</v>
      </c>
      <c r="C125" s="80">
        <f t="shared" si="3"/>
        <v>19583.33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17583.33</v>
      </c>
      <c r="H135" s="354">
        <f>C125+E125+G125+H128</f>
        <v>19583.33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21099.996</v>
      </c>
      <c r="H147" s="359">
        <f>H141-((H144*1.2)+(H145*1.2)+(H146*1.2)+(H142*1.2))</f>
        <v>23499.996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-15833.33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20999.996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435.301748765817</v>
      </c>
      <c r="B167" s="126" t="str">
        <f>B94</f>
        <v>0</v>
      </c>
      <c r="C167" s="365"/>
      <c r="D167" s="365"/>
      <c r="E167" s="126">
        <f>B96</f>
        <v>435.301748765817</v>
      </c>
      <c r="F167" s="262"/>
      <c r="G167" s="262">
        <f>ROUND(G95,2)</f>
        <v>363.77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36</v>
      </c>
      <c r="B170" s="40">
        <f>K30</f>
        <v>10000</v>
      </c>
      <c r="C170" s="367"/>
      <c r="D170" s="262"/>
      <c r="E170" s="274">
        <f>IF(A111="YES",A40,0)</f>
        <v>11730</v>
      </c>
      <c r="F170" s="262"/>
      <c r="G170" s="262"/>
      <c r="H170" s="180"/>
      <c r="J170" s="270">
        <f>K29</f>
        <v>36</v>
      </c>
      <c r="K170" s="42">
        <f>K30</f>
        <v>10000</v>
      </c>
      <c r="L170" s="367"/>
      <c r="M170" s="262"/>
      <c r="N170" s="274">
        <f>IF(A111="YES",A40,0)</f>
        <v>11730</v>
      </c>
      <c r="O170" s="262"/>
      <c r="P170" s="262"/>
      <c r="Q170" s="180"/>
      <c r="S170" s="270">
        <f>K29</f>
        <v>36</v>
      </c>
      <c r="T170" s="42">
        <f>K30</f>
        <v>10000</v>
      </c>
      <c r="U170" s="367"/>
      <c r="V170" s="262"/>
      <c r="W170" s="274">
        <f>IF(A111="YES",A40,0)</f>
        <v>11730</v>
      </c>
      <c r="X170" s="262"/>
      <c r="Y170" s="262"/>
      <c r="Z170" s="180"/>
      <c r="AB170" s="270">
        <f>K29</f>
        <v>36</v>
      </c>
      <c r="AC170" s="42">
        <f>K30</f>
        <v>10000</v>
      </c>
      <c r="AD170" s="367"/>
      <c r="AE170" s="262"/>
      <c r="AF170" s="274">
        <f>IF(A111="YES",A40,0)</f>
        <v>11730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23499.996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20999.996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5965.56520680359</v>
      </c>
      <c r="B182" s="133" t="str">
        <f>B114</f>
        <v>239.99</v>
      </c>
      <c r="C182" s="133"/>
      <c r="D182" s="262"/>
      <c r="E182" s="133">
        <f>E179+A182+B182+A185</f>
        <v>27215.5512068036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A179+(B182)</f>
        <v>2239.99</v>
      </c>
      <c r="C185" s="133"/>
      <c r="D185" s="262"/>
      <c r="E185" s="133">
        <f>E170+A185</f>
        <v>11740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11750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11740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11740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IF(E105="YES",J18*0.000002,0)*100*1.2</f>
        <v>0</v>
      </c>
      <c r="B188" s="133">
        <f>(G158*B67)</f>
        <v>209.99996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B182/1.2-100</f>
        <v>99.9916666666667</v>
      </c>
      <c r="B191" s="133">
        <f>B188+E188+A191</f>
        <v>309.991626666667</v>
      </c>
      <c r="C191" s="250"/>
      <c r="D191" s="250"/>
      <c r="E191" s="133">
        <f>H148</f>
        <v>2000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36</v>
      </c>
      <c r="B197" s="71">
        <f>B96</f>
        <v>435.301748765817</v>
      </c>
      <c r="C197" s="71"/>
      <c r="D197" s="71"/>
      <c r="E197" s="262"/>
      <c r="F197" s="262"/>
      <c r="G197" s="262"/>
      <c r="H197" s="180"/>
      <c r="J197" s="289">
        <f>K29</f>
        <v>36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36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36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3461.954</v>
      </c>
      <c r="B201" s="272">
        <f>E179+A201+B182+A185</f>
        <v>24711.94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36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435.301748765817</v>
      </c>
      <c r="B212" s="126" t="str">
        <f>B167</f>
        <v>0</v>
      </c>
      <c r="C212" s="365"/>
      <c r="D212" s="365"/>
      <c r="E212" s="126">
        <f>E167</f>
        <v>435.301748765817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20999.996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5965.56520680359</v>
      </c>
      <c r="B224" s="133" t="str">
        <f>B182</f>
        <v>239.99</v>
      </c>
      <c r="C224" s="133"/>
      <c r="D224" s="291"/>
      <c r="E224" s="133">
        <f>E182</f>
        <v>27215.5512068036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2239.99</v>
      </c>
      <c r="C227" s="133"/>
      <c r="D227" s="291"/>
      <c r="E227" s="133">
        <f>B59</f>
        <v>35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435.301748765817</v>
      </c>
      <c r="B230" s="133" t="str">
        <f>B167</f>
        <v>0</v>
      </c>
      <c r="C230" s="272"/>
      <c r="D230" s="272"/>
      <c r="E230" s="133">
        <f>E167</f>
        <v>435.301748765817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11730</v>
      </c>
      <c r="B233" s="133">
        <f>E185</f>
        <v>11740</v>
      </c>
      <c r="C233" s="250"/>
      <c r="D233" s="250"/>
      <c r="E233" s="133">
        <f>A188</f>
        <v>0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B68</f>
        <v>174.999966666667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2274.99163333333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2513.6112068036</v>
      </c>
      <c r="C254" s="376"/>
      <c r="D254" s="377" t="s">
        <v>218</v>
      </c>
      <c r="E254" s="377"/>
      <c r="F254" s="378">
        <f>F261+F267+F269+B270+B271</f>
        <v>209.99996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2403.60291347027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2513.6112068036</v>
      </c>
      <c r="G260" s="262"/>
      <c r="H260" s="180"/>
    </row>
    <row r="261" ht="19.5" spans="1:8">
      <c r="A261" s="245" t="s">
        <v>223</v>
      </c>
      <c r="B261" s="387">
        <f>B67</f>
        <v>0.01</v>
      </c>
      <c r="C261" s="368"/>
      <c r="D261" s="105" t="s">
        <v>223</v>
      </c>
      <c r="E261" s="105"/>
      <c r="F261" s="144">
        <f>B68*1.2</f>
        <v>209.99996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2403.60291347027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tabSelected="1" zoomScale="85" zoomScaleNormal="85" topLeftCell="A184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7.2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40526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17583.33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18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12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17280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300</v>
      </c>
      <c r="P32" s="273"/>
    </row>
    <row r="33" ht="36.75" spans="1:16">
      <c r="A33" s="270">
        <f>A52</f>
        <v>12</v>
      </c>
      <c r="B33" s="44">
        <f>B51</f>
        <v>10000</v>
      </c>
      <c r="C33" s="250"/>
      <c r="D33" s="250"/>
      <c r="E33" s="44">
        <f>K48</f>
        <v>391.182122867598</v>
      </c>
      <c r="F33" s="44"/>
      <c r="G33" s="44"/>
      <c r="H33" s="271"/>
      <c r="I33" s="240"/>
      <c r="J33" s="302" t="s">
        <v>355</v>
      </c>
      <c r="K33" s="306">
        <f>E21</f>
        <v>17583.33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366.182122867598</v>
      </c>
      <c r="B36" s="44">
        <f>IF(B26="YES",K42,"0.00")</f>
        <v>25</v>
      </c>
      <c r="C36" s="44"/>
      <c r="D36" s="44"/>
      <c r="E36" s="44">
        <f>K31</f>
        <v>17280</v>
      </c>
      <c r="F36" s="44"/>
      <c r="G36" s="44"/>
      <c r="H36" s="271"/>
      <c r="I36" s="240"/>
      <c r="J36" s="240" t="s">
        <v>50</v>
      </c>
      <c r="K36" s="240">
        <f>K29</f>
        <v>12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17583.33</v>
      </c>
      <c r="L39" s="240">
        <f>(L47*K46)+K44</f>
        <v>22308.087321496</v>
      </c>
      <c r="N39" s="239">
        <f>K39-L39</f>
        <v>-4724.75732149599</v>
      </c>
      <c r="P39" s="273"/>
    </row>
    <row r="40" ht="19.5" spans="1:16">
      <c r="A40" s="102">
        <f>E36*A45/100</f>
        <v>17280</v>
      </c>
      <c r="B40" s="102">
        <f>IF(B26="YES",K42,"0.00")</f>
        <v>25</v>
      </c>
      <c r="C40" s="102"/>
      <c r="D40" s="102"/>
      <c r="E40" s="274">
        <f>K32</f>
        <v>300</v>
      </c>
      <c r="F40" s="272"/>
      <c r="G40" s="272"/>
      <c r="H40" s="271"/>
      <c r="J40" s="240" t="s">
        <v>107</v>
      </c>
      <c r="K40" s="240">
        <f>(A40)/1.2</f>
        <v>14400</v>
      </c>
      <c r="L40" s="240">
        <f>K39-L39</f>
        <v>-4724.75732149599</v>
      </c>
      <c r="N40" s="239">
        <f>N38-N39</f>
        <v>7636.43732149599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25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13351.319212812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4232.01078718802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11.5571201402374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366.182122867598</v>
      </c>
      <c r="L47" s="240">
        <f>L49-K42</f>
        <v>775</v>
      </c>
      <c r="M47" s="239">
        <f>K47-L47</f>
        <v>-408.817877132402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391.182122867598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12</v>
      </c>
      <c r="B52" s="71">
        <f>K48</f>
        <v>391.182122867598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11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11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11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11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40526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40526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40526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40526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0.0105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0.0105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0.0105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1816.0436977276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0.005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0.005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0.005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87.4999833333334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2026.3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202.63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366.182122867598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366.182122867598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391.182122867598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391.182122867598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20999.996</v>
      </c>
      <c r="C81" s="250"/>
      <c r="D81" s="250"/>
      <c r="E81" s="291"/>
      <c r="F81" s="264" t="s">
        <v>106</v>
      </c>
      <c r="G81" s="266">
        <f>G158</f>
        <v>20999.996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17280</v>
      </c>
      <c r="C82" s="250"/>
      <c r="D82" s="250"/>
      <c r="E82" s="291"/>
      <c r="F82" s="245" t="s">
        <v>107</v>
      </c>
      <c r="G82" s="180">
        <f>IF(A111="YES",A40,0)</f>
        <v>17280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17280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17280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0.1305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0.1415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0.1415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0.010875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0.0117916666666667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0.0117916666666667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  <c r="J85" s="245" t="s">
        <v>110</v>
      </c>
      <c r="K85" s="180">
        <f>IF(K82=0,(K59+K58),(K59))</f>
        <v>12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11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11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15176.5922023999</v>
      </c>
      <c r="C86" s="250"/>
      <c r="D86" s="250"/>
      <c r="E86" s="291"/>
      <c r="F86" s="245" t="s">
        <v>111</v>
      </c>
      <c r="G86" s="180">
        <f>(G82/((1+G84)^(G85+1)))</f>
        <v>16115.0422898641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15012.4149638869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15012.4149638869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10.3148273595096</v>
      </c>
      <c r="C87" s="250"/>
      <c r="D87" s="250"/>
      <c r="E87" s="291"/>
      <c r="F87" s="245" t="s">
        <v>112</v>
      </c>
      <c r="G87" s="180">
        <f>((1-(1/((1+G84)^G85)))/G84)</f>
        <v>10.6245366743888</v>
      </c>
      <c r="H87" s="180"/>
      <c r="J87" s="245" t="s">
        <v>112</v>
      </c>
      <c r="K87" s="180">
        <f>((1-(1/((1+K84)^K85)))/K84)</f>
        <v>10.5753412209172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10.2599315027351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10.2599315027351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5823.40379760014</v>
      </c>
      <c r="C88" s="250"/>
      <c r="D88" s="250"/>
      <c r="E88" s="291"/>
      <c r="F88" s="245" t="s">
        <v>113</v>
      </c>
      <c r="G88" s="180">
        <f>G81-G86</f>
        <v>4884.95371013594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564.566288376252</v>
      </c>
      <c r="C89" s="250"/>
      <c r="D89" s="250"/>
      <c r="E89" s="291"/>
      <c r="F89" s="245" t="s">
        <v>114</v>
      </c>
      <c r="G89" s="180">
        <f>(G88/G87)</f>
        <v>459.780398886612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6210.22917213878</v>
      </c>
      <c r="C90" s="250"/>
      <c r="D90" s="250"/>
      <c r="E90" s="291"/>
      <c r="F90" s="245" t="s">
        <v>115</v>
      </c>
      <c r="G90" s="180">
        <f>((G89*(G85))+G77)</f>
        <v>5057.58438775273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6210.22917213878</v>
      </c>
      <c r="C92" s="250"/>
      <c r="D92" s="250"/>
      <c r="E92" s="291"/>
      <c r="F92" s="275" t="s">
        <v>117</v>
      </c>
      <c r="G92" s="281">
        <f>(G90+G91)</f>
        <v>5057.58438775273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>
        <f>IF(B26="YES",((E40/B85)*(1+A108)*(C45/100)),"0")</f>
        <v>35.4545454545455</v>
      </c>
      <c r="C94" s="250"/>
      <c r="D94" s="250"/>
      <c r="E94" s="291"/>
      <c r="F94" s="314" t="s">
        <v>118</v>
      </c>
      <c r="G94" s="318">
        <f>IF(B26="YES",((E40/B85)*(1+A108)*(C45/100)),"0")</f>
        <v>35.4545454545455</v>
      </c>
      <c r="H94" s="180"/>
      <c r="J94" s="314" t="s">
        <v>118</v>
      </c>
      <c r="K94" s="315">
        <f>((E40/K85)*(1+J108))*1.2</f>
        <v>39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32.7272727272727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39.2727272727273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564.566288376252</v>
      </c>
      <c r="C95" s="250"/>
      <c r="D95" s="250"/>
      <c r="E95" s="291"/>
      <c r="F95" s="319" t="s">
        <v>119</v>
      </c>
      <c r="G95" s="320">
        <f>G92/(G85)</f>
        <v>459.780398886612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600.020833830798</v>
      </c>
      <c r="C96" s="250"/>
      <c r="D96" s="250"/>
      <c r="E96" s="291"/>
      <c r="F96" s="321" t="s">
        <v>120</v>
      </c>
      <c r="G96" s="322">
        <f>G94+G95</f>
        <v>495.234944341158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18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0.3</v>
      </c>
      <c r="B108" s="102">
        <v>0</v>
      </c>
      <c r="C108" s="102"/>
      <c r="D108" s="102">
        <v>0</v>
      </c>
      <c r="E108" s="327">
        <f>B83</f>
        <v>0.1305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0.1415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0.1415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17583.33</v>
      </c>
      <c r="C121" s="336">
        <v>19583.33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21099.996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21099.996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21099.996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17583.33</v>
      </c>
      <c r="C125" s="80">
        <f t="shared" si="3"/>
        <v>19583.33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17583.33</v>
      </c>
      <c r="H135" s="354">
        <f>C125+E125+G125+H128</f>
        <v>19583.33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3516.666</v>
      </c>
      <c r="H137" s="180">
        <f>(H135+H136)*20%</f>
        <v>3916.666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21099.996</v>
      </c>
      <c r="H141" s="356">
        <f>(H135+H136+H139+H140+H137)-H138</f>
        <v>23499.996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21099.996</v>
      </c>
      <c r="H147" s="359">
        <f>H141-((H144*1.2)+(H145*1.2)+(H146*1.2)+(H142*1.2))</f>
        <v>23499.996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2000</v>
      </c>
      <c r="I148" s="239">
        <f>(H148-G81)/1.2</f>
        <v>-15833.33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20999.996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564.566288376252</v>
      </c>
      <c r="B167" s="126">
        <f>B94</f>
        <v>35.4545454545455</v>
      </c>
      <c r="C167" s="365"/>
      <c r="D167" s="365"/>
      <c r="E167" s="126">
        <f>B96</f>
        <v>600.020833830798</v>
      </c>
      <c r="F167" s="262"/>
      <c r="G167" s="262">
        <f>ROUND(G95,2)</f>
        <v>459.78</v>
      </c>
      <c r="H167" s="180"/>
      <c r="J167" s="366" t="e">
        <f>K95</f>
        <v>#VALUE!</v>
      </c>
      <c r="K167" s="126">
        <f>K94</f>
        <v>39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32.7272727272727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39.2727272727273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12</v>
      </c>
      <c r="B170" s="40">
        <f>K30</f>
        <v>10000</v>
      </c>
      <c r="C170" s="367"/>
      <c r="D170" s="262"/>
      <c r="E170" s="274">
        <f>IF(A111="YES",A40,0)</f>
        <v>17280</v>
      </c>
      <c r="F170" s="262"/>
      <c r="G170" s="262"/>
      <c r="H170" s="180"/>
      <c r="J170" s="270">
        <f>K29</f>
        <v>12</v>
      </c>
      <c r="K170" s="42">
        <f>K30</f>
        <v>10000</v>
      </c>
      <c r="L170" s="367"/>
      <c r="M170" s="262"/>
      <c r="N170" s="274">
        <f>IF(A111="YES",A40,0)</f>
        <v>17280</v>
      </c>
      <c r="O170" s="262"/>
      <c r="P170" s="262"/>
      <c r="Q170" s="180"/>
      <c r="S170" s="270">
        <f>K29</f>
        <v>12</v>
      </c>
      <c r="T170" s="42">
        <f>K30</f>
        <v>10000</v>
      </c>
      <c r="U170" s="367"/>
      <c r="V170" s="262"/>
      <c r="W170" s="274">
        <f>IF(A111="YES",A40,0)</f>
        <v>17280</v>
      </c>
      <c r="X170" s="262"/>
      <c r="Y170" s="262"/>
      <c r="Z170" s="180"/>
      <c r="AB170" s="270">
        <f>K29</f>
        <v>12</v>
      </c>
      <c r="AC170" s="42">
        <f>K30</f>
        <v>10000</v>
      </c>
      <c r="AD170" s="367"/>
      <c r="AE170" s="262"/>
      <c r="AF170" s="274">
        <f>IF(A111="YES",A40,0)</f>
        <v>17280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19583.33</v>
      </c>
      <c r="B173" s="133">
        <f>H137</f>
        <v>3916.666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23499.996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20999.996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2490.23317213877</v>
      </c>
      <c r="B182" s="133" t="str">
        <f>B114</f>
        <v>199.99</v>
      </c>
      <c r="C182" s="133"/>
      <c r="D182" s="262"/>
      <c r="E182" s="133">
        <f>E179+A182+(B182*1.2)+A185</f>
        <v>23740.2171721388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A179+(B182*1.2)</f>
        <v>2239.988</v>
      </c>
      <c r="C185" s="133"/>
      <c r="D185" s="262"/>
      <c r="E185" s="133">
        <f>E170+A185</f>
        <v>17290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17300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17290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17290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</f>
        <v>8.1052</v>
      </c>
      <c r="B188" s="133">
        <f>(G158*B67)/1.2</f>
        <v>87.4999833333334</v>
      </c>
      <c r="C188" s="250"/>
      <c r="D188" s="250"/>
      <c r="E188" s="133">
        <f>(E40*A108)*0.1*(C45/100)</f>
        <v>9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9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6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6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196.489983333333</v>
      </c>
      <c r="C191" s="250"/>
      <c r="D191" s="250"/>
      <c r="E191" s="133">
        <f>H148</f>
        <v>2000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12</v>
      </c>
      <c r="B197" s="71">
        <f>B96</f>
        <v>600.020833830798</v>
      </c>
      <c r="C197" s="71"/>
      <c r="D197" s="71"/>
      <c r="E197" s="262"/>
      <c r="F197" s="262"/>
      <c r="G197" s="262"/>
      <c r="H197" s="180"/>
      <c r="J197" s="289">
        <f>K29</f>
        <v>12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12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12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1337.584</v>
      </c>
      <c r="B201" s="272">
        <f>E179+A201+(B182*1.2)+A185</f>
        <v>22587.568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12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564.566288376252</v>
      </c>
      <c r="B212" s="126">
        <f>B167</f>
        <v>35.4545454545455</v>
      </c>
      <c r="C212" s="365"/>
      <c r="D212" s="365"/>
      <c r="E212" s="126">
        <f>E167</f>
        <v>600.020833830798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19583.33</v>
      </c>
      <c r="B215" s="133">
        <f>B173</f>
        <v>3916.666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23499.996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20999.996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2490.23317213877</v>
      </c>
      <c r="B224" s="133" t="str">
        <f>B182</f>
        <v>199.99</v>
      </c>
      <c r="C224" s="133"/>
      <c r="D224" s="291"/>
      <c r="E224" s="133">
        <f>E182</f>
        <v>23740.2171721388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564.566288376252</v>
      </c>
      <c r="B230" s="133">
        <f>B167</f>
        <v>35.4545454545455</v>
      </c>
      <c r="C230" s="272"/>
      <c r="D230" s="272"/>
      <c r="E230" s="133">
        <f>E167</f>
        <v>600.020833830798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17280</v>
      </c>
      <c r="B233" s="133">
        <f>E185</f>
        <v>17290</v>
      </c>
      <c r="C233" s="250"/>
      <c r="D233" s="250"/>
      <c r="E233" s="133">
        <f>A188</f>
        <v>8.1052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2000</v>
      </c>
      <c r="B240" s="133">
        <f>B68</f>
        <v>87.4999833333334</v>
      </c>
      <c r="C240" s="250"/>
      <c r="D240" s="250"/>
      <c r="E240" s="133">
        <f>E188</f>
        <v>9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2196.48998333333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0.1305</v>
      </c>
      <c r="G253" s="262"/>
      <c r="H253" s="180"/>
    </row>
    <row r="254" spans="1:8">
      <c r="A254" s="370" t="s">
        <v>217</v>
      </c>
      <c r="B254" s="393">
        <f>(E182-B182)-(B201-B182-A185)</f>
        <v>1162.6491721388</v>
      </c>
      <c r="C254" s="376"/>
      <c r="D254" s="377" t="s">
        <v>218</v>
      </c>
      <c r="E254" s="377"/>
      <c r="F254" s="378">
        <f>F261+F267+F269+B270+B271</f>
        <v>104.99998</v>
      </c>
      <c r="G254" s="262"/>
      <c r="H254" s="180"/>
    </row>
    <row r="255" spans="1:8">
      <c r="A255" s="370" t="s">
        <v>219</v>
      </c>
      <c r="B255" s="378">
        <f>F262+B263</f>
        <v>189.99</v>
      </c>
      <c r="C255" s="376"/>
      <c r="D255" s="377" t="s">
        <v>220</v>
      </c>
      <c r="E255" s="377"/>
      <c r="F255" s="378">
        <f>(B254-F254)+B255</f>
        <v>1247.6391921388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0.1305</v>
      </c>
      <c r="C260" s="388"/>
      <c r="D260" s="105" t="s">
        <v>217</v>
      </c>
      <c r="E260" s="105"/>
      <c r="F260" s="389">
        <f>B254</f>
        <v>1162.6491721388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B68*1.2</f>
        <v>104.99998</v>
      </c>
      <c r="G261" s="262"/>
      <c r="H261" s="180"/>
    </row>
    <row r="262" ht="19.5" spans="1:8">
      <c r="A262" s="245" t="s">
        <v>224</v>
      </c>
      <c r="B262" s="383">
        <f>A108</f>
        <v>0.3</v>
      </c>
      <c r="C262" s="368"/>
      <c r="D262" s="105" t="s">
        <v>224</v>
      </c>
      <c r="E262" s="105"/>
      <c r="F262" s="389">
        <f>E240*10</f>
        <v>90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1247.6391921388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7" workbookViewId="0">
      <selection activeCell="H31" sqref="H31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35</v>
      </c>
      <c r="I29" s="54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35</v>
      </c>
      <c r="B33" s="40">
        <v>10000</v>
      </c>
      <c r="C33" s="41"/>
      <c r="D33" s="216">
        <f>H48</f>
        <v>552.861519485774</v>
      </c>
      <c r="E33" s="14"/>
      <c r="F33" s="2"/>
      <c r="G33" s="29" t="s">
        <v>355</v>
      </c>
      <c r="H33" s="217">
        <f>E21-E11</f>
        <v>17583.33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35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552.861519485774</v>
      </c>
      <c r="B36" s="133">
        <f>IF(B26="YES",H42,"")</f>
        <v>0</v>
      </c>
      <c r="C36" s="31"/>
      <c r="D36" s="53">
        <f>H31</f>
        <v>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17583.33</v>
      </c>
      <c r="I39" s="50">
        <f>(I48*H46)+H44</f>
        <v>44525.9095313712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0</v>
      </c>
      <c r="B40" s="102">
        <f>IF(B26="YES",H42,"0")</f>
        <v>0</v>
      </c>
      <c r="C40" s="102"/>
      <c r="D40" s="53">
        <f>I32</f>
        <v>0</v>
      </c>
      <c r="E40" s="14"/>
      <c r="F40" s="2"/>
      <c r="G40" s="2" t="s">
        <v>107</v>
      </c>
      <c r="H40" s="50">
        <f>A40/1.2</f>
        <v>0</v>
      </c>
      <c r="I40" s="50">
        <f>H39-I39</f>
        <v>-26942.5795313712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0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100</v>
      </c>
      <c r="B45" s="13"/>
      <c r="C45" s="220">
        <v>100</v>
      </c>
      <c r="D45" s="220"/>
      <c r="E45" s="14"/>
      <c r="F45" s="2"/>
      <c r="G45" s="2" t="s">
        <v>373</v>
      </c>
      <c r="H45" s="50">
        <f>(H39-H44)</f>
        <v>17583.33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31.8042210938366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552.861519485774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552.861519485774</v>
      </c>
      <c r="I48" s="50">
        <f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35000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35</v>
      </c>
      <c r="B52" s="71">
        <f>H48</f>
        <v>552.861519485774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34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34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34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21099.996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40526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0.103541666666667</v>
      </c>
      <c r="C63" s="13"/>
      <c r="D63" s="13"/>
      <c r="E63" s="14"/>
      <c r="F63" s="2"/>
      <c r="G63" s="6" t="s">
        <v>278</v>
      </c>
      <c r="H63" s="10">
        <f>H62+(H62*0.25*(H29/12-1))</f>
        <v>0.103541666666667</v>
      </c>
      <c r="I63" s="13"/>
      <c r="J63" s="13"/>
      <c r="K63" s="14"/>
      <c r="L63" s="2"/>
      <c r="M63" s="6" t="s">
        <v>278</v>
      </c>
      <c r="N63" s="10">
        <f>N62+(N62*0.25*(H29/12-1))</f>
        <v>0.103541666666667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C64</f>
        <v>10000</v>
      </c>
      <c r="C64" s="222">
        <v>10000</v>
      </c>
      <c r="D64" s="12">
        <f>B64</f>
        <v>10000</v>
      </c>
      <c r="E64" s="223">
        <f>D64/(B58+B57)</f>
        <v>285.714285714286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0.0195833333333333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0.0195833333333333</v>
      </c>
      <c r="I66" s="13"/>
      <c r="J66" s="13"/>
      <c r="K66" s="14"/>
      <c r="L66" s="2"/>
      <c r="M66" s="6" t="s">
        <v>93</v>
      </c>
      <c r="N66" s="10">
        <f>N65+(N65*0.5*(H29/12-1))</f>
        <v>0.0195833333333333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413.208255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175</v>
      </c>
      <c r="C73" s="13"/>
      <c r="D73" s="228">
        <f>B73+B71</f>
        <v>375</v>
      </c>
      <c r="E73" s="14" t="s">
        <v>229</v>
      </c>
      <c r="F73" s="2"/>
      <c r="G73" s="72" t="s">
        <v>100</v>
      </c>
      <c r="H73" s="80">
        <f>H72*H29</f>
        <v>157.5</v>
      </c>
      <c r="I73" s="13"/>
      <c r="J73" s="12">
        <f>H73+H71</f>
        <v>317.5</v>
      </c>
      <c r="K73" s="14"/>
      <c r="L73" s="2"/>
      <c r="M73" s="72" t="s">
        <v>100</v>
      </c>
      <c r="N73" s="80">
        <f>N72*H29</f>
        <v>157.5</v>
      </c>
      <c r="O73" s="13"/>
      <c r="P73" s="12">
        <f>N73+N71</f>
        <v>317.5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330</v>
      </c>
      <c r="I76" s="13"/>
      <c r="J76" s="12">
        <f>H76</f>
        <v>330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444.444444444444</v>
      </c>
      <c r="C77" s="229"/>
      <c r="D77" s="12">
        <f>B77</f>
        <v>444.444444444444</v>
      </c>
      <c r="E77" s="223">
        <f>D77/(B58+B57)</f>
        <v>12.6984126984127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229"/>
      <c r="D78" s="12">
        <f>B78</f>
        <v>222.222222222222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22.1428571428571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11441.6666666667</v>
      </c>
      <c r="C81" s="229"/>
      <c r="D81" s="230"/>
      <c r="E81" s="223"/>
      <c r="F81" s="2"/>
      <c r="G81" s="91" t="s">
        <v>103</v>
      </c>
      <c r="H81" s="92">
        <f>SUM(J64:J80)</f>
        <v>1047.5</v>
      </c>
      <c r="I81" s="13"/>
      <c r="J81" s="13"/>
      <c r="K81" s="14"/>
      <c r="L81" s="2"/>
      <c r="M81" s="91" t="s">
        <v>103</v>
      </c>
      <c r="N81" s="92">
        <f>SUM(P64:P80)</f>
        <v>717.5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326.904761904762</v>
      </c>
      <c r="C82" s="229"/>
      <c r="D82" s="13"/>
      <c r="E82" s="223"/>
      <c r="F82" s="2"/>
      <c r="G82" s="6" t="s">
        <v>104</v>
      </c>
      <c r="H82" s="11">
        <f>H81/H29</f>
        <v>29.9285714285714</v>
      </c>
      <c r="I82" s="13"/>
      <c r="J82" s="13"/>
      <c r="K82" s="14"/>
      <c r="L82" s="2"/>
      <c r="M82" s="6" t="s">
        <v>104</v>
      </c>
      <c r="N82" s="11">
        <f>N81/H29</f>
        <v>20.5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552.861519485774</v>
      </c>
      <c r="C83" s="229"/>
      <c r="D83" s="13"/>
      <c r="E83" s="223">
        <f>B83+E80+E77+E64</f>
        <v>873.41707504133</v>
      </c>
      <c r="F83" s="2"/>
      <c r="G83" s="93" t="s">
        <v>105</v>
      </c>
      <c r="H83" s="94">
        <f>H47</f>
        <v>552.861519485774</v>
      </c>
      <c r="I83" s="13"/>
      <c r="J83" s="13"/>
      <c r="K83" s="14"/>
      <c r="L83" s="2"/>
      <c r="M83" s="93" t="s">
        <v>105</v>
      </c>
      <c r="N83" s="94">
        <f>H47</f>
        <v>552.861519485774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30791.8198486688</v>
      </c>
      <c r="C85" s="229"/>
      <c r="D85" s="229"/>
      <c r="E85" s="223">
        <f>B85/(B58+B57)</f>
        <v>879.766281390536</v>
      </c>
      <c r="F85" s="2"/>
      <c r="G85" s="75" t="s">
        <v>115</v>
      </c>
      <c r="H85" s="95">
        <f>((H83*H29)+H81)*1.2</f>
        <v>24477.1838184025</v>
      </c>
      <c r="I85" s="13"/>
      <c r="J85" s="13"/>
      <c r="K85" s="14"/>
      <c r="L85" s="2"/>
      <c r="M85" s="75" t="s">
        <v>115</v>
      </c>
      <c r="N85" s="95">
        <f>((N83*H29)+N81)</f>
        <v>20067.6531820021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260.842362574443</v>
      </c>
      <c r="C86" s="229" t="s">
        <v>232</v>
      </c>
      <c r="D86" s="13"/>
      <c r="E86" s="223">
        <f>B86/(B58+B57)</f>
        <v>7.45263893069837</v>
      </c>
      <c r="F86" s="2"/>
      <c r="G86" s="6" t="s">
        <v>116</v>
      </c>
      <c r="H86" s="11">
        <f>((((H83*H29)+H81))/(1-H70))*H70</f>
        <v>172.791737322325</v>
      </c>
      <c r="I86" s="13"/>
      <c r="J86" s="13"/>
      <c r="K86" s="14"/>
      <c r="L86" s="2"/>
      <c r="M86" s="6" t="s">
        <v>116</v>
      </c>
      <c r="N86" s="11">
        <f>(N85/(1-N70))*N70</f>
        <v>169.996255273112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31052.6622112432</v>
      </c>
      <c r="C87" s="229"/>
      <c r="D87" s="231"/>
      <c r="E87" s="223">
        <f>E86+E85</f>
        <v>887.218920321235</v>
      </c>
      <c r="F87" s="2"/>
      <c r="G87" s="72" t="s">
        <v>117</v>
      </c>
      <c r="H87" s="80">
        <f>IF(H110="YES",((H85+H86)-K114),(H85+H86))</f>
        <v>24649.9755557248</v>
      </c>
      <c r="I87" s="13"/>
      <c r="J87" s="13"/>
      <c r="K87" s="14"/>
      <c r="L87" s="2"/>
      <c r="M87" s="72" t="s">
        <v>117</v>
      </c>
      <c r="N87" s="80">
        <f>IF(N110="YES",((N85+N86)-Q114),(N85+N86))</f>
        <v>20237.6494372752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</f>
        <v>0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0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0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887.218920321235</v>
      </c>
      <c r="C90" s="229"/>
      <c r="D90" s="13"/>
      <c r="E90" s="232"/>
      <c r="F90" s="2"/>
      <c r="G90" s="97" t="s">
        <v>119</v>
      </c>
      <c r="H90" s="98">
        <f>IF(H99=Y98,(H87-J105)/(H58),H87/(H57+H58))</f>
        <v>616.249388893121</v>
      </c>
      <c r="I90" s="13"/>
      <c r="J90" s="13"/>
      <c r="K90" s="14"/>
      <c r="L90" s="2"/>
      <c r="M90" s="97" t="s">
        <v>119</v>
      </c>
      <c r="N90" s="98">
        <f>IF(N99=Y98,(N87-P105)/(N58),N87/(N57+N58))</f>
        <v>505.94123593188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887.218920321235</v>
      </c>
      <c r="C91" s="229"/>
      <c r="D91" s="233"/>
      <c r="E91" s="194"/>
      <c r="F91" s="2"/>
      <c r="G91" s="99" t="s">
        <v>120</v>
      </c>
      <c r="H91" s="100">
        <f>IF(G105="YES",H90+H89,H90)</f>
        <v>616.249388893121</v>
      </c>
      <c r="I91" s="13"/>
      <c r="J91" s="13"/>
      <c r="K91" s="14"/>
      <c r="L91" s="2"/>
      <c r="M91" s="99" t="s">
        <v>120</v>
      </c>
      <c r="N91" s="100">
        <f>IF(M105="YES",N90+N89,N90)</f>
        <v>505.94123593188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199.99</v>
      </c>
      <c r="B102" s="102">
        <v>400</v>
      </c>
      <c r="C102" s="102"/>
      <c r="D102" s="102">
        <v>200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0.2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(E118*1.2)+E117-E114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35</v>
      </c>
      <c r="C125" s="118"/>
      <c r="D125" s="117">
        <f>B160</f>
        <v>35000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616.249388893121</v>
      </c>
      <c r="H127" s="126">
        <f>IF(G105="YES",H89*H57,0)</f>
        <v>0</v>
      </c>
      <c r="I127" s="126"/>
      <c r="J127" s="167">
        <f>H91</f>
        <v>616.249388893121</v>
      </c>
      <c r="K127" s="14"/>
      <c r="L127" s="2"/>
      <c r="M127" s="125">
        <f>N90</f>
        <v>505.94123593188</v>
      </c>
      <c r="N127" s="126">
        <f>IF(M105="YES",N89*N57,0)</f>
        <v>0</v>
      </c>
      <c r="O127" s="126"/>
      <c r="P127" s="126">
        <f>N91</f>
        <v>505.94123593188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887.218920321235</v>
      </c>
      <c r="B128" s="113">
        <f>IF(A105="YES",B89,0)</f>
        <v>0</v>
      </c>
      <c r="C128" s="118"/>
      <c r="D128" s="113">
        <f>B91</f>
        <v>887.218920321235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35</v>
      </c>
      <c r="H130" s="40">
        <f>B151</f>
        <v>0</v>
      </c>
      <c r="I130" s="41"/>
      <c r="J130" s="40">
        <f>B58</f>
        <v>34</v>
      </c>
      <c r="K130" s="14"/>
      <c r="L130" s="2"/>
      <c r="M130" s="39">
        <f>M155</f>
        <v>35</v>
      </c>
      <c r="N130" s="40">
        <f>B151</f>
        <v>0</v>
      </c>
      <c r="O130" s="41"/>
      <c r="P130" s="40">
        <f>B58</f>
        <v>34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887.218920321235</v>
      </c>
      <c r="C131" s="109"/>
      <c r="D131" s="127">
        <f>IF(A105="YES",B89*B57,0)</f>
        <v>0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3697.49633335873</v>
      </c>
      <c r="H133" s="133">
        <f>IF(G105="YES",H89*H57,0)</f>
        <v>0</v>
      </c>
      <c r="I133" s="31"/>
      <c r="J133" s="53">
        <f>H91*H57</f>
        <v>3697.49633335873</v>
      </c>
      <c r="K133" s="14"/>
      <c r="L133" s="2"/>
      <c r="M133" s="132">
        <f>N90*N57</f>
        <v>3035.64741559128</v>
      </c>
      <c r="N133" s="133">
        <f>IF(M105="YES",N89*N57,0)</f>
        <v>0</v>
      </c>
      <c r="O133" s="31"/>
      <c r="P133" s="53">
        <f>N91*N57</f>
        <v>3035.64741559128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887.218920321235</v>
      </c>
      <c r="B134" s="127">
        <f>E114</f>
        <v>4000</v>
      </c>
      <c r="C134" s="109"/>
      <c r="D134" s="135">
        <f>B58</f>
        <v>34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887.218920321235</v>
      </c>
      <c r="B137" s="127">
        <f>IF(A105="YES",B89,0)</f>
        <v>0</v>
      </c>
      <c r="C137" s="109"/>
      <c r="D137" s="127">
        <f>B91</f>
        <v>887.218920321235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29.17872</v>
      </c>
      <c r="B140" s="143">
        <f>IF(A105="YES",B61*0.000002,0)*1.2*100</f>
        <v>9.72624</v>
      </c>
      <c r="C140" s="109"/>
      <c r="D140" s="143">
        <f>A140+B140</f>
        <v>38.90496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0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0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413.208255</v>
      </c>
      <c r="B148" s="133">
        <f>B102</f>
        <v>400</v>
      </c>
      <c r="C148" s="127"/>
      <c r="D148" s="127">
        <f>IF(A105="YES",(B40*B105)*B125,0)*0.1</f>
        <v>0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913.198255</v>
      </c>
      <c r="E151" s="141"/>
      <c r="F151" s="2"/>
      <c r="G151" s="67"/>
      <c r="H151" s="69">
        <f>B51</f>
        <v>35000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35</v>
      </c>
      <c r="H152" s="71">
        <f>H91</f>
        <v>616.249388893121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35000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35</v>
      </c>
      <c r="N155" s="71">
        <f>N91</f>
        <v>505.94123593188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35000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35</v>
      </c>
      <c r="B161" s="71">
        <f>B91</f>
        <v>887.218920321235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35</v>
      </c>
      <c r="C174" s="158"/>
      <c r="D174" s="117">
        <f>D125</f>
        <v>35000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887.218920321235</v>
      </c>
      <c r="B177" s="156">
        <f>IF(A105="YES",B89,0)</f>
        <v>0</v>
      </c>
      <c r="C177" s="158"/>
      <c r="D177" s="156">
        <f>B91</f>
        <v>887.218920321235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887.218920321235</v>
      </c>
      <c r="C180" s="154"/>
      <c r="D180" s="133">
        <f>IF(A105="YES",B89*B57,0)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887.218920321235</v>
      </c>
      <c r="B183" s="133">
        <f>E114</f>
        <v>4000</v>
      </c>
      <c r="C183" s="154"/>
      <c r="D183" s="162">
        <f>B58</f>
        <v>34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887.218920321235</v>
      </c>
      <c r="B186" s="133">
        <f>IF(A105="YES",B89,0)</f>
        <v>0</v>
      </c>
      <c r="C186" s="154"/>
      <c r="D186" s="133">
        <f>B91</f>
        <v>887.218920321235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29.17872</v>
      </c>
      <c r="B189" s="166">
        <f>B140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413.208255</v>
      </c>
      <c r="B197" s="133">
        <f>B102</f>
        <v>400</v>
      </c>
      <c r="C197" s="133"/>
      <c r="D197" s="133">
        <f>IF(A105="YES",(B40*B105)*B125,0)*0.1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913.198255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10000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413.208255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9926.781745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10000</v>
      </c>
      <c r="C217" s="177" t="s">
        <v>223</v>
      </c>
      <c r="D217" s="109"/>
      <c r="E217" s="178">
        <f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413.208255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200</v>
      </c>
      <c r="C223" s="130" t="s">
        <v>220</v>
      </c>
      <c r="D223" s="109"/>
      <c r="E223" s="180">
        <f>(B217-B211+D211)</f>
        <v>9926.781745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260.842362574443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workbookViewId="0">
      <selection activeCell="H31" sqref="H31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17583.33</v>
      </c>
      <c r="C2" s="416" t="s">
        <v>2</v>
      </c>
      <c r="D2" s="417">
        <f>C9</f>
        <v>3516.666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21099.996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17583.33</v>
      </c>
      <c r="C9" s="82">
        <f>B9*0.2</f>
        <v>3516.666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17583.33</v>
      </c>
      <c r="C15" s="82">
        <f>SUM(C9:C13)</f>
        <v>3516.666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21099.996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17583.33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12</v>
      </c>
      <c r="I29" s="54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15450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1040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12</v>
      </c>
      <c r="B33" s="40">
        <v>10000</v>
      </c>
      <c r="C33" s="41"/>
      <c r="D33" s="216">
        <f>H48</f>
        <v>1232.66338128253</v>
      </c>
      <c r="E33" s="14"/>
      <c r="F33" s="2"/>
      <c r="G33" s="29" t="s">
        <v>355</v>
      </c>
      <c r="H33" s="217">
        <f>E21-E11</f>
        <v>17583.33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12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1206.66338128253</v>
      </c>
      <c r="B36" s="133">
        <f>IF(B26="YES",H42,"")</f>
        <v>26</v>
      </c>
      <c r="C36" s="31"/>
      <c r="D36" s="53">
        <f>H31</f>
        <v>15450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17583.33</v>
      </c>
      <c r="I39" s="50">
        <f>(I48*H46)+H44</f>
        <v>19522.4211536279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4635</v>
      </c>
      <c r="B40" s="102">
        <f>IF(B26="YES",H42,"0")</f>
        <v>26</v>
      </c>
      <c r="C40" s="102"/>
      <c r="D40" s="53">
        <f>I32</f>
        <v>1040</v>
      </c>
      <c r="E40" s="14"/>
      <c r="F40" s="2"/>
      <c r="G40" s="2" t="s">
        <v>107</v>
      </c>
      <c r="H40" s="50">
        <f>A40/1.2</f>
        <v>3862.5</v>
      </c>
      <c r="I40" s="50">
        <f>H39-I39</f>
        <v>-1939.09115362792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26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3600.55500439506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30</v>
      </c>
      <c r="B45" s="13"/>
      <c r="C45" s="220">
        <v>30</v>
      </c>
      <c r="D45" s="220"/>
      <c r="E45" s="14"/>
      <c r="F45" s="2"/>
      <c r="G45" s="2" t="s">
        <v>373</v>
      </c>
      <c r="H45" s="50">
        <f>(H39-H44)</f>
        <v>13982.7749956049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11.5879666297182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1206.66338128253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1232.66338128253</v>
      </c>
      <c r="I48" s="50">
        <f>I49-H42</f>
        <v>1374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35000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H48</f>
        <v>1232.66338128253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11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11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11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21099.996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40526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6" t="s">
        <v>278</v>
      </c>
      <c r="N63" s="10">
        <f>N62+(N62*0.25*(H29/12-1))</f>
        <v>0.07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1476.99972</v>
      </c>
      <c r="C64" s="222">
        <v>10000</v>
      </c>
      <c r="D64" s="12">
        <f>B64</f>
        <v>1476.99972</v>
      </c>
      <c r="E64" s="223">
        <f>D64/(B58+B57)</f>
        <v>123.08331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0.01</v>
      </c>
      <c r="I66" s="13"/>
      <c r="J66" s="13"/>
      <c r="K66" s="14"/>
      <c r="L66" s="2"/>
      <c r="M66" s="6" t="s">
        <v>93</v>
      </c>
      <c r="N66" s="10">
        <f>N65+(N65*0.5*(H29/12-1))</f>
        <v>0.01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210.99996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228">
        <f>B73+B71</f>
        <v>260</v>
      </c>
      <c r="E73" s="14" t="s">
        <v>229</v>
      </c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72" t="s">
        <v>100</v>
      </c>
      <c r="N73" s="80">
        <f>N72*H29</f>
        <v>54</v>
      </c>
      <c r="O73" s="13"/>
      <c r="P73" s="12">
        <f>N73+N71</f>
        <v>214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275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297.916666666667</v>
      </c>
      <c r="C76" s="13"/>
      <c r="D76" s="12">
        <f>B76</f>
        <v>297.916666666667</v>
      </c>
      <c r="E76" s="14"/>
      <c r="F76" s="2"/>
      <c r="G76" s="72" t="s">
        <v>281</v>
      </c>
      <c r="H76" s="80">
        <f>((H74+H75)/12)*(H29-11)</f>
        <v>13.75</v>
      </c>
      <c r="I76" s="13"/>
      <c r="J76" s="12">
        <f>H76</f>
        <v>13.75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0</v>
      </c>
      <c r="C77" s="229"/>
      <c r="D77" s="12">
        <f>B77</f>
        <v>0</v>
      </c>
      <c r="E77" s="223">
        <f>D77/(B58+B57)</f>
        <v>0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229"/>
      <c r="D78" s="12">
        <f>B78</f>
        <v>0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79.8263888888889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2434.91638666667</v>
      </c>
      <c r="C81" s="229"/>
      <c r="D81" s="230"/>
      <c r="E81" s="223"/>
      <c r="F81" s="2"/>
      <c r="G81" s="91" t="s">
        <v>103</v>
      </c>
      <c r="H81" s="92">
        <f>SUM(J64:J80)</f>
        <v>627.75</v>
      </c>
      <c r="I81" s="13"/>
      <c r="J81" s="13"/>
      <c r="K81" s="14"/>
      <c r="L81" s="2"/>
      <c r="M81" s="91" t="s">
        <v>103</v>
      </c>
      <c r="N81" s="92">
        <f>SUM(P64:P80)</f>
        <v>614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202.909698888889</v>
      </c>
      <c r="C82" s="229"/>
      <c r="D82" s="13"/>
      <c r="E82" s="223"/>
      <c r="F82" s="2"/>
      <c r="G82" s="6" t="s">
        <v>104</v>
      </c>
      <c r="H82" s="11">
        <f>H81/H29</f>
        <v>52.3125</v>
      </c>
      <c r="I82" s="13"/>
      <c r="J82" s="13"/>
      <c r="K82" s="14"/>
      <c r="L82" s="2"/>
      <c r="M82" s="6" t="s">
        <v>104</v>
      </c>
      <c r="N82" s="11">
        <f>N81/H29</f>
        <v>51.1666666666667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1206.66338128253</v>
      </c>
      <c r="C83" s="229"/>
      <c r="D83" s="13"/>
      <c r="E83" s="223">
        <f>B83+E80+E77+E64</f>
        <v>1409.57308017142</v>
      </c>
      <c r="F83" s="2"/>
      <c r="G83" s="93" t="s">
        <v>105</v>
      </c>
      <c r="H83" s="94">
        <f>H47</f>
        <v>1206.66338128253</v>
      </c>
      <c r="I83" s="13"/>
      <c r="J83" s="13"/>
      <c r="K83" s="14"/>
      <c r="L83" s="2"/>
      <c r="M83" s="93" t="s">
        <v>105</v>
      </c>
      <c r="N83" s="94">
        <f>H47</f>
        <v>1206.66338128253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((B83*H29)+B81)*1.2</f>
        <v>20297.8523544684</v>
      </c>
      <c r="C85" s="229"/>
      <c r="D85" s="229"/>
      <c r="E85" s="223">
        <f>B85/(B58+B57)</f>
        <v>1691.4876962057</v>
      </c>
      <c r="F85" s="2"/>
      <c r="G85" s="75" t="s">
        <v>115</v>
      </c>
      <c r="H85" s="95">
        <f>((H83*H29)+H81)*1.2</f>
        <v>18129.2526904684</v>
      </c>
      <c r="I85" s="13"/>
      <c r="J85" s="13"/>
      <c r="K85" s="14"/>
      <c r="L85" s="2"/>
      <c r="M85" s="75" t="s">
        <v>115</v>
      </c>
      <c r="N85" s="95">
        <f>((N83*H29)+N81)</f>
        <v>15093.9605753904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143.288590642678</v>
      </c>
      <c r="C86" s="229" t="s">
        <v>232</v>
      </c>
      <c r="D86" s="13"/>
      <c r="E86" s="223">
        <f>B86/(B58+B57)</f>
        <v>11.9407158868898</v>
      </c>
      <c r="F86" s="2"/>
      <c r="G86" s="6" t="s">
        <v>116</v>
      </c>
      <c r="H86" s="11">
        <f>((((H83*H29)+H81))/(1-H70))*H70</f>
        <v>127.979799146106</v>
      </c>
      <c r="I86" s="13"/>
      <c r="J86" s="13"/>
      <c r="K86" s="14"/>
      <c r="L86" s="2"/>
      <c r="M86" s="6" t="s">
        <v>116</v>
      </c>
      <c r="N86" s="11">
        <f>(N85/(1-N70))*N70</f>
        <v>127.863320727389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20441.1409451111</v>
      </c>
      <c r="C87" s="229"/>
      <c r="D87" s="231"/>
      <c r="E87" s="223">
        <f>E86+E85</f>
        <v>1703.42841209259</v>
      </c>
      <c r="F87" s="2"/>
      <c r="G87" s="72" t="s">
        <v>117</v>
      </c>
      <c r="H87" s="80">
        <f>IF(H110="YES",((H85+H86)-K114),(H85+H86))</f>
        <v>18257.2324896146</v>
      </c>
      <c r="I87" s="13"/>
      <c r="J87" s="13"/>
      <c r="K87" s="14"/>
      <c r="L87" s="2"/>
      <c r="M87" s="72" t="s">
        <v>117</v>
      </c>
      <c r="N87" s="80">
        <f>IF(N110="YES",((N85+N86)-Q114),(N85+N86))</f>
        <v>15221.8238961178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IF(B99=Y98,(I32+(I32*B105))/(B58),(I32+(I32*B105))/(B57+B58))*(C45/100)*1.2</f>
        <v>37.44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88.0941176470588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73.4117647058823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1703.42841209259</v>
      </c>
      <c r="C90" s="229"/>
      <c r="D90" s="13"/>
      <c r="E90" s="232"/>
      <c r="F90" s="2"/>
      <c r="G90" s="97" t="s">
        <v>119</v>
      </c>
      <c r="H90" s="98">
        <f>IF(H99=Y98,(H87-J105)/(H58),H87/(H57+H58))</f>
        <v>1073.95485233027</v>
      </c>
      <c r="I90" s="13"/>
      <c r="J90" s="13"/>
      <c r="K90" s="14"/>
      <c r="L90" s="2"/>
      <c r="M90" s="97" t="s">
        <v>119</v>
      </c>
      <c r="N90" s="98">
        <f>IF(N99=Y98,(N87-P105)/(N58),N87/(N57+N58))</f>
        <v>895.401405653986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1740.86841209259</v>
      </c>
      <c r="C91" s="229"/>
      <c r="D91" s="233"/>
      <c r="E91" s="194"/>
      <c r="F91" s="2"/>
      <c r="G91" s="99" t="s">
        <v>120</v>
      </c>
      <c r="H91" s="100">
        <f>IF(G105="YES",H90+H89,H90)</f>
        <v>1162.04896997733</v>
      </c>
      <c r="I91" s="13"/>
      <c r="J91" s="13"/>
      <c r="K91" s="14"/>
      <c r="L91" s="2"/>
      <c r="M91" s="99" t="s">
        <v>120</v>
      </c>
      <c r="N91" s="100">
        <f>IF(M105="YES",N90+N89,N90)</f>
        <v>968.813170359868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239.99</v>
      </c>
      <c r="B102" s="102">
        <v>0</v>
      </c>
      <c r="C102" s="102"/>
      <c r="D102" s="102">
        <v>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0.2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0</v>
      </c>
      <c r="E113" s="102">
        <v>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0</v>
      </c>
      <c r="E114" s="106">
        <f>E112-E113</f>
        <v>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(E118)+E117-E114</f>
        <v>239.99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35000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1073.95485233027</v>
      </c>
      <c r="H127" s="126">
        <f>IF(G105="YES",H89*H57,0)</f>
        <v>528.564705882353</v>
      </c>
      <c r="I127" s="126"/>
      <c r="J127" s="167">
        <f>H91</f>
        <v>1162.04896997733</v>
      </c>
      <c r="K127" s="14"/>
      <c r="L127" s="2"/>
      <c r="M127" s="125">
        <f>N90</f>
        <v>895.401405653986</v>
      </c>
      <c r="N127" s="126">
        <f>IF(M105="YES",N89*N57,0)</f>
        <v>440.470588235294</v>
      </c>
      <c r="O127" s="126"/>
      <c r="P127" s="126">
        <f>N91</f>
        <v>968.813170359868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1703.42841209259</v>
      </c>
      <c r="B128" s="113">
        <f>IF(A105="YES",B89,0)</f>
        <v>37.44</v>
      </c>
      <c r="C128" s="118"/>
      <c r="D128" s="113">
        <f>B91</f>
        <v>1740.86841209259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12</v>
      </c>
      <c r="H130" s="40">
        <f>B151</f>
        <v>0</v>
      </c>
      <c r="I130" s="41"/>
      <c r="J130" s="40">
        <f>B58</f>
        <v>11</v>
      </c>
      <c r="K130" s="14"/>
      <c r="L130" s="2"/>
      <c r="M130" s="39">
        <f>M155</f>
        <v>12</v>
      </c>
      <c r="N130" s="40">
        <f>B151</f>
        <v>0</v>
      </c>
      <c r="O130" s="41"/>
      <c r="P130" s="40">
        <f>B58</f>
        <v>11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1703.42841209259</v>
      </c>
      <c r="C131" s="109"/>
      <c r="D131" s="127">
        <f>IF(A105="YES",B89*B57,0)</f>
        <v>37.44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6443.72911398161</v>
      </c>
      <c r="H133" s="133">
        <f>IF(G105="YES",H89*H57,0)</f>
        <v>528.564705882353</v>
      </c>
      <c r="I133" s="31"/>
      <c r="J133" s="53">
        <f>H91*H57</f>
        <v>6972.29381986396</v>
      </c>
      <c r="K133" s="14"/>
      <c r="L133" s="2"/>
      <c r="M133" s="132">
        <f>N90*N57</f>
        <v>5372.40843392392</v>
      </c>
      <c r="N133" s="133">
        <f>IF(M105="YES",N89*N57,0)</f>
        <v>440.470588235294</v>
      </c>
      <c r="O133" s="31"/>
      <c r="P133" s="53">
        <f>N91*N57</f>
        <v>5812.87902215921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1740.86841209259</v>
      </c>
      <c r="B134" s="127">
        <f>E114</f>
        <v>0</v>
      </c>
      <c r="C134" s="109"/>
      <c r="D134" s="135">
        <f>B58</f>
        <v>11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1703.42841209259</v>
      </c>
      <c r="B137" s="127">
        <f>IF(A105="YES",B89,0)</f>
        <v>37.44</v>
      </c>
      <c r="C137" s="109"/>
      <c r="D137" s="127">
        <f>B91</f>
        <v>1740.86841209259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29.17872</v>
      </c>
      <c r="B140" s="143">
        <f>IF(A105="YES",B61*0.000002,0)*1.2*100</f>
        <v>9.72624</v>
      </c>
      <c r="C140" s="109"/>
      <c r="D140" s="143">
        <f>A140+B140</f>
        <v>38.90496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6.24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6.24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210.99996</v>
      </c>
      <c r="B148" s="133">
        <f>B102</f>
        <v>0</v>
      </c>
      <c r="C148" s="127"/>
      <c r="D148" s="127">
        <f>IF(A105="YES",(B40*B105)*B125,0)*0.1</f>
        <v>6.24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E118/1.2-100</f>
        <v>99.9916666666667</v>
      </c>
      <c r="B151" s="127">
        <f>(A148+B148+D148+A151)*(A143/B64)</f>
        <v>0</v>
      </c>
      <c r="C151" s="127"/>
      <c r="D151" s="127">
        <f>(A148+B148+D148+A151)-B151</f>
        <v>317.231626666667</v>
      </c>
      <c r="E151" s="141"/>
      <c r="F151" s="2"/>
      <c r="G151" s="67"/>
      <c r="H151" s="69">
        <f>B51</f>
        <v>35000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1162.04896997733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35000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12</v>
      </c>
      <c r="N155" s="71">
        <f>N91</f>
        <v>968.813170359868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35000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1740.86841209259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12</v>
      </c>
      <c r="C174" s="158"/>
      <c r="D174" s="117">
        <f>D125</f>
        <v>35000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1703.42841209259</v>
      </c>
      <c r="B177" s="156">
        <f>IF(A105="YES",B89,0)</f>
        <v>37.44</v>
      </c>
      <c r="C177" s="158"/>
      <c r="D177" s="156">
        <f>B91</f>
        <v>1740.86841209259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1703.42841209259</v>
      </c>
      <c r="C180" s="154"/>
      <c r="D180" s="133">
        <f>IF(A105="YES",B89*B57,0)</f>
        <v>37.44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1740.86841209259</v>
      </c>
      <c r="B183" s="133">
        <f>E114</f>
        <v>0</v>
      </c>
      <c r="C183" s="154"/>
      <c r="D183" s="162">
        <f>B58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1703.42841209259</v>
      </c>
      <c r="B186" s="133">
        <f>IF(A105="YES",B89,0)</f>
        <v>37.44</v>
      </c>
      <c r="C186" s="154"/>
      <c r="D186" s="133">
        <f>B91</f>
        <v>1740.86841209259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29.17872</v>
      </c>
      <c r="B189" s="166">
        <f>B140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239.99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210.99996</v>
      </c>
      <c r="B197" s="133">
        <f>B102</f>
        <v>0</v>
      </c>
      <c r="C197" s="133"/>
      <c r="D197" s="133">
        <f>IF(A105="YES",(B40*B105)*B125,0)*0.1</f>
        <v>6.24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E118/1.2-100</f>
        <v>99.9916666666667</v>
      </c>
      <c r="B200" s="133">
        <f>(A148+B148+D148+A151)*(A143/B64)</f>
        <v>0</v>
      </c>
      <c r="C200" s="133"/>
      <c r="D200" s="133">
        <f>(A148+B148+D148+A151)-B151</f>
        <v>317.231626666667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1476.99972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210.99996</v>
      </c>
      <c r="C211" s="112" t="s">
        <v>219</v>
      </c>
      <c r="D211" s="173">
        <f>B225+E221+B221+B223</f>
        <v>162.391666666667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1428.39142666667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1476.99972</v>
      </c>
      <c r="C217" s="177" t="s">
        <v>223</v>
      </c>
      <c r="D217" s="109"/>
      <c r="E217" s="178">
        <f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210.99996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1428.39142666667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62.4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143.288590642678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22" workbookViewId="0">
      <selection activeCell="I32" sqref="I32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16708.33</v>
      </c>
      <c r="C2" s="416" t="s">
        <v>2</v>
      </c>
      <c r="D2" s="417">
        <f>C9</f>
        <v>3341.666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20049.996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16708.33</v>
      </c>
      <c r="C9" s="82">
        <f>B9*0.2</f>
        <v>3341.666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16708.33</v>
      </c>
      <c r="C15" s="82">
        <f>SUM(C9:C13)</f>
        <v>3341.666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20049.996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16708.33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36</v>
      </c>
      <c r="I29" s="54"/>
      <c r="J29" s="2"/>
      <c r="K29" s="2">
        <v>35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10000</v>
      </c>
      <c r="I30" s="2"/>
      <c r="J30" s="2"/>
      <c r="K30" s="2">
        <v>35000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80000</v>
      </c>
      <c r="I31" s="2"/>
      <c r="J31" s="2"/>
      <c r="K31" s="2">
        <v>80000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6000</v>
      </c>
      <c r="J32" s="2"/>
      <c r="K32" s="2"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36</v>
      </c>
      <c r="B33" s="40">
        <v>10000</v>
      </c>
      <c r="C33" s="41"/>
      <c r="D33" s="216">
        <f>H48</f>
        <v>60.1657064187982</v>
      </c>
      <c r="E33" s="14"/>
      <c r="F33" s="2"/>
      <c r="G33" s="29" t="s">
        <v>355</v>
      </c>
      <c r="H33" s="217">
        <f>E21-E11</f>
        <v>16708.33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36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10.1657064187982</v>
      </c>
      <c r="B36" s="133">
        <f>IF(B26="YES",H42,"")</f>
        <v>50</v>
      </c>
      <c r="C36" s="31"/>
      <c r="D36" s="53">
        <f>H31</f>
        <v>80000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16708.33</v>
      </c>
      <c r="I39" s="50">
        <f>(I48*H46)+H44</f>
        <v>60423.7584914136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24000</v>
      </c>
      <c r="B40" s="102">
        <f>IF(B26="YES",H42,"0")</f>
        <v>50</v>
      </c>
      <c r="C40" s="102"/>
      <c r="D40" s="53">
        <f>I32</f>
        <v>6000</v>
      </c>
      <c r="E40" s="14"/>
      <c r="F40" s="2"/>
      <c r="G40" s="2" t="s">
        <v>107</v>
      </c>
      <c r="H40" s="50">
        <f>A40/1.2</f>
        <v>20000</v>
      </c>
      <c r="I40" s="50">
        <f>H39-I39</f>
        <v>-43715.4284914136</v>
      </c>
      <c r="J40" s="2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50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16376.6485270412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30</v>
      </c>
      <c r="B45" s="13"/>
      <c r="C45" s="220">
        <v>30</v>
      </c>
      <c r="D45" s="220"/>
      <c r="E45" s="14"/>
      <c r="F45" s="2"/>
      <c r="G45" s="2" t="s">
        <v>373</v>
      </c>
      <c r="H45" s="50">
        <f>(H39-H44)</f>
        <v>331.681472958762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32.627488862498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10.1657064187982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60.1657064187982</v>
      </c>
      <c r="I48" s="50">
        <f>I49-H42</f>
        <v>1350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10000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36</v>
      </c>
      <c r="B52" s="71">
        <f>H48</f>
        <v>60.1657064187982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35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35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35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20049.996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40526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0.105</v>
      </c>
      <c r="C63" s="13"/>
      <c r="D63" s="13"/>
      <c r="E63" s="14"/>
      <c r="F63" s="2"/>
      <c r="G63" s="6" t="s">
        <v>278</v>
      </c>
      <c r="H63" s="10">
        <f>H62+(H62*0.25*(H29/12-1))</f>
        <v>0.105</v>
      </c>
      <c r="I63" s="13"/>
      <c r="J63" s="13"/>
      <c r="K63" s="14"/>
      <c r="L63" s="2"/>
      <c r="M63" s="6" t="s">
        <v>278</v>
      </c>
      <c r="N63" s="10">
        <f>N62+(N62*0.25*(H29/12-1))</f>
        <v>0.105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2105.24958</v>
      </c>
      <c r="C64" s="222">
        <v>10000</v>
      </c>
      <c r="D64" s="12">
        <f>B64</f>
        <v>2105.24958</v>
      </c>
      <c r="E64" s="223">
        <f>D64/(B58+B57)</f>
        <v>58.479155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0.02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0.02</v>
      </c>
      <c r="I66" s="13"/>
      <c r="J66" s="13"/>
      <c r="K66" s="14"/>
      <c r="L66" s="2"/>
      <c r="M66" s="6" t="s">
        <v>93</v>
      </c>
      <c r="N66" s="10">
        <f>N65+(N65*0.5*(H29/12-1))</f>
        <v>0.02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400.99992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180</v>
      </c>
      <c r="C73" s="13"/>
      <c r="D73" s="228">
        <f>B73+B71</f>
        <v>380</v>
      </c>
      <c r="E73" s="14" t="s">
        <v>229</v>
      </c>
      <c r="F73" s="2"/>
      <c r="G73" s="72" t="s">
        <v>100</v>
      </c>
      <c r="H73" s="80">
        <f>H72*H29</f>
        <v>162</v>
      </c>
      <c r="I73" s="13"/>
      <c r="J73" s="12">
        <f>H73+H71</f>
        <v>322</v>
      </c>
      <c r="K73" s="14"/>
      <c r="L73" s="2"/>
      <c r="M73" s="72" t="s">
        <v>100</v>
      </c>
      <c r="N73" s="80">
        <f>N72*H29</f>
        <v>162</v>
      </c>
      <c r="O73" s="13"/>
      <c r="P73" s="12">
        <f>N73+N71</f>
        <v>322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275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847.916666666667</v>
      </c>
      <c r="C76" s="13"/>
      <c r="D76" s="12">
        <f>B76</f>
        <v>847.916666666667</v>
      </c>
      <c r="E76" s="14"/>
      <c r="F76" s="2"/>
      <c r="G76" s="72" t="s">
        <v>281</v>
      </c>
      <c r="H76" s="80">
        <f>((H74+H75)/12)*(H29-11)</f>
        <v>343.75</v>
      </c>
      <c r="I76" s="13"/>
      <c r="J76" s="12">
        <f>H76</f>
        <v>343.75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444.444444444444</v>
      </c>
      <c r="C77" s="229"/>
      <c r="D77" s="12">
        <f>B77</f>
        <v>444.444444444444</v>
      </c>
      <c r="E77" s="223">
        <f>D77/(B58+B57)</f>
        <v>12.3456790123457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229"/>
      <c r="D78" s="12">
        <f>B78</f>
        <v>222.222222222222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45.2199074074074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4399.83291333333</v>
      </c>
      <c r="C81" s="229"/>
      <c r="D81" s="230"/>
      <c r="E81" s="223"/>
      <c r="F81" s="2"/>
      <c r="G81" s="91" t="s">
        <v>103</v>
      </c>
      <c r="H81" s="92">
        <f>SUM(J64:J80)</f>
        <v>1065.75</v>
      </c>
      <c r="I81" s="13"/>
      <c r="J81" s="13"/>
      <c r="K81" s="14"/>
      <c r="L81" s="2"/>
      <c r="M81" s="91" t="s">
        <v>103</v>
      </c>
      <c r="N81" s="92">
        <f>SUM(P64:P80)</f>
        <v>722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122.217580925926</v>
      </c>
      <c r="C82" s="229"/>
      <c r="D82" s="13"/>
      <c r="E82" s="223"/>
      <c r="F82" s="2"/>
      <c r="G82" s="6" t="s">
        <v>104</v>
      </c>
      <c r="H82" s="11">
        <f>H81/H29</f>
        <v>29.6041666666667</v>
      </c>
      <c r="I82" s="13"/>
      <c r="J82" s="13"/>
      <c r="K82" s="14"/>
      <c r="L82" s="2"/>
      <c r="M82" s="6" t="s">
        <v>104</v>
      </c>
      <c r="N82" s="11">
        <f>N81/H29</f>
        <v>20.0555555555556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10.1657064187982</v>
      </c>
      <c r="C83" s="229"/>
      <c r="D83" s="13"/>
      <c r="E83" s="223">
        <f>B83+E80+E77+E64</f>
        <v>126.210447838551</v>
      </c>
      <c r="F83" s="2"/>
      <c r="G83" s="93" t="s">
        <v>105</v>
      </c>
      <c r="H83" s="94">
        <f>H47</f>
        <v>10.1657064187982</v>
      </c>
      <c r="I83" s="13"/>
      <c r="J83" s="13"/>
      <c r="K83" s="14"/>
      <c r="L83" s="2"/>
      <c r="M83" s="93" t="s">
        <v>105</v>
      </c>
      <c r="N83" s="94">
        <f>H47</f>
        <v>10.1657064187982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4765.79834441007</v>
      </c>
      <c r="C85" s="229"/>
      <c r="D85" s="229"/>
      <c r="E85" s="223">
        <f>B85/(B58+B57)</f>
        <v>132.383287344724</v>
      </c>
      <c r="F85" s="2"/>
      <c r="G85" s="75" t="s">
        <v>115</v>
      </c>
      <c r="H85" s="95">
        <f>((H83*H29)+H81)*1.2</f>
        <v>1718.05851729208</v>
      </c>
      <c r="I85" s="13"/>
      <c r="J85" s="13"/>
      <c r="K85" s="14"/>
      <c r="L85" s="2"/>
      <c r="M85" s="75" t="s">
        <v>115</v>
      </c>
      <c r="N85" s="95">
        <f>((N83*H29)+N81)</f>
        <v>1087.96543107673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40.3718294605129</v>
      </c>
      <c r="C86" s="229" t="s">
        <v>232</v>
      </c>
      <c r="D86" s="13"/>
      <c r="E86" s="223">
        <f>B86/(B58+B57)</f>
        <v>1.12143970723647</v>
      </c>
      <c r="F86" s="2"/>
      <c r="G86" s="6" t="s">
        <v>116</v>
      </c>
      <c r="H86" s="11">
        <f>((((H83*H29)+H81))/(1-H70))*H70</f>
        <v>12.1282872338086</v>
      </c>
      <c r="I86" s="13"/>
      <c r="J86" s="13"/>
      <c r="K86" s="14"/>
      <c r="L86" s="2"/>
      <c r="M86" s="6" t="s">
        <v>116</v>
      </c>
      <c r="N86" s="11">
        <f>(N85/(1-N70))*N70</f>
        <v>9.21632676587794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4806.17017387058</v>
      </c>
      <c r="C87" s="229"/>
      <c r="D87" s="231"/>
      <c r="E87" s="223">
        <f>E86+E85</f>
        <v>133.504727051961</v>
      </c>
      <c r="F87" s="2"/>
      <c r="G87" s="72" t="s">
        <v>117</v>
      </c>
      <c r="H87" s="80">
        <f>IF(H110="YES",((H85+H86)-K114),(H85+H86))</f>
        <v>1730.18680452589</v>
      </c>
      <c r="I87" s="13"/>
      <c r="J87" s="13"/>
      <c r="K87" s="14"/>
      <c r="L87" s="2"/>
      <c r="M87" s="72" t="s">
        <v>117</v>
      </c>
      <c r="N87" s="80">
        <f>IF(N110="YES",((N85+N86)-Q114),(N85+N86))</f>
        <v>1097.18175784261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</f>
        <v>60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210.731707317073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175.609756097561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133.504727051961</v>
      </c>
      <c r="C90" s="229"/>
      <c r="D90" s="13"/>
      <c r="E90" s="232"/>
      <c r="F90" s="2"/>
      <c r="G90" s="97" t="s">
        <v>119</v>
      </c>
      <c r="H90" s="98">
        <f>IF(H99=Y98,(H87-J105)/(H58),H87/(H57+H58))</f>
        <v>42.199678159168</v>
      </c>
      <c r="I90" s="13"/>
      <c r="J90" s="13"/>
      <c r="K90" s="14"/>
      <c r="L90" s="2"/>
      <c r="M90" s="97" t="s">
        <v>119</v>
      </c>
      <c r="N90" s="98">
        <f>IF(N99=Y98,(N87-P105)/(N58),N87/(N57+N58))</f>
        <v>26.7605306790881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193.504727051961</v>
      </c>
      <c r="C91" s="229"/>
      <c r="D91" s="233"/>
      <c r="E91" s="194"/>
      <c r="F91" s="2"/>
      <c r="G91" s="99" t="s">
        <v>120</v>
      </c>
      <c r="H91" s="100">
        <f>IF(G105="YES",H90+H89,H90)</f>
        <v>252.931385476241</v>
      </c>
      <c r="I91" s="13"/>
      <c r="J91" s="13"/>
      <c r="K91" s="14"/>
      <c r="L91" s="2"/>
      <c r="M91" s="99" t="s">
        <v>120</v>
      </c>
      <c r="N91" s="100">
        <f>IF(M105="YES",N90+N89,N90)</f>
        <v>202.370286776649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199.99</v>
      </c>
      <c r="B102" s="102">
        <v>400</v>
      </c>
      <c r="C102" s="102"/>
      <c r="D102" s="102">
        <v>200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0.2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(E118*1.2)+E117-E114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36</v>
      </c>
      <c r="C125" s="118"/>
      <c r="D125" s="117">
        <f>B160</f>
        <v>10000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42.199678159168</v>
      </c>
      <c r="H127" s="126">
        <f>IF(G105="YES",H89*H57,0)</f>
        <v>1264.39024390244</v>
      </c>
      <c r="I127" s="126"/>
      <c r="J127" s="167">
        <f>H91</f>
        <v>252.931385476241</v>
      </c>
      <c r="K127" s="14"/>
      <c r="L127" s="2"/>
      <c r="M127" s="125">
        <f>N90</f>
        <v>26.7605306790881</v>
      </c>
      <c r="N127" s="126">
        <f>IF(M105="YES",N89*N57,0)</f>
        <v>1053.65853658537</v>
      </c>
      <c r="O127" s="126"/>
      <c r="P127" s="126">
        <f>N91</f>
        <v>202.370286776649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133.504727051961</v>
      </c>
      <c r="B128" s="113">
        <f>IF(A105="YES",B89,0)</f>
        <v>60</v>
      </c>
      <c r="C128" s="118"/>
      <c r="D128" s="113">
        <f>B91</f>
        <v>193.504727051961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36</v>
      </c>
      <c r="H130" s="40">
        <f>B151</f>
        <v>0</v>
      </c>
      <c r="I130" s="41"/>
      <c r="J130" s="40">
        <f>B58</f>
        <v>35</v>
      </c>
      <c r="K130" s="14"/>
      <c r="L130" s="2"/>
      <c r="M130" s="39">
        <f>M155</f>
        <v>36</v>
      </c>
      <c r="N130" s="40">
        <f>B151</f>
        <v>0</v>
      </c>
      <c r="O130" s="41"/>
      <c r="P130" s="40">
        <f>B58</f>
        <v>35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133.504727051961</v>
      </c>
      <c r="C131" s="109"/>
      <c r="D131" s="127">
        <f>IF(A105="YES",B89*B57,0)</f>
        <v>60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253.198068955008</v>
      </c>
      <c r="H133" s="133">
        <f>IF(G105="YES",H89*H57,0)</f>
        <v>1264.39024390244</v>
      </c>
      <c r="I133" s="31"/>
      <c r="J133" s="53">
        <f>H91*H57</f>
        <v>1517.58831285745</v>
      </c>
      <c r="K133" s="14"/>
      <c r="L133" s="2"/>
      <c r="M133" s="132">
        <f>N90*N57</f>
        <v>160.563184074529</v>
      </c>
      <c r="N133" s="133">
        <f>IF(M105="YES",N89*N57,0)</f>
        <v>1053.65853658537</v>
      </c>
      <c r="O133" s="31"/>
      <c r="P133" s="53">
        <f>N91*N57</f>
        <v>1214.22172065989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193.504727051961</v>
      </c>
      <c r="B134" s="127">
        <f>E114</f>
        <v>4000</v>
      </c>
      <c r="C134" s="109"/>
      <c r="D134" s="135">
        <f>B58</f>
        <v>35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133.504727051961</v>
      </c>
      <c r="B137" s="127">
        <f>IF(A105="YES",B89,0)</f>
        <v>60</v>
      </c>
      <c r="C137" s="109"/>
      <c r="D137" s="127">
        <f>B91</f>
        <v>193.504727051961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29.17872</v>
      </c>
      <c r="B140" s="143">
        <f>IF(A105="YES",B61*0.000002,0)*1.2*100</f>
        <v>9.72624</v>
      </c>
      <c r="C140" s="109"/>
      <c r="D140" s="143">
        <f>A140+B140</f>
        <v>38.90496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36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36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400.99992</v>
      </c>
      <c r="B148" s="133">
        <f>B102</f>
        <v>400</v>
      </c>
      <c r="C148" s="127"/>
      <c r="D148" s="127">
        <f>IF(A105="YES",(B40*B105)*B125,0)*0.1</f>
        <v>36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936.98992</v>
      </c>
      <c r="E151" s="141"/>
      <c r="F151" s="2"/>
      <c r="G151" s="67"/>
      <c r="H151" s="69">
        <f>B51</f>
        <v>10000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36</v>
      </c>
      <c r="H152" s="71">
        <f>H91</f>
        <v>252.931385476241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10000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36</v>
      </c>
      <c r="N155" s="71">
        <f>N91</f>
        <v>202.370286776649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10000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36</v>
      </c>
      <c r="B161" s="71">
        <f>B91</f>
        <v>193.504727051961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36</v>
      </c>
      <c r="C174" s="158"/>
      <c r="D174" s="117">
        <f>D125</f>
        <v>10000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133.504727051961</v>
      </c>
      <c r="B177" s="156">
        <f>IF(A105="YES",B89,0)</f>
        <v>60</v>
      </c>
      <c r="C177" s="158"/>
      <c r="D177" s="156">
        <f>B91</f>
        <v>193.504727051961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133.504727051961</v>
      </c>
      <c r="C180" s="154"/>
      <c r="D180" s="133">
        <f>IF(A105="YES",B89*B57,0)</f>
        <v>60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193.504727051961</v>
      </c>
      <c r="B183" s="133">
        <f>E114</f>
        <v>4000</v>
      </c>
      <c r="C183" s="154"/>
      <c r="D183" s="162">
        <f>B58</f>
        <v>35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133.504727051961</v>
      </c>
      <c r="B186" s="133">
        <f>IF(A105="YES",B89,0)</f>
        <v>60</v>
      </c>
      <c r="C186" s="154"/>
      <c r="D186" s="133">
        <f>B91</f>
        <v>193.504727051961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29.17872</v>
      </c>
      <c r="B189" s="166">
        <f>B140</f>
        <v>9.72624</v>
      </c>
      <c r="C189" s="154"/>
      <c r="D189" s="166">
        <f>A189+B189</f>
        <v>38.90496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400.99992</v>
      </c>
      <c r="B197" s="133">
        <f>B102</f>
        <v>400</v>
      </c>
      <c r="C197" s="133"/>
      <c r="D197" s="133">
        <f>IF(A105="YES",(B40*B105)*B125,0)*0.1</f>
        <v>36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936.98992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2105.24958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400.99992</v>
      </c>
      <c r="C211" s="112" t="s">
        <v>219</v>
      </c>
      <c r="D211" s="173">
        <f>B225+E221+B221+B223</f>
        <v>699.99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2404.23966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2105.24958</v>
      </c>
      <c r="C217" s="177" t="s">
        <v>223</v>
      </c>
      <c r="D217" s="109"/>
      <c r="E217" s="178">
        <f>B66</f>
        <v>0.02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400.99992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200</v>
      </c>
      <c r="C223" s="130" t="s">
        <v>220</v>
      </c>
      <c r="D223" s="109"/>
      <c r="E223" s="180">
        <f>(B217-B211+D211)</f>
        <v>2404.23966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360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380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40.3718294605129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10" workbookViewId="0">
      <selection activeCell="A37" sqref="A37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2" customWidth="true" style="239" width="18.8833333333333"/>
    <col min="13" max="13" customWidth="true" style="239" width="22.4666666666667"/>
    <col min="14" max="14" customWidth="true" style="239" width="20.9333333333333"/>
    <col min="15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 t="s">
        <v>4</v>
      </c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12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4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 t="str">
        <f>A46</f>
        <v>50</v>
      </c>
      <c r="M32" s="404" t="s">
        <v>37</v>
      </c>
      <c r="N32" s="413" t="s">
        <v>38</v>
      </c>
    </row>
    <row r="33" ht="19.5" spans="1:14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  <c r="M33" s="404"/>
      <c r="N33" s="405"/>
    </row>
    <row r="34" ht="19.5" spans="1:14">
      <c r="A34" s="268" t="s">
        <v>42</v>
      </c>
      <c r="B34" s="368"/>
      <c r="C34" s="437" t="s">
        <v>43</v>
      </c>
      <c r="D34" s="437"/>
      <c r="E34" s="368"/>
      <c r="F34" s="437">
        <f>(A34/12)*C34</f>
        <v>5000</v>
      </c>
      <c r="G34" s="437"/>
      <c r="H34" s="271"/>
      <c r="I34" s="240"/>
      <c r="J34" s="240"/>
      <c r="K34" s="240"/>
      <c r="M34" s="404" t="s">
        <v>44</v>
      </c>
      <c r="N34" s="406" t="s">
        <v>45</v>
      </c>
    </row>
    <row r="35" spans="1:14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507">
        <v>0.065</v>
      </c>
      <c r="M35" s="404"/>
      <c r="N35" s="405" t="s">
        <v>4</v>
      </c>
    </row>
    <row r="36" ht="19.5" spans="1:14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11</v>
      </c>
      <c r="M36" s="404" t="s">
        <v>51</v>
      </c>
      <c r="N36" s="407">
        <f>N32-N34</f>
        <v>22125</v>
      </c>
    </row>
    <row r="37" ht="19.5" spans="1:11">
      <c r="A37" s="267">
        <f>E19</f>
        <v>21600</v>
      </c>
      <c r="B37" s="368"/>
      <c r="C37" s="437" t="s">
        <v>45</v>
      </c>
      <c r="D37" s="437"/>
      <c r="E37" s="368"/>
      <c r="F37" s="388">
        <f>A37-C37</f>
        <v>20600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11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C15</f>
        <v>3600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 t="str">
        <f>IF(F43="Yes",A46,0)</f>
        <v>50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12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216.666666666667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333.333333333333</v>
      </c>
      <c r="L45" s="240"/>
    </row>
    <row r="46" ht="19.5" spans="1:12">
      <c r="A46" s="268" t="s">
        <v>70</v>
      </c>
      <c r="B46" s="368"/>
      <c r="C46" s="437">
        <v>1</v>
      </c>
      <c r="D46" s="437"/>
      <c r="E46" s="368"/>
      <c r="F46" s="437">
        <v>0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1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1.66666666666667</v>
      </c>
      <c r="L48" s="240"/>
    </row>
    <row r="49" spans="1:12">
      <c r="A49" s="267">
        <f>C46+F46</f>
        <v>1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336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286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249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600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12</v>
      </c>
      <c r="B60" s="71">
        <f>K49</f>
        <v>336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/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/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/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/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11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11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11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11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37404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37404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37404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37404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0.0105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16269.2033287732</v>
      </c>
      <c r="C74" s="368"/>
      <c r="D74" s="368"/>
      <c r="E74" s="262"/>
      <c r="F74" s="262"/>
      <c r="G74" s="262"/>
      <c r="H74" s="180"/>
      <c r="J74" s="275" t="s">
        <v>91</v>
      </c>
      <c r="K74" s="281" t="e">
        <f>(K98*K68)-(K47*K29)</f>
        <v>#VALUE!</v>
      </c>
      <c r="L74" s="368"/>
      <c r="M74" s="368"/>
      <c r="N74" s="262"/>
      <c r="O74" s="262"/>
      <c r="P74" s="262"/>
      <c r="Q74" s="180"/>
      <c r="S74" s="275" t="s">
        <v>91</v>
      </c>
      <c r="T74" s="281" t="e">
        <f>(T98*T68)-(K47*K29)</f>
        <v>#VALUE!</v>
      </c>
      <c r="U74" s="368"/>
      <c r="V74" s="368"/>
      <c r="W74" s="262"/>
      <c r="X74" s="262"/>
      <c r="Y74" s="262"/>
      <c r="Z74" s="180"/>
      <c r="AB74" s="275" t="s">
        <v>91</v>
      </c>
      <c r="AC74" s="281" t="e">
        <f>(AC98*AC68)-(K47*K29)</f>
        <v>#VALUE!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118.75002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1870.2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187.02</v>
      </c>
      <c r="U77" s="368"/>
      <c r="V77" s="368"/>
      <c r="W77" s="262"/>
      <c r="X77" s="262"/>
      <c r="Y77" s="262"/>
      <c r="Z77" s="180"/>
      <c r="AB77" s="275" t="s">
        <v>94</v>
      </c>
      <c r="AC77" s="281" t="e">
        <f>AH167*AC76</f>
        <v>#VALUE!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336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1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336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336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20600</v>
      </c>
      <c r="C90" s="368"/>
      <c r="D90" s="368"/>
      <c r="E90" s="262"/>
      <c r="F90" s="264" t="s">
        <v>106</v>
      </c>
      <c r="G90" s="266">
        <f>F37</f>
        <v>20600</v>
      </c>
      <c r="H90" s="180"/>
      <c r="J90" s="264" t="s">
        <v>106</v>
      </c>
      <c r="K90" s="266" t="e">
        <f>P167</f>
        <v>#VALUE!</v>
      </c>
      <c r="L90" s="368"/>
      <c r="M90" s="368"/>
      <c r="N90" s="262"/>
      <c r="O90" s="262"/>
      <c r="P90" s="262"/>
      <c r="Q90" s="180"/>
      <c r="S90" s="264" t="s">
        <v>106</v>
      </c>
      <c r="T90" s="266" t="e">
        <f>Y167</f>
        <v>#VALUE!</v>
      </c>
      <c r="U90" s="368"/>
      <c r="V90" s="368"/>
      <c r="W90" s="262"/>
      <c r="X90" s="262"/>
      <c r="Y90" s="262"/>
      <c r="Z90" s="180"/>
      <c r="AB90" s="264" t="s">
        <v>106</v>
      </c>
      <c r="AC90" s="266" t="e">
        <f>AH167</f>
        <v>#VALUE!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</f>
        <v>6000</v>
      </c>
      <c r="C91" s="368"/>
      <c r="D91" s="368"/>
      <c r="E91" s="262"/>
      <c r="F91" s="245" t="s">
        <v>107</v>
      </c>
      <c r="G91" s="180">
        <f>IF(A111="YES",A43,0)</f>
        <v>6000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0.1255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0.0104583333333333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11</v>
      </c>
      <c r="C94" s="368"/>
      <c r="D94" s="368"/>
      <c r="E94" s="262"/>
      <c r="F94" s="245" t="s">
        <v>110</v>
      </c>
      <c r="G94" s="180">
        <f>IF(G91=0,(B68+B67),(B68))</f>
        <v>11</v>
      </c>
      <c r="H94" s="180"/>
      <c r="J94" s="245" t="s">
        <v>110</v>
      </c>
      <c r="K94" s="180">
        <f>IF(K91=0,(K68+K67),(K68))</f>
        <v>12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11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11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5295.78483323301</v>
      </c>
      <c r="C95" s="368"/>
      <c r="D95" s="368"/>
      <c r="E95" s="262"/>
      <c r="F95" s="245" t="s">
        <v>111</v>
      </c>
      <c r="G95" s="180">
        <f>(G91/((1+G93)^(G94+1)))</f>
        <v>5623.39108453416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10.6125560515631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10.6125560515631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10.3399216528992</v>
      </c>
      <c r="C96" s="368"/>
      <c r="D96" s="368"/>
      <c r="E96" s="262"/>
      <c r="F96" s="245" t="s">
        <v>112</v>
      </c>
      <c r="G96" s="180">
        <f>((1-(1/((1+G93)^G94)))/G93)</f>
        <v>10.6507347822959</v>
      </c>
      <c r="H96" s="180"/>
      <c r="J96" s="245" t="s">
        <v>112</v>
      </c>
      <c r="K96" s="180">
        <f>((1-(1/((1+K93)^K94)))/K93)</f>
        <v>10.5753412209172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10.3499842839909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10.3499842839909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15304.215166767</v>
      </c>
      <c r="C97" s="368"/>
      <c r="D97" s="368"/>
      <c r="E97" s="262"/>
      <c r="F97" s="245" t="s">
        <v>113</v>
      </c>
      <c r="G97" s="180">
        <f>G90-G95</f>
        <v>14976.6089154658</v>
      </c>
      <c r="H97" s="180"/>
      <c r="J97" s="245" t="s">
        <v>113</v>
      </c>
      <c r="K97" s="180" t="e">
        <f>K90-K95</f>
        <v>#VALUE!</v>
      </c>
      <c r="L97" s="368"/>
      <c r="M97" s="368"/>
      <c r="N97" s="262"/>
      <c r="O97" s="262"/>
      <c r="P97" s="262"/>
      <c r="Q97" s="180"/>
      <c r="S97" s="245" t="s">
        <v>113</v>
      </c>
      <c r="T97" s="180" t="e">
        <f>T90-T95</f>
        <v>#VALUE!</v>
      </c>
      <c r="U97" s="368"/>
      <c r="V97" s="368"/>
      <c r="W97" s="262"/>
      <c r="X97" s="262"/>
      <c r="Y97" s="262"/>
      <c r="Z97" s="180"/>
      <c r="AB97" s="245" t="s">
        <v>113</v>
      </c>
      <c r="AC97" s="180" t="e">
        <f>AC90-AC95</f>
        <v>#VALUE!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1480.10939352484</v>
      </c>
      <c r="C98" s="368"/>
      <c r="D98" s="368"/>
      <c r="E98" s="262"/>
      <c r="F98" s="245" t="s">
        <v>114</v>
      </c>
      <c r="G98" s="180">
        <f>(G97/G96)</f>
        <v>1406.1573423423</v>
      </c>
      <c r="H98" s="180"/>
      <c r="J98" s="245" t="s">
        <v>114</v>
      </c>
      <c r="K98" s="180" t="e">
        <f>(K97/K96)</f>
        <v>#VALUE!</v>
      </c>
      <c r="L98" s="368"/>
      <c r="M98" s="368"/>
      <c r="N98" s="262"/>
      <c r="O98" s="262"/>
      <c r="P98" s="262"/>
      <c r="Q98" s="180"/>
      <c r="S98" s="245" t="s">
        <v>114</v>
      </c>
      <c r="T98" s="180" t="e">
        <f>(T97/T96)</f>
        <v>#VALUE!</v>
      </c>
      <c r="U98" s="368"/>
      <c r="V98" s="368"/>
      <c r="W98" s="262"/>
      <c r="X98" s="262"/>
      <c r="Y98" s="262"/>
      <c r="Z98" s="180"/>
      <c r="AB98" s="245" t="s">
        <v>114</v>
      </c>
      <c r="AC98" s="180" t="e">
        <f>(AC97/AC96)</f>
        <v>#VALUE!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16281.2033287732</v>
      </c>
      <c r="C99" s="368"/>
      <c r="D99" s="368"/>
      <c r="E99" s="262"/>
      <c r="F99" s="245" t="s">
        <v>115</v>
      </c>
      <c r="G99" s="180">
        <f>((G98*(G94))+G86)</f>
        <v>15467.7307657653</v>
      </c>
      <c r="H99" s="180"/>
      <c r="J99" s="245" t="s">
        <v>115</v>
      </c>
      <c r="K99" s="180" t="e">
        <f>((K98*(K94))+K86)</f>
        <v>#VALUE!</v>
      </c>
      <c r="L99" s="368"/>
      <c r="M99" s="368"/>
      <c r="N99" s="262"/>
      <c r="O99" s="262"/>
      <c r="P99" s="262"/>
      <c r="Q99" s="180"/>
      <c r="S99" s="245" t="s">
        <v>115</v>
      </c>
      <c r="T99" s="180" t="e">
        <f>(T98*(T94))+T86</f>
        <v>#VALUE!</v>
      </c>
      <c r="U99" s="368"/>
      <c r="V99" s="368"/>
      <c r="W99" s="262"/>
      <c r="X99" s="262"/>
      <c r="Y99" s="262"/>
      <c r="Z99" s="180"/>
      <c r="AB99" s="245" t="s">
        <v>115</v>
      </c>
      <c r="AC99" s="180" t="e">
        <f>(AC98*(AC68))+AC86</f>
        <v>#VALUE!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 t="e">
        <f>(K99/(1-K80))*K80</f>
        <v>#VALUE!</v>
      </c>
      <c r="L100" s="368"/>
      <c r="M100" s="368"/>
      <c r="N100" s="262"/>
      <c r="O100" s="262"/>
      <c r="P100" s="262"/>
      <c r="Q100" s="180"/>
      <c r="S100" s="245" t="s">
        <v>116</v>
      </c>
      <c r="T100" s="180" t="e">
        <f>(T99/(1-T80))*T80</f>
        <v>#VALUE!</v>
      </c>
      <c r="U100" s="368"/>
      <c r="V100" s="368"/>
      <c r="W100" s="262"/>
      <c r="X100" s="262"/>
      <c r="Y100" s="262"/>
      <c r="Z100" s="180"/>
      <c r="AB100" s="245" t="s">
        <v>116</v>
      </c>
      <c r="AC100" s="180" t="e">
        <f>(AC99/(1-AC80))*AC80</f>
        <v>#VALUE!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16281.2033287732</v>
      </c>
      <c r="C101" s="368"/>
      <c r="D101" s="368"/>
      <c r="E101" s="262"/>
      <c r="F101" s="275" t="s">
        <v>117</v>
      </c>
      <c r="G101" s="281">
        <f>(G99+G100)</f>
        <v>15467.7307657653</v>
      </c>
      <c r="H101" s="180"/>
      <c r="J101" s="275" t="s">
        <v>117</v>
      </c>
      <c r="K101" s="281" t="e">
        <f>(K99+K100)</f>
        <v>#VALUE!</v>
      </c>
      <c r="L101" s="368"/>
      <c r="M101" s="368"/>
      <c r="N101" s="262"/>
      <c r="O101" s="262"/>
      <c r="P101" s="262"/>
      <c r="Q101" s="180"/>
      <c r="S101" s="275" t="s">
        <v>117</v>
      </c>
      <c r="T101" s="281" t="e">
        <f>(T99+T100)</f>
        <v>#VALUE!</v>
      </c>
      <c r="U101" s="368"/>
      <c r="V101" s="368"/>
      <c r="W101" s="262"/>
      <c r="X101" s="262"/>
      <c r="Y101" s="262"/>
      <c r="Z101" s="180"/>
      <c r="AB101" s="275" t="s">
        <v>117</v>
      </c>
      <c r="AC101" s="281" t="e">
        <f>(AC99+AC100)</f>
        <v>#VALUE!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((A46*A34)+((A46*A34)*A117))/(B68)*1.2</f>
        <v>85.0909090909091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1480.10939352484</v>
      </c>
      <c r="C104" s="368"/>
      <c r="D104" s="368"/>
      <c r="E104" s="262"/>
      <c r="F104" s="319" t="s">
        <v>119</v>
      </c>
      <c r="G104" s="320">
        <f>G101/(G94)</f>
        <v>1406.1573423423</v>
      </c>
      <c r="H104" s="180"/>
      <c r="J104" s="319" t="s">
        <v>119</v>
      </c>
      <c r="K104" s="320" t="e">
        <f>K101/(K94)</f>
        <v>#VALUE!</v>
      </c>
      <c r="L104" s="368"/>
      <c r="M104" s="368"/>
      <c r="N104" s="262"/>
      <c r="O104" s="262"/>
      <c r="P104" s="262"/>
      <c r="Q104" s="180"/>
      <c r="S104" s="319" t="s">
        <v>119</v>
      </c>
      <c r="T104" s="320" t="e">
        <f>T101/(T94)</f>
        <v>#VALUE!</v>
      </c>
      <c r="U104" s="368"/>
      <c r="V104" s="368"/>
      <c r="W104" s="262"/>
      <c r="X104" s="262"/>
      <c r="Y104" s="262"/>
      <c r="Z104" s="180"/>
      <c r="AB104" s="319" t="s">
        <v>119</v>
      </c>
      <c r="AC104" s="320" t="e">
        <f>AC101/(AC68)</f>
        <v>#VALUE!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1565.20030261575</v>
      </c>
      <c r="C105" s="368"/>
      <c r="D105" s="368"/>
      <c r="E105" s="262" t="s">
        <v>18</v>
      </c>
      <c r="F105" s="321" t="s">
        <v>120</v>
      </c>
      <c r="G105" s="322">
        <f>G103+G104</f>
        <v>1406.1573423423</v>
      </c>
      <c r="H105" s="180"/>
      <c r="J105" s="321" t="s">
        <v>120</v>
      </c>
      <c r="K105" s="322" t="e">
        <f>(K103+K104)</f>
        <v>#VALUE!</v>
      </c>
      <c r="L105" s="368"/>
      <c r="M105" s="368"/>
      <c r="N105" s="262"/>
      <c r="O105" s="262"/>
      <c r="P105" s="262"/>
      <c r="Q105" s="180"/>
      <c r="S105" s="321" t="s">
        <v>120</v>
      </c>
      <c r="T105" s="322" t="e">
        <f>T103+T104</f>
        <v>#VALUE!</v>
      </c>
      <c r="U105" s="368"/>
      <c r="V105" s="368"/>
      <c r="W105" s="262"/>
      <c r="X105" s="262"/>
      <c r="Y105" s="262"/>
      <c r="Z105" s="180"/>
      <c r="AB105" s="321" t="s">
        <v>120</v>
      </c>
      <c r="AC105" s="322" t="e">
        <f>AC103+AC104</f>
        <v>#VALUE!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 t="s">
        <v>121</v>
      </c>
      <c r="C108" s="262"/>
      <c r="D108" s="262">
        <v>0</v>
      </c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 t="s">
        <v>130</v>
      </c>
      <c r="C114" s="133"/>
      <c r="D114" s="133"/>
      <c r="E114" s="48" t="s">
        <v>19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0.3</v>
      </c>
      <c r="B117" s="102" t="s">
        <v>134</v>
      </c>
      <c r="C117" s="102"/>
      <c r="D117" s="102"/>
      <c r="E117" s="327">
        <f>B92</f>
        <v>0.1255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/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143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91"/>
      <c r="C127" s="291"/>
      <c r="D127" s="291"/>
      <c r="E127" s="291"/>
      <c r="F127" s="291"/>
      <c r="G127" s="291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335">
        <f>E19</f>
        <v>21600</v>
      </c>
      <c r="C130" s="336">
        <v>19791.67</v>
      </c>
      <c r="D130" s="335">
        <f>D12</f>
        <v>0</v>
      </c>
      <c r="E130" s="336">
        <f>D130</f>
        <v>0</v>
      </c>
      <c r="F130" s="335">
        <v>0</v>
      </c>
      <c r="G130" s="336">
        <f>F130</f>
        <v>0</v>
      </c>
      <c r="H130" s="337">
        <f>H12</f>
        <v>0</v>
      </c>
      <c r="J130" s="264" t="s">
        <v>151</v>
      </c>
      <c r="K130" s="264">
        <f>B3</f>
        <v>0</v>
      </c>
      <c r="L130" s="268">
        <v>28629.17</v>
      </c>
      <c r="M130" s="264">
        <f>D3</f>
        <v>0</v>
      </c>
      <c r="N130" s="268">
        <f>M130</f>
        <v>0</v>
      </c>
      <c r="O130" s="264" t="str">
        <f>F3</f>
        <v> </v>
      </c>
      <c r="P130" s="268" t="str">
        <f>O130</f>
        <v> </v>
      </c>
      <c r="Q130" s="337">
        <f>H3</f>
        <v>0</v>
      </c>
      <c r="S130" s="264" t="s">
        <v>151</v>
      </c>
      <c r="T130" s="264">
        <f>B3</f>
        <v>0</v>
      </c>
      <c r="U130" s="268">
        <f>T130</f>
        <v>0</v>
      </c>
      <c r="V130" s="264">
        <f>D3</f>
        <v>0</v>
      </c>
      <c r="W130" s="268">
        <f>V130</f>
        <v>0</v>
      </c>
      <c r="X130" s="264" t="str">
        <f>F3</f>
        <v> </v>
      </c>
      <c r="Y130" s="268" t="str">
        <f>X130</f>
        <v> </v>
      </c>
      <c r="Z130" s="337">
        <f>H3</f>
        <v>0</v>
      </c>
      <c r="AB130" s="264" t="s">
        <v>151</v>
      </c>
      <c r="AC130" s="264">
        <f>B3</f>
        <v>0</v>
      </c>
      <c r="AD130" s="268">
        <f>AC130</f>
        <v>0</v>
      </c>
      <c r="AE130" s="264">
        <f>D3</f>
        <v>0</v>
      </c>
      <c r="AF130" s="268">
        <f>AE130</f>
        <v>0</v>
      </c>
      <c r="AG130" s="264" t="str">
        <f>F3</f>
        <v> </v>
      </c>
      <c r="AH130" s="268" t="str">
        <f>AG130</f>
        <v> </v>
      </c>
      <c r="AI130" s="337">
        <f>H3</f>
        <v>0</v>
      </c>
    </row>
    <row r="131" ht="19.5" spans="1:35">
      <c r="A131" s="245" t="s">
        <v>152</v>
      </c>
      <c r="B131" s="338">
        <v>0</v>
      </c>
      <c r="C131" s="248">
        <f>B131</f>
        <v>0</v>
      </c>
      <c r="D131" s="338">
        <v>0</v>
      </c>
      <c r="E131" s="248">
        <f>D131</f>
        <v>0</v>
      </c>
      <c r="F131" s="338">
        <v>0</v>
      </c>
      <c r="G131" s="412">
        <f>F131</f>
        <v>0</v>
      </c>
      <c r="H131" s="249"/>
      <c r="J131" s="245" t="s">
        <v>152</v>
      </c>
      <c r="K131" s="449">
        <f>B4</f>
        <v>21600</v>
      </c>
      <c r="L131" s="451">
        <v>0</v>
      </c>
      <c r="M131" s="449">
        <f>D4</f>
        <v>0</v>
      </c>
      <c r="N131" s="451">
        <f>M131</f>
        <v>0</v>
      </c>
      <c r="O131" s="449" t="str">
        <f>F4</f>
        <v> </v>
      </c>
      <c r="P131" s="451" t="str">
        <f>O131</f>
        <v> </v>
      </c>
      <c r="Q131" s="435"/>
      <c r="S131" s="245" t="s">
        <v>152</v>
      </c>
      <c r="T131" s="449">
        <f>B4</f>
        <v>21600</v>
      </c>
      <c r="U131" s="451">
        <v>0.25</v>
      </c>
      <c r="V131" s="449">
        <f>D4</f>
        <v>0</v>
      </c>
      <c r="W131" s="451">
        <f>V131</f>
        <v>0</v>
      </c>
      <c r="X131" s="449" t="str">
        <f>F4</f>
        <v> </v>
      </c>
      <c r="Y131" s="451" t="str">
        <f>X131</f>
        <v> </v>
      </c>
      <c r="Z131" s="435"/>
      <c r="AB131" s="245" t="s">
        <v>152</v>
      </c>
      <c r="AC131" s="449">
        <f>B4</f>
        <v>21600</v>
      </c>
      <c r="AD131" s="451">
        <v>0.25</v>
      </c>
      <c r="AE131" s="449">
        <f>D4</f>
        <v>0</v>
      </c>
      <c r="AF131" s="451">
        <f>AE131</f>
        <v>0</v>
      </c>
      <c r="AG131" s="449" t="str">
        <f>F4</f>
        <v> </v>
      </c>
      <c r="AH131" s="451" t="str">
        <f>AG131</f>
        <v> </v>
      </c>
      <c r="AI131" s="435"/>
    </row>
    <row r="132" ht="19.5" spans="1:35">
      <c r="A132" s="245" t="s">
        <v>153</v>
      </c>
      <c r="B132" s="340">
        <v>0</v>
      </c>
      <c r="C132" s="336">
        <f>B132</f>
        <v>0</v>
      </c>
      <c r="D132" s="340">
        <v>0</v>
      </c>
      <c r="E132" s="336">
        <f>D132</f>
        <v>0</v>
      </c>
      <c r="F132" s="340">
        <v>0</v>
      </c>
      <c r="G132" s="336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 t="str">
        <f>F5</f>
        <v> </v>
      </c>
      <c r="P132" s="268" t="str">
        <f>O132</f>
        <v> 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 t="str">
        <f>F5</f>
        <v> </v>
      </c>
      <c r="Y132" s="268" t="str">
        <f>X132</f>
        <v> 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 t="str">
        <f>F5</f>
        <v> </v>
      </c>
      <c r="AH132" s="268" t="str">
        <f>AG132</f>
        <v> </v>
      </c>
      <c r="AI132" s="180"/>
    </row>
    <row r="133" spans="1:35">
      <c r="A133" s="245" t="s">
        <v>154</v>
      </c>
      <c r="B133" s="340">
        <f>(B130*B131)+B132</f>
        <v>0</v>
      </c>
      <c r="C133" s="95">
        <f>(C130*C131/100)+C132</f>
        <v>0</v>
      </c>
      <c r="D133" s="340">
        <f>(D130*D131)+D132</f>
        <v>0</v>
      </c>
      <c r="E133" s="95">
        <f>(E130*E131/100)+E132</f>
        <v>0</v>
      </c>
      <c r="F133" s="340">
        <f>(F130*F131)+F132</f>
        <v>0</v>
      </c>
      <c r="G133" s="95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 t="e">
        <f t="shared" si="0"/>
        <v>#VALUE!</v>
      </c>
      <c r="P133" s="266" t="e">
        <f t="shared" si="0"/>
        <v>#VALUE!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0</v>
      </c>
      <c r="V133" s="245">
        <f t="shared" si="1"/>
        <v>0</v>
      </c>
      <c r="W133" s="266">
        <f t="shared" si="1"/>
        <v>0</v>
      </c>
      <c r="X133" s="245" t="e">
        <f t="shared" si="1"/>
        <v>#VALUE!</v>
      </c>
      <c r="Y133" s="266" t="e">
        <f t="shared" si="1"/>
        <v>#VALUE!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0</v>
      </c>
      <c r="AE133" s="245">
        <f t="shared" si="2"/>
        <v>0</v>
      </c>
      <c r="AF133" s="266">
        <f t="shared" si="2"/>
        <v>0</v>
      </c>
      <c r="AG133" s="245" t="e">
        <f t="shared" si="2"/>
        <v>#VALUE!</v>
      </c>
      <c r="AH133" s="266" t="e">
        <f t="shared" si="2"/>
        <v>#VALUE!</v>
      </c>
      <c r="AI133" s="180"/>
    </row>
    <row r="134" ht="19.5" spans="1:35">
      <c r="A134" s="275" t="s">
        <v>155</v>
      </c>
      <c r="B134" s="341">
        <f t="shared" ref="B134:G134" si="3">B130-B133</f>
        <v>21600</v>
      </c>
      <c r="C134" s="80">
        <f t="shared" si="3"/>
        <v>19791.67</v>
      </c>
      <c r="D134" s="341">
        <f t="shared" si="3"/>
        <v>0</v>
      </c>
      <c r="E134" s="80">
        <f t="shared" si="3"/>
        <v>0</v>
      </c>
      <c r="F134" s="341">
        <f t="shared" si="3"/>
        <v>0</v>
      </c>
      <c r="G134" s="80">
        <f t="shared" si="3"/>
        <v>0</v>
      </c>
      <c r="H134" s="281"/>
      <c r="J134" s="275" t="s">
        <v>155</v>
      </c>
      <c r="K134" s="275">
        <f t="shared" ref="K134:P134" si="4">K130-K133</f>
        <v>0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 t="e">
        <f t="shared" si="4"/>
        <v>#VALUE!</v>
      </c>
      <c r="P134" s="281" t="e">
        <f t="shared" si="4"/>
        <v>#VALUE!</v>
      </c>
      <c r="Q134" s="281"/>
      <c r="S134" s="275" t="s">
        <v>155</v>
      </c>
      <c r="T134" s="275">
        <f t="shared" ref="T134:Y134" si="5">T130-T133</f>
        <v>0</v>
      </c>
      <c r="U134" s="281">
        <f t="shared" si="5"/>
        <v>0</v>
      </c>
      <c r="V134" s="275">
        <f t="shared" si="5"/>
        <v>0</v>
      </c>
      <c r="W134" s="281">
        <f t="shared" si="5"/>
        <v>0</v>
      </c>
      <c r="X134" s="275" t="e">
        <f t="shared" si="5"/>
        <v>#VALUE!</v>
      </c>
      <c r="Y134" s="281" t="e">
        <f t="shared" si="5"/>
        <v>#VALUE!</v>
      </c>
      <c r="Z134" s="281"/>
      <c r="AB134" s="275" t="s">
        <v>155</v>
      </c>
      <c r="AC134" s="275">
        <f t="shared" ref="AC134:AH134" si="6">AC130-AC133</f>
        <v>0</v>
      </c>
      <c r="AD134" s="281">
        <f t="shared" si="6"/>
        <v>0</v>
      </c>
      <c r="AE134" s="275">
        <f t="shared" si="6"/>
        <v>0</v>
      </c>
      <c r="AF134" s="281">
        <f t="shared" si="6"/>
        <v>0</v>
      </c>
      <c r="AG134" s="275" t="e">
        <f t="shared" si="6"/>
        <v>#VALUE!</v>
      </c>
      <c r="AH134" s="281" t="e">
        <f t="shared" si="6"/>
        <v>#VALUE!</v>
      </c>
      <c r="AI134" s="281"/>
    </row>
    <row r="135" spans="1:35">
      <c r="A135" s="245"/>
      <c r="B135" s="250"/>
      <c r="C135" s="250"/>
      <c r="D135" s="250"/>
      <c r="E135" s="250"/>
      <c r="F135" s="250"/>
      <c r="G135" s="250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343"/>
      <c r="C136" s="343"/>
      <c r="D136" s="343"/>
      <c r="E136" s="343"/>
      <c r="F136" s="343"/>
      <c r="G136" s="252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250"/>
      <c r="C138" s="250"/>
      <c r="D138" s="250"/>
      <c r="E138" s="250"/>
      <c r="F138" s="250"/>
      <c r="G138" s="350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250"/>
      <c r="C143" s="250"/>
      <c r="D143" s="250"/>
      <c r="E143" s="250"/>
      <c r="F143" s="250"/>
      <c r="G143" s="350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252">
        <f>E21</f>
        <v>18000</v>
      </c>
      <c r="H144" s="354">
        <f>C134+E134+G134+H137</f>
        <v>19791.67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7">H9</f>
        <v>0</v>
      </c>
      <c r="Q144" s="354" t="e">
        <f>L134+N134+P134+Q137</f>
        <v>#VALUE!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8">H9</f>
        <v>0</v>
      </c>
      <c r="Z144" s="354" t="e">
        <f>U134+W134+Y134+Z137</f>
        <v>#VALUE!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9">H9</f>
        <v>0</v>
      </c>
      <c r="AI144" s="354" t="e">
        <f>AD134+AF134+AH134+AI137</f>
        <v>#VALUE!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5">
        <f>H19</f>
        <v>0</v>
      </c>
      <c r="H145" s="180">
        <f>G145</f>
        <v>0</v>
      </c>
      <c r="J145" s="254" t="s">
        <v>164</v>
      </c>
      <c r="K145" s="254"/>
      <c r="L145" s="254"/>
      <c r="M145" s="254"/>
      <c r="N145" s="254"/>
      <c r="O145" s="254"/>
      <c r="P145" s="392">
        <f t="shared" si="7"/>
        <v>0</v>
      </c>
      <c r="Q145" s="180">
        <f>P145</f>
        <v>0</v>
      </c>
      <c r="S145" s="254" t="s">
        <v>164</v>
      </c>
      <c r="T145" s="254"/>
      <c r="U145" s="254"/>
      <c r="V145" s="254"/>
      <c r="W145" s="254"/>
      <c r="X145" s="254"/>
      <c r="Y145" s="392">
        <f t="shared" si="8"/>
        <v>0</v>
      </c>
      <c r="Z145" s="180">
        <f>Y145</f>
        <v>0</v>
      </c>
      <c r="AB145" s="254" t="s">
        <v>164</v>
      </c>
      <c r="AC145" s="254"/>
      <c r="AD145" s="254"/>
      <c r="AE145" s="254"/>
      <c r="AF145" s="254"/>
      <c r="AG145" s="254"/>
      <c r="AH145" s="392">
        <f t="shared" si="9"/>
        <v>0</v>
      </c>
      <c r="AI145" s="180">
        <f>AH145</f>
        <v>0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180">
        <f>(G144+G145)*20%</f>
        <v>3600</v>
      </c>
      <c r="H146" s="180">
        <f>(H144+H145)*20%</f>
        <v>3958.334</v>
      </c>
      <c r="J146" s="254" t="s">
        <v>165</v>
      </c>
      <c r="K146" s="254"/>
      <c r="L146" s="254"/>
      <c r="M146" s="254"/>
      <c r="N146" s="254"/>
      <c r="O146" s="254"/>
      <c r="P146" s="392">
        <f t="shared" si="7"/>
        <v>0</v>
      </c>
      <c r="Q146" s="180" t="e">
        <f>(Q144+Q145)*20%</f>
        <v>#VALUE!</v>
      </c>
      <c r="S146" s="254" t="s">
        <v>165</v>
      </c>
      <c r="T146" s="254"/>
      <c r="U146" s="254"/>
      <c r="V146" s="254"/>
      <c r="W146" s="254"/>
      <c r="X146" s="254"/>
      <c r="Y146" s="392">
        <f t="shared" si="8"/>
        <v>0</v>
      </c>
      <c r="Z146" s="180" t="e">
        <f>(Z144+Z145)*20%</f>
        <v>#VALUE!</v>
      </c>
      <c r="AB146" s="254" t="s">
        <v>165</v>
      </c>
      <c r="AC146" s="254"/>
      <c r="AD146" s="254"/>
      <c r="AE146" s="254"/>
      <c r="AF146" s="254"/>
      <c r="AG146" s="254"/>
      <c r="AH146" s="392">
        <f t="shared" si="9"/>
        <v>0</v>
      </c>
      <c r="AI146" s="180" t="e">
        <f>(AI144+AI145)*20%</f>
        <v>#VALUE!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5">
        <f>H21</f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7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8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9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5">
        <f>H22</f>
        <v>0</v>
      </c>
      <c r="H148" s="180">
        <f>G148</f>
        <v>0</v>
      </c>
      <c r="J148" s="254" t="s">
        <v>167</v>
      </c>
      <c r="K148" s="254"/>
      <c r="L148" s="254"/>
      <c r="M148" s="254"/>
      <c r="N148" s="254"/>
      <c r="O148" s="254"/>
      <c r="P148" s="392">
        <f t="shared" si="7"/>
        <v>0</v>
      </c>
      <c r="Q148" s="180">
        <f>P148</f>
        <v>0</v>
      </c>
      <c r="S148" s="254" t="s">
        <v>167</v>
      </c>
      <c r="T148" s="254"/>
      <c r="U148" s="254"/>
      <c r="V148" s="254"/>
      <c r="W148" s="254"/>
      <c r="X148" s="254"/>
      <c r="Y148" s="392">
        <f t="shared" si="8"/>
        <v>0</v>
      </c>
      <c r="Z148" s="180">
        <f>Y148</f>
        <v>0</v>
      </c>
      <c r="AB148" s="254" t="s">
        <v>167</v>
      </c>
      <c r="AC148" s="254"/>
      <c r="AD148" s="254"/>
      <c r="AE148" s="254"/>
      <c r="AF148" s="254"/>
      <c r="AG148" s="254"/>
      <c r="AH148" s="392">
        <f t="shared" si="9"/>
        <v>0</v>
      </c>
      <c r="AI148" s="180">
        <f>AH148</f>
        <v>0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5">
        <f>H23</f>
        <v>0</v>
      </c>
      <c r="H149" s="180">
        <f>G149</f>
        <v>0</v>
      </c>
      <c r="J149" s="254" t="s">
        <v>168</v>
      </c>
      <c r="K149" s="254"/>
      <c r="L149" s="254"/>
      <c r="M149" s="254"/>
      <c r="N149" s="254"/>
      <c r="O149" s="254"/>
      <c r="P149" s="392">
        <f t="shared" si="7"/>
        <v>0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8"/>
        <v>0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9"/>
        <v>0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356">
        <f>(G144+G145+G148+G149+G146)-G147</f>
        <v>21600</v>
      </c>
      <c r="H150" s="356">
        <f>(H144+H145+H148+H149+H146)-H147</f>
        <v>23750.004</v>
      </c>
      <c r="J150" s="254" t="s">
        <v>169</v>
      </c>
      <c r="K150" s="254"/>
      <c r="L150" s="254"/>
      <c r="M150" s="254"/>
      <c r="N150" s="254"/>
      <c r="O150" s="254"/>
      <c r="P150" s="453">
        <f t="shared" si="7"/>
        <v>0</v>
      </c>
      <c r="Q150" s="356" t="e">
        <f>(Q144+Q145+Q148+Q149+Q146)-Q147</f>
        <v>#VALUE!</v>
      </c>
      <c r="S150" s="254" t="s">
        <v>169</v>
      </c>
      <c r="T150" s="254"/>
      <c r="U150" s="254"/>
      <c r="V150" s="254"/>
      <c r="W150" s="254"/>
      <c r="X150" s="254"/>
      <c r="Y150" s="453">
        <f t="shared" si="8"/>
        <v>0</v>
      </c>
      <c r="Z150" s="356" t="e">
        <f>(Z144+Z145+Z148+Z149+Z146)-Z147</f>
        <v>#VALUE!</v>
      </c>
      <c r="AB150" s="254" t="s">
        <v>169</v>
      </c>
      <c r="AC150" s="254"/>
      <c r="AD150" s="254"/>
      <c r="AE150" s="254"/>
      <c r="AF150" s="254"/>
      <c r="AG150" s="254"/>
      <c r="AH150" s="453">
        <f t="shared" si="9"/>
        <v>0</v>
      </c>
      <c r="AI150" s="356" t="e">
        <f>(AI144+AI145+AI148+AI149+AI146)-AI147</f>
        <v>#VALUE!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268">
        <f>F151</f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7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8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9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80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>
        <v>0</v>
      </c>
      <c r="C153" s="257"/>
      <c r="D153" s="257"/>
      <c r="E153" s="257"/>
      <c r="F153" s="257"/>
      <c r="G153" s="268">
        <v>0</v>
      </c>
      <c r="H153" s="268"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268"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268"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359">
        <f>G150-((G153*1.2)+(G154*1.2)+(G155*1.2)+(G151*1.2))</f>
        <v>21600</v>
      </c>
      <c r="H156" s="359">
        <f>H150-((H153*1.2)+(H154*1.2)+(H155*1.2)+(H151*1.2))</f>
        <v>23750.004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0</v>
      </c>
      <c r="Q156" s="359" t="e">
        <f>Q150-((Q153*1.2)+(Q154*1.2)+(Q155*1.2)+(Q151*1.2))</f>
        <v>#VALUE!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0</v>
      </c>
      <c r="Z156" s="359" t="e">
        <f>Z150-((Z153*1.2)+(Z154*1.2)+(Z155*1.2)+(Z151*1.2))</f>
        <v>#VALUE!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0</v>
      </c>
      <c r="AI156" s="359" t="e">
        <f>AI150-((AI153*1.2)+(AI154*1.2)+(AI155*1.2)+(AI151*1.2))</f>
        <v>#VALUE!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5"/>
      <c r="H157" s="268">
        <f>((H156-G156)-(H146-G146))+((I155-I154)*0.2)</f>
        <v>1791.67</v>
      </c>
      <c r="I157" s="239">
        <f>(H157-G90)/1.2</f>
        <v>-15673.6083333333</v>
      </c>
      <c r="J157" s="254" t="s">
        <v>174</v>
      </c>
      <c r="K157" s="254"/>
      <c r="L157" s="254"/>
      <c r="M157" s="254"/>
      <c r="N157" s="254"/>
      <c r="O157" s="254"/>
      <c r="P157" s="392"/>
      <c r="Q157" s="268" t="e">
        <f>Q156-P156</f>
        <v>#VALUE!</v>
      </c>
      <c r="S157" s="254" t="s">
        <v>174</v>
      </c>
      <c r="T157" s="254"/>
      <c r="U157" s="254"/>
      <c r="V157" s="254"/>
      <c r="W157" s="254"/>
      <c r="X157" s="254"/>
      <c r="Y157" s="392"/>
      <c r="Z157" s="268" t="e">
        <f>Z156-Y156</f>
        <v>#VALUE!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 t="e">
        <f>AI156-AH156</f>
        <v>#VALUE!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23750.004</v>
      </c>
      <c r="H167" s="362"/>
      <c r="J167" s="361" t="s">
        <v>181</v>
      </c>
      <c r="K167" s="368"/>
      <c r="L167" s="368"/>
      <c r="M167" s="262"/>
      <c r="N167" s="368"/>
      <c r="O167" s="262"/>
      <c r="P167" s="362" t="e">
        <f>Q156-P163-P166</f>
        <v>#VALUE!</v>
      </c>
      <c r="Q167" s="362"/>
      <c r="S167" s="361" t="s">
        <v>181</v>
      </c>
      <c r="T167" s="368"/>
      <c r="U167" s="368"/>
      <c r="V167" s="262"/>
      <c r="W167" s="368"/>
      <c r="X167" s="262"/>
      <c r="Y167" s="362" t="e">
        <f>Z156-Y163-Y166</f>
        <v>#VALUE!</v>
      </c>
      <c r="Z167" s="362"/>
      <c r="AB167" s="361" t="s">
        <v>181</v>
      </c>
      <c r="AC167" s="368"/>
      <c r="AD167" s="368"/>
      <c r="AE167" s="262"/>
      <c r="AF167" s="368"/>
      <c r="AG167" s="262"/>
      <c r="AH167" s="362" t="e">
        <f>AI156-AH163-AH166</f>
        <v>#VALUE!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239.99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6000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1480.10939352484</v>
      </c>
      <c r="B176" s="126">
        <f>B103</f>
        <v>85.0909090909091</v>
      </c>
      <c r="C176" s="365"/>
      <c r="D176" s="365"/>
      <c r="E176" s="126">
        <f>B105</f>
        <v>1565.20030261575</v>
      </c>
      <c r="F176" s="262"/>
      <c r="G176" s="262">
        <f>ROUND(G104,2)</f>
        <v>1406.16</v>
      </c>
      <c r="H176" s="180"/>
      <c r="J176" s="366" t="e">
        <f>K104</f>
        <v>#VALUE!</v>
      </c>
      <c r="K176" s="458">
        <f>K103</f>
        <v>0</v>
      </c>
      <c r="L176" s="457"/>
      <c r="M176" s="457"/>
      <c r="N176" s="458" t="e">
        <f>K105</f>
        <v>#VALUE!</v>
      </c>
      <c r="O176" s="262"/>
      <c r="P176" s="262"/>
      <c r="Q176" s="180"/>
      <c r="S176" s="366" t="e">
        <f>T104</f>
        <v>#VALUE!</v>
      </c>
      <c r="T176" s="458">
        <f>T103</f>
        <v>0</v>
      </c>
      <c r="U176" s="457"/>
      <c r="V176" s="457"/>
      <c r="W176" s="458" t="e">
        <f>T105</f>
        <v>#VALUE!</v>
      </c>
      <c r="X176" s="262"/>
      <c r="Y176" s="262"/>
      <c r="Z176" s="180"/>
      <c r="AB176" s="366" t="e">
        <f>AC104</f>
        <v>#VALUE!</v>
      </c>
      <c r="AC176" s="458">
        <f>AC103</f>
        <v>0</v>
      </c>
      <c r="AD176" s="457"/>
      <c r="AE176" s="457"/>
      <c r="AF176" s="458" t="e">
        <f>AC105</f>
        <v>#VALUE!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>
        <f>B38</f>
        <v>0</v>
      </c>
      <c r="B179" s="42">
        <f>B39</f>
        <v>0</v>
      </c>
      <c r="C179" s="367"/>
      <c r="D179" s="262"/>
      <c r="E179" s="274">
        <v>6000</v>
      </c>
      <c r="F179" s="262"/>
      <c r="G179" s="262"/>
      <c r="H179" s="180"/>
      <c r="J179" s="270" t="str">
        <f>K29</f>
        <v>12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12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12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19791.67</v>
      </c>
      <c r="B182" s="133">
        <f>H146</f>
        <v>3958.334</v>
      </c>
      <c r="C182" s="272"/>
      <c r="D182" s="262"/>
      <c r="E182" s="274">
        <f>H148+H149</f>
        <v>0</v>
      </c>
      <c r="F182" s="262"/>
      <c r="G182" s="262"/>
      <c r="H182" s="180"/>
      <c r="J182" s="132" t="e">
        <f>Q150-Q146-Q148-Q149</f>
        <v>#VALUE!</v>
      </c>
      <c r="K182" s="127" t="e">
        <f>Q146</f>
        <v>#VALUE!</v>
      </c>
      <c r="L182" s="388"/>
      <c r="M182" s="262"/>
      <c r="N182" s="53">
        <f>Q148+Q149</f>
        <v>55</v>
      </c>
      <c r="O182" s="262"/>
      <c r="P182" s="262"/>
      <c r="Q182" s="180"/>
      <c r="S182" s="132" t="e">
        <f>Z150-Z146-Z148-Z149</f>
        <v>#VALUE!</v>
      </c>
      <c r="T182" s="127" t="e">
        <f>Z146</f>
        <v>#VALUE!</v>
      </c>
      <c r="U182" s="388"/>
      <c r="V182" s="262"/>
      <c r="W182" s="53">
        <f>Z148+Z149</f>
        <v>55</v>
      </c>
      <c r="X182" s="262"/>
      <c r="Y182" s="262"/>
      <c r="Z182" s="180"/>
      <c r="AB182" s="132" t="e">
        <f>AI150-AI146-AI148-AI149</f>
        <v>#VALUE!</v>
      </c>
      <c r="AC182" s="127" t="e">
        <f>AI146</f>
        <v>#VALUE!</v>
      </c>
      <c r="AD182" s="388"/>
      <c r="AE182" s="262"/>
      <c r="AF182" s="53">
        <f>AI148+AI149</f>
        <v>55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23750.004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 t="e">
        <f>Q150</f>
        <v>#VALUE!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 t="e">
        <f>Z150</f>
        <v>#VALUE!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 t="e">
        <f>AI150</f>
        <v>#VALUE!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23750.004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 t="e">
        <f>J185-J188-K188</f>
        <v>#VALUE!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 t="e">
        <f>S185-S188-T188</f>
        <v>#VALUE!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 t="e">
        <f>AB185-AB188-AC188</f>
        <v>#VALUE!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-1468.80067122677</v>
      </c>
      <c r="B191" s="133" t="str">
        <f>B123</f>
        <v>239.99</v>
      </c>
      <c r="C191" s="133"/>
      <c r="D191" s="262"/>
      <c r="E191" s="133">
        <f>E188+A191+B191+A194</f>
        <v>22531.1933287732</v>
      </c>
      <c r="F191" s="262"/>
      <c r="G191" s="262"/>
      <c r="H191" s="141"/>
      <c r="J191" s="134" t="e">
        <f>(J176*K68)+N194-N188-J194</f>
        <v>#VALUE!</v>
      </c>
      <c r="K191" s="127">
        <f>K123</f>
        <v>239.99</v>
      </c>
      <c r="L191" s="127"/>
      <c r="M191" s="262"/>
      <c r="N191" s="127" t="e">
        <f>N188+J191+K191+J194</f>
        <v>#VALUE!</v>
      </c>
      <c r="O191" s="262"/>
      <c r="P191" s="262"/>
      <c r="Q191" s="141"/>
      <c r="S191" s="134" t="e">
        <f>(S176*T68)+W194-W188-S194</f>
        <v>#VALUE!</v>
      </c>
      <c r="T191" s="127">
        <f>T123</f>
        <v>199.99</v>
      </c>
      <c r="U191" s="127"/>
      <c r="V191" s="262"/>
      <c r="W191" s="127" t="e">
        <f>W188+S191+T191+S194</f>
        <v>#VALUE!</v>
      </c>
      <c r="X191" s="262"/>
      <c r="Y191" s="262"/>
      <c r="Z191" s="141"/>
      <c r="AB191" s="134" t="e">
        <f>(AB176*AC68)+AF194-AF188-AB194</f>
        <v>#VALUE!</v>
      </c>
      <c r="AC191" s="127">
        <f>AC123</f>
        <v>239.99</v>
      </c>
      <c r="AD191" s="127"/>
      <c r="AE191" s="262"/>
      <c r="AF191" s="127" t="e">
        <f>AF188+AB191+AC191+AB194</f>
        <v>#VALUE!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</f>
        <v>239.99</v>
      </c>
      <c r="C194" s="133"/>
      <c r="D194" s="262"/>
      <c r="E194" s="133">
        <f>E179+A194</f>
        <v>6010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J18*0.000002*100*1.2</f>
        <v>8.97696</v>
      </c>
      <c r="B197" s="133">
        <f>(G167*B76)/1.2</f>
        <v>98.95835</v>
      </c>
      <c r="C197" s="250"/>
      <c r="D197" s="250"/>
      <c r="E197" s="133">
        <f>K55*A117*0.1</f>
        <v>18</v>
      </c>
      <c r="F197" s="262"/>
      <c r="G197" s="262"/>
      <c r="H197" s="180"/>
      <c r="J197" s="134">
        <f>IF(N114="YES",H15*0.000002,0)</f>
        <v>0</v>
      </c>
      <c r="K197" s="127" t="e">
        <f>(P167*K76)/1.2</f>
        <v>#VALUE!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 t="e">
        <f>(Y167*T76)/1.2</f>
        <v>#VALUE!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 t="e">
        <f>(AH167*AC76)/1.2</f>
        <v>#VALUE!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(B191/1.2)-100</f>
        <v>99.9916666666667</v>
      </c>
      <c r="B200" s="133">
        <f>B197+E197+A200</f>
        <v>216.950016666667</v>
      </c>
      <c r="C200" s="250"/>
      <c r="D200" s="250"/>
      <c r="E200" s="133">
        <f>H157</f>
        <v>1791.67</v>
      </c>
      <c r="F200" s="262"/>
      <c r="G200" s="262"/>
      <c r="H200" s="180"/>
      <c r="J200" s="134">
        <f>K194-100</f>
        <v>1139.99</v>
      </c>
      <c r="K200" s="127" t="e">
        <f>K197+N197+J200</f>
        <v>#VALUE!</v>
      </c>
      <c r="L200" s="368"/>
      <c r="M200" s="368"/>
      <c r="N200" s="127" t="e">
        <f>Q157</f>
        <v>#VALUE!</v>
      </c>
      <c r="O200" s="262"/>
      <c r="P200" s="262"/>
      <c r="Q200" s="180"/>
      <c r="S200" s="134">
        <f>T194-100</f>
        <v>1099.99</v>
      </c>
      <c r="T200" s="127" t="e">
        <f>T197+W197+S200</f>
        <v>#VALUE!</v>
      </c>
      <c r="U200" s="368"/>
      <c r="V200" s="368"/>
      <c r="W200" s="127" t="e">
        <f>Z157</f>
        <v>#VALUE!</v>
      </c>
      <c r="X200" s="368"/>
      <c r="Y200" s="368"/>
      <c r="Z200" s="180"/>
      <c r="AB200" s="134">
        <f>AC194-100</f>
        <v>1139.99</v>
      </c>
      <c r="AC200" s="127" t="e">
        <f>AC197+AF197+AB200</f>
        <v>#VALUE!</v>
      </c>
      <c r="AD200" s="368"/>
      <c r="AE200" s="368"/>
      <c r="AF200" s="127" t="e">
        <f>AI157</f>
        <v>#VALUE!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12</v>
      </c>
      <c r="B206" s="71">
        <f>B105</f>
        <v>1565.20030261575</v>
      </c>
      <c r="C206" s="71"/>
      <c r="D206" s="71"/>
      <c r="E206" s="262"/>
      <c r="F206" s="262"/>
      <c r="G206" s="262"/>
      <c r="H206" s="180"/>
      <c r="J206" s="289" t="str">
        <f>K29</f>
        <v>12</v>
      </c>
      <c r="K206" s="71" t="e">
        <f>K105</f>
        <v>#VALUE!</v>
      </c>
      <c r="L206" s="71"/>
      <c r="M206" s="71"/>
      <c r="N206" s="262"/>
      <c r="O206" s="262"/>
      <c r="P206" s="262"/>
      <c r="Q206" s="180"/>
      <c r="S206" s="289" t="str">
        <f>K29</f>
        <v>12</v>
      </c>
      <c r="T206" s="71" t="e">
        <f>T105</f>
        <v>#VALUE!</v>
      </c>
      <c r="U206" s="71"/>
      <c r="V206" s="71"/>
      <c r="W206" s="262"/>
      <c r="X206" s="262"/>
      <c r="Y206" s="262"/>
      <c r="Z206" s="180"/>
      <c r="AB206" s="289" t="str">
        <f>K29</f>
        <v>12</v>
      </c>
      <c r="AC206" s="71" t="e">
        <f>AC105</f>
        <v>#VALUE!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(G176*B68)+E194-E188-A194</f>
        <v>-2282.244</v>
      </c>
      <c r="B210" s="272">
        <f>E188+A210+B191+A194</f>
        <v>21717.75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12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1480.10939352484</v>
      </c>
      <c r="B221" s="126">
        <f>B176</f>
        <v>85.0909090909091</v>
      </c>
      <c r="C221" s="365"/>
      <c r="D221" s="365"/>
      <c r="E221" s="126">
        <f>E176</f>
        <v>1565.20030261575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19791.67</v>
      </c>
      <c r="B224" s="133">
        <f>B182</f>
        <v>3958.334</v>
      </c>
      <c r="C224" s="272"/>
      <c r="D224" s="291"/>
      <c r="E224" s="274">
        <f>E182</f>
        <v>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23750.004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23750.004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-1468.80067122677</v>
      </c>
      <c r="B233" s="133" t="str">
        <f>B191</f>
        <v>239.99</v>
      </c>
      <c r="C233" s="133"/>
      <c r="D233" s="291"/>
      <c r="E233" s="133">
        <f>E191</f>
        <v>22531.1933287732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239.99</v>
      </c>
      <c r="C236" s="133"/>
      <c r="D236" s="291"/>
      <c r="E236" s="133">
        <f>B68</f>
        <v>11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1480.10939352484</v>
      </c>
      <c r="B239" s="133">
        <f>B176</f>
        <v>85.0909090909091</v>
      </c>
      <c r="C239" s="272"/>
      <c r="D239" s="272"/>
      <c r="E239" s="133">
        <f>E176</f>
        <v>1565.20030261575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6000</v>
      </c>
      <c r="B242" s="133">
        <f>E194</f>
        <v>6010</v>
      </c>
      <c r="C242" s="250"/>
      <c r="D242" s="250"/>
      <c r="E242" s="133">
        <f>J18*0.000006*100*1.2</f>
        <v>26.93088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8.97696</v>
      </c>
      <c r="B245" s="133">
        <f>E242+A245</f>
        <v>35.90784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1791.67</v>
      </c>
      <c r="B249" s="133">
        <f>B197</f>
        <v>98.95835</v>
      </c>
      <c r="C249" s="250"/>
      <c r="D249" s="250"/>
      <c r="E249" s="133">
        <f>E197</f>
        <v>18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99.9916666666667</v>
      </c>
      <c r="B252" s="133">
        <f>B249+E249+A252+A249</f>
        <v>2008.62001666666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0.1255</v>
      </c>
      <c r="G262" s="262"/>
      <c r="H262" s="180"/>
    </row>
    <row r="263" spans="1:8">
      <c r="A263" s="370" t="s">
        <v>217</v>
      </c>
      <c r="B263" s="393">
        <f>(E191-B191)-(B210-B191-A194)</f>
        <v>823.443328773228</v>
      </c>
      <c r="C263" s="376"/>
      <c r="D263" s="377" t="s">
        <v>218</v>
      </c>
      <c r="E263" s="377"/>
      <c r="F263" s="378">
        <f>F270+F276+F278+B279+B280</f>
        <v>118.75002</v>
      </c>
      <c r="G263" s="262"/>
      <c r="H263" s="180"/>
    </row>
    <row r="264" spans="1:8">
      <c r="A264" s="370" t="s">
        <v>219</v>
      </c>
      <c r="B264" s="378">
        <f>F271+B272</f>
        <v>279.991666666667</v>
      </c>
      <c r="C264" s="376"/>
      <c r="D264" s="377" t="s">
        <v>220</v>
      </c>
      <c r="E264" s="377"/>
      <c r="F264" s="378">
        <f>(B263-F263)+B264</f>
        <v>984.684975439895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0.1255</v>
      </c>
      <c r="C269" s="388"/>
      <c r="D269" s="105" t="s">
        <v>217</v>
      </c>
      <c r="E269" s="105"/>
      <c r="F269" s="389">
        <f>B263</f>
        <v>823.443328773228</v>
      </c>
      <c r="G269" s="262"/>
      <c r="H269" s="180"/>
    </row>
    <row r="270" ht="19.5" spans="1:8">
      <c r="A270" s="245" t="s">
        <v>223</v>
      </c>
      <c r="B270" s="387">
        <f>B76</f>
        <v>0.005</v>
      </c>
      <c r="C270" s="368"/>
      <c r="D270" s="105" t="s">
        <v>223</v>
      </c>
      <c r="E270" s="105"/>
      <c r="F270" s="144">
        <f>B77</f>
        <v>118.75002</v>
      </c>
      <c r="G270" s="262"/>
      <c r="H270" s="180"/>
    </row>
    <row r="271" ht="19.5" spans="1:8">
      <c r="A271" s="245" t="s">
        <v>224</v>
      </c>
      <c r="B271" s="383">
        <f>A117</f>
        <v>0.3</v>
      </c>
      <c r="C271" s="368"/>
      <c r="D271" s="105" t="s">
        <v>224</v>
      </c>
      <c r="E271" s="105"/>
      <c r="F271" s="389">
        <f>E249*10</f>
        <v>180</v>
      </c>
      <c r="G271" s="262"/>
      <c r="H271" s="180"/>
    </row>
    <row r="272" spans="1:8">
      <c r="A272" s="245" t="s">
        <v>225</v>
      </c>
      <c r="B272" s="389">
        <f>A252</f>
        <v>99.9916666666667</v>
      </c>
      <c r="C272" s="368"/>
      <c r="D272" s="129" t="s">
        <v>220</v>
      </c>
      <c r="E272" s="129"/>
      <c r="F272" s="389">
        <f>(B263-F263)+B264</f>
        <v>984.684975439895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67">
    <mergeCell ref="A1:F1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  <mergeCell ref="D7:E18"/>
    <mergeCell ref="A16:C18"/>
  </mergeCells>
  <dataValidations count="5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53:A155">
      <formula1>#REF!</formula1>
    </dataValidation>
    <dataValidation type="list" allowBlank="1" showInputMessage="1" showErrorMessage="1" sqref="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7" workbookViewId="0">
      <selection activeCell="A37" sqref="A37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2" customWidth="true" style="239" width="18.8833333333333"/>
    <col min="13" max="13" customWidth="true" style="239" width="24.2333333333333"/>
    <col min="14" max="14" customWidth="true" style="239" width="16.7166666666667"/>
    <col min="15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 t="s">
        <v>4</v>
      </c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12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4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>
        <f>A46</f>
        <v>0</v>
      </c>
      <c r="M32" s="404" t="s">
        <v>37</v>
      </c>
      <c r="N32" s="413" t="s">
        <v>38</v>
      </c>
    </row>
    <row r="33" ht="19.5" spans="1:14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  <c r="M33" s="404"/>
      <c r="N33" s="405"/>
    </row>
    <row r="34" ht="19.5" spans="1:14">
      <c r="A34" s="268" t="s">
        <v>42</v>
      </c>
      <c r="B34" s="368"/>
      <c r="C34" s="437" t="s">
        <v>43</v>
      </c>
      <c r="D34" s="437"/>
      <c r="E34" s="368"/>
      <c r="F34" s="437">
        <f>(A34/12)*C34</f>
        <v>5000</v>
      </c>
      <c r="G34" s="437"/>
      <c r="H34" s="271"/>
      <c r="I34" s="240"/>
      <c r="J34" s="240"/>
      <c r="K34" s="240"/>
      <c r="M34" s="404" t="s">
        <v>44</v>
      </c>
      <c r="N34" s="406" t="s">
        <v>45</v>
      </c>
    </row>
    <row r="35" spans="1:14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507">
        <v>0.065</v>
      </c>
      <c r="M35" s="404"/>
      <c r="N35" s="405">
        <v>0.065</v>
      </c>
    </row>
    <row r="36" ht="19.5" spans="1:14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11</v>
      </c>
      <c r="M36" s="404" t="s">
        <v>51</v>
      </c>
      <c r="N36" s="407">
        <f>N32-N34</f>
        <v>22125</v>
      </c>
    </row>
    <row r="37" ht="19.5" spans="1:11">
      <c r="A37" s="267">
        <f>E19</f>
        <v>21600</v>
      </c>
      <c r="B37" s="368"/>
      <c r="C37" s="437" t="s">
        <v>45</v>
      </c>
      <c r="D37" s="437"/>
      <c r="E37" s="368"/>
      <c r="F37" s="388">
        <f>A37-C37</f>
        <v>20600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11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C15</f>
        <v>3600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>
        <f>IF(F43="Yes",A46,0)</f>
        <v>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12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216.666666666667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283.333333333333</v>
      </c>
      <c r="L45" s="240"/>
    </row>
    <row r="46" ht="19.5" spans="1:12">
      <c r="A46" s="268">
        <v>0</v>
      </c>
      <c r="B46" s="368"/>
      <c r="C46" s="437">
        <v>1</v>
      </c>
      <c r="D46" s="437"/>
      <c r="E46" s="368"/>
      <c r="F46" s="437">
        <v>1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1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1.66666666666667</v>
      </c>
      <c r="L48" s="240"/>
    </row>
    <row r="49" spans="1:12">
      <c r="A49" s="267">
        <f>C46+F46</f>
        <v>2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286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286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249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12</v>
      </c>
      <c r="B60" s="71">
        <f>K49</f>
        <v>286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 t="s">
        <v>4</v>
      </c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 t="s">
        <v>4</v>
      </c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 t="s">
        <v>4</v>
      </c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 t="s">
        <v>4</v>
      </c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11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11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11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11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37404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37404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37404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37404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0.0105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16269.2033287732</v>
      </c>
      <c r="C74" s="368"/>
      <c r="D74" s="368"/>
      <c r="E74" s="262"/>
      <c r="F74" s="262"/>
      <c r="G74" s="262"/>
      <c r="H74" s="180"/>
      <c r="J74" s="275" t="s">
        <v>91</v>
      </c>
      <c r="K74" s="281" t="e">
        <f>(K98*K68)-(K47*K29)</f>
        <v>#VALUE!</v>
      </c>
      <c r="L74" s="368"/>
      <c r="M74" s="368"/>
      <c r="N74" s="262"/>
      <c r="O74" s="262"/>
      <c r="P74" s="262"/>
      <c r="Q74" s="180"/>
      <c r="S74" s="275" t="s">
        <v>91</v>
      </c>
      <c r="T74" s="281" t="e">
        <f>(T98*T68)-(K47*K29)</f>
        <v>#VALUE!</v>
      </c>
      <c r="U74" s="368"/>
      <c r="V74" s="368"/>
      <c r="W74" s="262"/>
      <c r="X74" s="262"/>
      <c r="Y74" s="262"/>
      <c r="Z74" s="180"/>
      <c r="AB74" s="275" t="s">
        <v>91</v>
      </c>
      <c r="AC74" s="281" t="e">
        <f>(AC98*AC68)-(K47*K29)</f>
        <v>#VALUE!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118.75002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1870.2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187.02</v>
      </c>
      <c r="U77" s="368"/>
      <c r="V77" s="368"/>
      <c r="W77" s="262"/>
      <c r="X77" s="262"/>
      <c r="Y77" s="262"/>
      <c r="Z77" s="180"/>
      <c r="AB77" s="275" t="s">
        <v>94</v>
      </c>
      <c r="AC77" s="281" t="e">
        <f>AH167*AC76</f>
        <v>#VALUE!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286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1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286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286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20600</v>
      </c>
      <c r="C90" s="368"/>
      <c r="D90" s="368"/>
      <c r="E90" s="262"/>
      <c r="F90" s="264" t="s">
        <v>106</v>
      </c>
      <c r="G90" s="266">
        <f>F37</f>
        <v>20600</v>
      </c>
      <c r="H90" s="180"/>
      <c r="J90" s="264" t="s">
        <v>106</v>
      </c>
      <c r="K90" s="266" t="e">
        <f>P167</f>
        <v>#VALUE!</v>
      </c>
      <c r="L90" s="368"/>
      <c r="M90" s="368"/>
      <c r="N90" s="262"/>
      <c r="O90" s="262"/>
      <c r="P90" s="262"/>
      <c r="Q90" s="180"/>
      <c r="S90" s="264" t="s">
        <v>106</v>
      </c>
      <c r="T90" s="266" t="e">
        <f>Y167</f>
        <v>#VALUE!</v>
      </c>
      <c r="U90" s="368"/>
      <c r="V90" s="368"/>
      <c r="W90" s="262"/>
      <c r="X90" s="262"/>
      <c r="Y90" s="262"/>
      <c r="Z90" s="180"/>
      <c r="AB90" s="264" t="s">
        <v>106</v>
      </c>
      <c r="AC90" s="266" t="e">
        <f>AH167</f>
        <v>#VALUE!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</f>
        <v>6000</v>
      </c>
      <c r="C91" s="368"/>
      <c r="D91" s="368"/>
      <c r="E91" s="262"/>
      <c r="F91" s="245" t="s">
        <v>107</v>
      </c>
      <c r="G91" s="180">
        <f>IF(A111="YES",A43,0)</f>
        <v>6000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0.1255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0.0104583333333333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11</v>
      </c>
      <c r="C94" s="368"/>
      <c r="D94" s="368"/>
      <c r="E94" s="262"/>
      <c r="F94" s="245" t="s">
        <v>110</v>
      </c>
      <c r="G94" s="180">
        <f>IF(G91=0,(B68+B67),(B68))</f>
        <v>11</v>
      </c>
      <c r="H94" s="180"/>
      <c r="J94" s="245" t="s">
        <v>110</v>
      </c>
      <c r="K94" s="180">
        <f>IF(K91=0,(K68+K67),(K68))</f>
        <v>12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11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11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5295.78483323301</v>
      </c>
      <c r="C95" s="368"/>
      <c r="D95" s="368"/>
      <c r="E95" s="262"/>
      <c r="F95" s="245" t="s">
        <v>111</v>
      </c>
      <c r="G95" s="180">
        <f>(G91/((1+G93)^(G94+1)))</f>
        <v>5623.39108453416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10.6125560515631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10.6125560515631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10.3399216528992</v>
      </c>
      <c r="C96" s="368"/>
      <c r="D96" s="368"/>
      <c r="E96" s="262"/>
      <c r="F96" s="245" t="s">
        <v>112</v>
      </c>
      <c r="G96" s="180">
        <f>((1-(1/((1+G93)^G94)))/G93)</f>
        <v>10.6507347822959</v>
      </c>
      <c r="H96" s="180"/>
      <c r="J96" s="245" t="s">
        <v>112</v>
      </c>
      <c r="K96" s="180">
        <f>((1-(1/((1+K93)^K94)))/K93)</f>
        <v>10.5753412209172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10.3499842839909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10.3499842839909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15304.215166767</v>
      </c>
      <c r="C97" s="368"/>
      <c r="D97" s="368"/>
      <c r="E97" s="262"/>
      <c r="F97" s="245" t="s">
        <v>113</v>
      </c>
      <c r="G97" s="180">
        <f>G90-G95</f>
        <v>14976.6089154658</v>
      </c>
      <c r="H97" s="180"/>
      <c r="J97" s="245" t="s">
        <v>113</v>
      </c>
      <c r="K97" s="180" t="e">
        <f>K90-K95</f>
        <v>#VALUE!</v>
      </c>
      <c r="L97" s="368"/>
      <c r="M97" s="368"/>
      <c r="N97" s="262"/>
      <c r="O97" s="262"/>
      <c r="P97" s="262"/>
      <c r="Q97" s="180"/>
      <c r="S97" s="245" t="s">
        <v>113</v>
      </c>
      <c r="T97" s="180" t="e">
        <f>T90-T95</f>
        <v>#VALUE!</v>
      </c>
      <c r="U97" s="368"/>
      <c r="V97" s="368"/>
      <c r="W97" s="262"/>
      <c r="X97" s="262"/>
      <c r="Y97" s="262"/>
      <c r="Z97" s="180"/>
      <c r="AB97" s="245" t="s">
        <v>113</v>
      </c>
      <c r="AC97" s="180" t="e">
        <f>AC90-AC95</f>
        <v>#VALUE!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1480.10939352484</v>
      </c>
      <c r="C98" s="368"/>
      <c r="D98" s="368"/>
      <c r="E98" s="262"/>
      <c r="F98" s="245" t="s">
        <v>114</v>
      </c>
      <c r="G98" s="180">
        <f>(G97/G96)</f>
        <v>1406.1573423423</v>
      </c>
      <c r="H98" s="180"/>
      <c r="J98" s="245" t="s">
        <v>114</v>
      </c>
      <c r="K98" s="180" t="e">
        <f>(K97/K96)</f>
        <v>#VALUE!</v>
      </c>
      <c r="L98" s="368"/>
      <c r="M98" s="368"/>
      <c r="N98" s="262"/>
      <c r="O98" s="262"/>
      <c r="P98" s="262"/>
      <c r="Q98" s="180"/>
      <c r="S98" s="245" t="s">
        <v>114</v>
      </c>
      <c r="T98" s="180" t="e">
        <f>(T97/T96)</f>
        <v>#VALUE!</v>
      </c>
      <c r="U98" s="368"/>
      <c r="V98" s="368"/>
      <c r="W98" s="262"/>
      <c r="X98" s="262"/>
      <c r="Y98" s="262"/>
      <c r="Z98" s="180"/>
      <c r="AB98" s="245" t="s">
        <v>114</v>
      </c>
      <c r="AC98" s="180" t="e">
        <f>(AC97/AC96)</f>
        <v>#VALUE!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16281.2033287732</v>
      </c>
      <c r="C99" s="368"/>
      <c r="D99" s="368"/>
      <c r="E99" s="262"/>
      <c r="F99" s="245" t="s">
        <v>115</v>
      </c>
      <c r="G99" s="180">
        <f>((G98*(G94))+G86)</f>
        <v>15467.7307657653</v>
      </c>
      <c r="H99" s="180"/>
      <c r="J99" s="245" t="s">
        <v>115</v>
      </c>
      <c r="K99" s="180" t="e">
        <f>((K98*(K94))+K86)</f>
        <v>#VALUE!</v>
      </c>
      <c r="L99" s="368"/>
      <c r="M99" s="368"/>
      <c r="N99" s="262"/>
      <c r="O99" s="262"/>
      <c r="P99" s="262"/>
      <c r="Q99" s="180"/>
      <c r="S99" s="245" t="s">
        <v>115</v>
      </c>
      <c r="T99" s="180" t="e">
        <f>(T98*(T94))+T86</f>
        <v>#VALUE!</v>
      </c>
      <c r="U99" s="368"/>
      <c r="V99" s="368"/>
      <c r="W99" s="262"/>
      <c r="X99" s="262"/>
      <c r="Y99" s="262"/>
      <c r="Z99" s="180"/>
      <c r="AB99" s="245" t="s">
        <v>115</v>
      </c>
      <c r="AC99" s="180" t="e">
        <f>(AC98*(AC68))+AC86</f>
        <v>#VALUE!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 t="e">
        <f>(K99/(1-K80))*K80</f>
        <v>#VALUE!</v>
      </c>
      <c r="L100" s="368"/>
      <c r="M100" s="368"/>
      <c r="N100" s="262"/>
      <c r="O100" s="262"/>
      <c r="P100" s="262"/>
      <c r="Q100" s="180"/>
      <c r="S100" s="245" t="s">
        <v>116</v>
      </c>
      <c r="T100" s="180" t="e">
        <f>(T99/(1-T80))*T80</f>
        <v>#VALUE!</v>
      </c>
      <c r="U100" s="368"/>
      <c r="V100" s="368"/>
      <c r="W100" s="262"/>
      <c r="X100" s="262"/>
      <c r="Y100" s="262"/>
      <c r="Z100" s="180"/>
      <c r="AB100" s="245" t="s">
        <v>116</v>
      </c>
      <c r="AC100" s="180" t="e">
        <f>(AC99/(1-AC80))*AC80</f>
        <v>#VALUE!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16281.2033287732</v>
      </c>
      <c r="C101" s="368"/>
      <c r="D101" s="368"/>
      <c r="E101" s="262"/>
      <c r="F101" s="275" t="s">
        <v>117</v>
      </c>
      <c r="G101" s="281">
        <f>(G99+G100)</f>
        <v>15467.7307657653</v>
      </c>
      <c r="H101" s="180"/>
      <c r="J101" s="275" t="s">
        <v>117</v>
      </c>
      <c r="K101" s="281" t="e">
        <f>(K99+K100)</f>
        <v>#VALUE!</v>
      </c>
      <c r="L101" s="368"/>
      <c r="M101" s="368"/>
      <c r="N101" s="262"/>
      <c r="O101" s="262"/>
      <c r="P101" s="262"/>
      <c r="Q101" s="180"/>
      <c r="S101" s="275" t="s">
        <v>117</v>
      </c>
      <c r="T101" s="281" t="e">
        <f>(T99+T100)</f>
        <v>#VALUE!</v>
      </c>
      <c r="U101" s="368"/>
      <c r="V101" s="368"/>
      <c r="W101" s="262"/>
      <c r="X101" s="262"/>
      <c r="Y101" s="262"/>
      <c r="Z101" s="180"/>
      <c r="AB101" s="275" t="s">
        <v>117</v>
      </c>
      <c r="AC101" s="281" t="e">
        <f>(AC99+AC100)</f>
        <v>#VALUE!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</f>
        <v>0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1480.10939352484</v>
      </c>
      <c r="C104" s="368"/>
      <c r="D104" s="368"/>
      <c r="E104" s="262"/>
      <c r="F104" s="319" t="s">
        <v>119</v>
      </c>
      <c r="G104" s="320">
        <f>G101/(G94)</f>
        <v>1406.1573423423</v>
      </c>
      <c r="H104" s="180"/>
      <c r="J104" s="319" t="s">
        <v>119</v>
      </c>
      <c r="K104" s="320" t="e">
        <f>K101/(K94)</f>
        <v>#VALUE!</v>
      </c>
      <c r="L104" s="368"/>
      <c r="M104" s="368"/>
      <c r="N104" s="262"/>
      <c r="O104" s="262"/>
      <c r="P104" s="262"/>
      <c r="Q104" s="180"/>
      <c r="S104" s="319" t="s">
        <v>119</v>
      </c>
      <c r="T104" s="320" t="e">
        <f>T101/(T94)</f>
        <v>#VALUE!</v>
      </c>
      <c r="U104" s="368"/>
      <c r="V104" s="368"/>
      <c r="W104" s="262"/>
      <c r="X104" s="262"/>
      <c r="Y104" s="262"/>
      <c r="Z104" s="180"/>
      <c r="AB104" s="319" t="s">
        <v>119</v>
      </c>
      <c r="AC104" s="320" t="e">
        <f>AC101/(AC68)</f>
        <v>#VALUE!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1480.10939352484</v>
      </c>
      <c r="C105" s="368"/>
      <c r="D105" s="368"/>
      <c r="E105" s="262" t="s">
        <v>18</v>
      </c>
      <c r="F105" s="321" t="s">
        <v>120</v>
      </c>
      <c r="G105" s="322">
        <f>G103+G104</f>
        <v>1406.1573423423</v>
      </c>
      <c r="H105" s="180"/>
      <c r="J105" s="321" t="s">
        <v>120</v>
      </c>
      <c r="K105" s="322" t="e">
        <f>(K103+K104)</f>
        <v>#VALUE!</v>
      </c>
      <c r="L105" s="368"/>
      <c r="M105" s="368"/>
      <c r="N105" s="262"/>
      <c r="O105" s="262"/>
      <c r="P105" s="262"/>
      <c r="Q105" s="180"/>
      <c r="S105" s="321" t="s">
        <v>120</v>
      </c>
      <c r="T105" s="322" t="e">
        <f>T103+T104</f>
        <v>#VALUE!</v>
      </c>
      <c r="U105" s="368"/>
      <c r="V105" s="368"/>
      <c r="W105" s="262"/>
      <c r="X105" s="262"/>
      <c r="Y105" s="262"/>
      <c r="Z105" s="180"/>
      <c r="AB105" s="321" t="s">
        <v>120</v>
      </c>
      <c r="AC105" s="322" t="e">
        <f>AC103+AC104</f>
        <v>#VALUE!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>
        <v>0</v>
      </c>
      <c r="C108" s="262"/>
      <c r="D108" s="262">
        <v>0</v>
      </c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 t="s">
        <v>235</v>
      </c>
      <c r="C114" s="133"/>
      <c r="D114" s="133"/>
      <c r="E114" s="48" t="s">
        <v>19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0.2</v>
      </c>
      <c r="B117" s="102" t="s">
        <v>134</v>
      </c>
      <c r="C117" s="102"/>
      <c r="D117" s="102"/>
      <c r="E117" s="327">
        <f>B92</f>
        <v>0.1255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 t="s">
        <v>4</v>
      </c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235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91"/>
      <c r="C127" s="291"/>
      <c r="D127" s="291"/>
      <c r="E127" s="291"/>
      <c r="F127" s="291"/>
      <c r="G127" s="291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335">
        <f>E19</f>
        <v>21600</v>
      </c>
      <c r="C130" s="336">
        <v>19791.67</v>
      </c>
      <c r="D130" s="335">
        <f>D12</f>
        <v>0</v>
      </c>
      <c r="E130" s="336">
        <f>D130</f>
        <v>0</v>
      </c>
      <c r="F130" s="335">
        <v>0</v>
      </c>
      <c r="G130" s="336">
        <f>F130</f>
        <v>0</v>
      </c>
      <c r="H130" s="337">
        <f>H12</f>
        <v>0</v>
      </c>
      <c r="J130" s="264" t="s">
        <v>151</v>
      </c>
      <c r="K130" s="264">
        <f>B3</f>
        <v>0</v>
      </c>
      <c r="L130" s="268">
        <v>28629.17</v>
      </c>
      <c r="M130" s="264">
        <f>D3</f>
        <v>0</v>
      </c>
      <c r="N130" s="268">
        <f>M130</f>
        <v>0</v>
      </c>
      <c r="O130" s="264" t="str">
        <f>F3</f>
        <v> </v>
      </c>
      <c r="P130" s="268" t="str">
        <f>O130</f>
        <v> </v>
      </c>
      <c r="Q130" s="337">
        <f>H3</f>
        <v>0</v>
      </c>
      <c r="S130" s="264" t="s">
        <v>151</v>
      </c>
      <c r="T130" s="264">
        <f>B3</f>
        <v>0</v>
      </c>
      <c r="U130" s="268">
        <f>T130</f>
        <v>0</v>
      </c>
      <c r="V130" s="264">
        <f>D3</f>
        <v>0</v>
      </c>
      <c r="W130" s="268">
        <f>V130</f>
        <v>0</v>
      </c>
      <c r="X130" s="264" t="str">
        <f>F3</f>
        <v> </v>
      </c>
      <c r="Y130" s="268" t="str">
        <f>X130</f>
        <v> </v>
      </c>
      <c r="Z130" s="337">
        <f>H3</f>
        <v>0</v>
      </c>
      <c r="AB130" s="264" t="s">
        <v>151</v>
      </c>
      <c r="AC130" s="264">
        <f>B3</f>
        <v>0</v>
      </c>
      <c r="AD130" s="268">
        <f>AC130</f>
        <v>0</v>
      </c>
      <c r="AE130" s="264">
        <f>D3</f>
        <v>0</v>
      </c>
      <c r="AF130" s="268">
        <f>AE130</f>
        <v>0</v>
      </c>
      <c r="AG130" s="264" t="str">
        <f>F3</f>
        <v> </v>
      </c>
      <c r="AH130" s="268" t="str">
        <f>AG130</f>
        <v> </v>
      </c>
      <c r="AI130" s="337">
        <f>H3</f>
        <v>0</v>
      </c>
    </row>
    <row r="131" ht="19.5" spans="1:35">
      <c r="A131" s="245" t="s">
        <v>152</v>
      </c>
      <c r="B131" s="338">
        <v>0</v>
      </c>
      <c r="C131" s="248">
        <f>B131</f>
        <v>0</v>
      </c>
      <c r="D131" s="338">
        <v>0</v>
      </c>
      <c r="E131" s="248">
        <f>D131</f>
        <v>0</v>
      </c>
      <c r="F131" s="338">
        <v>0</v>
      </c>
      <c r="G131" s="412">
        <f>F131</f>
        <v>0</v>
      </c>
      <c r="H131" s="249"/>
      <c r="J131" s="245" t="s">
        <v>152</v>
      </c>
      <c r="K131" s="449">
        <f>B4</f>
        <v>21600</v>
      </c>
      <c r="L131" s="451">
        <v>0</v>
      </c>
      <c r="M131" s="449">
        <f>D4</f>
        <v>0</v>
      </c>
      <c r="N131" s="451">
        <f>M131</f>
        <v>0</v>
      </c>
      <c r="O131" s="449" t="str">
        <f>F4</f>
        <v> </v>
      </c>
      <c r="P131" s="451" t="str">
        <f>O131</f>
        <v> </v>
      </c>
      <c r="Q131" s="435"/>
      <c r="S131" s="245" t="s">
        <v>152</v>
      </c>
      <c r="T131" s="449">
        <f>B4</f>
        <v>21600</v>
      </c>
      <c r="U131" s="451">
        <v>0.25</v>
      </c>
      <c r="V131" s="449">
        <f>D4</f>
        <v>0</v>
      </c>
      <c r="W131" s="451">
        <f>V131</f>
        <v>0</v>
      </c>
      <c r="X131" s="449" t="str">
        <f>F4</f>
        <v> </v>
      </c>
      <c r="Y131" s="451" t="str">
        <f>X131</f>
        <v> </v>
      </c>
      <c r="Z131" s="435"/>
      <c r="AB131" s="245" t="s">
        <v>152</v>
      </c>
      <c r="AC131" s="449">
        <f>B4</f>
        <v>21600</v>
      </c>
      <c r="AD131" s="451">
        <v>0.25</v>
      </c>
      <c r="AE131" s="449">
        <f>D4</f>
        <v>0</v>
      </c>
      <c r="AF131" s="451">
        <f>AE131</f>
        <v>0</v>
      </c>
      <c r="AG131" s="449" t="str">
        <f>F4</f>
        <v> </v>
      </c>
      <c r="AH131" s="451" t="str">
        <f>AG131</f>
        <v> </v>
      </c>
      <c r="AI131" s="435"/>
    </row>
    <row r="132" ht="19.5" spans="1:35">
      <c r="A132" s="245" t="s">
        <v>153</v>
      </c>
      <c r="B132" s="340">
        <v>0</v>
      </c>
      <c r="C132" s="336">
        <f>B132</f>
        <v>0</v>
      </c>
      <c r="D132" s="340">
        <v>0</v>
      </c>
      <c r="E132" s="336">
        <f>D132</f>
        <v>0</v>
      </c>
      <c r="F132" s="340">
        <v>0</v>
      </c>
      <c r="G132" s="336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 t="str">
        <f>F5</f>
        <v> </v>
      </c>
      <c r="P132" s="268" t="str">
        <f>O132</f>
        <v> 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 t="str">
        <f>F5</f>
        <v> </v>
      </c>
      <c r="Y132" s="268" t="str">
        <f>X132</f>
        <v> 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 t="str">
        <f>F5</f>
        <v> </v>
      </c>
      <c r="AH132" s="268" t="str">
        <f>AG132</f>
        <v> </v>
      </c>
      <c r="AI132" s="180"/>
    </row>
    <row r="133" spans="1:35">
      <c r="A133" s="245" t="s">
        <v>154</v>
      </c>
      <c r="B133" s="340">
        <f>(B130*B131)+B132</f>
        <v>0</v>
      </c>
      <c r="C133" s="95">
        <f>(C130*C131/100)+C132</f>
        <v>0</v>
      </c>
      <c r="D133" s="340">
        <f>(D130*D131)+D132</f>
        <v>0</v>
      </c>
      <c r="E133" s="95">
        <f>(E130*E131/100)+E132</f>
        <v>0</v>
      </c>
      <c r="F133" s="340">
        <f>(F130*F131)+F132</f>
        <v>0</v>
      </c>
      <c r="G133" s="95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 t="e">
        <f t="shared" si="0"/>
        <v>#VALUE!</v>
      </c>
      <c r="P133" s="266" t="e">
        <f t="shared" si="0"/>
        <v>#VALUE!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0</v>
      </c>
      <c r="V133" s="245">
        <f t="shared" si="1"/>
        <v>0</v>
      </c>
      <c r="W133" s="266">
        <f t="shared" si="1"/>
        <v>0</v>
      </c>
      <c r="X133" s="245" t="e">
        <f t="shared" si="1"/>
        <v>#VALUE!</v>
      </c>
      <c r="Y133" s="266" t="e">
        <f t="shared" si="1"/>
        <v>#VALUE!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0</v>
      </c>
      <c r="AE133" s="245">
        <f t="shared" si="2"/>
        <v>0</v>
      </c>
      <c r="AF133" s="266">
        <f t="shared" si="2"/>
        <v>0</v>
      </c>
      <c r="AG133" s="245" t="e">
        <f t="shared" si="2"/>
        <v>#VALUE!</v>
      </c>
      <c r="AH133" s="266" t="e">
        <f t="shared" si="2"/>
        <v>#VALUE!</v>
      </c>
      <c r="AI133" s="180"/>
    </row>
    <row r="134" ht="19.5" spans="1:35">
      <c r="A134" s="275" t="s">
        <v>155</v>
      </c>
      <c r="B134" s="341">
        <f t="shared" ref="B134:G134" si="3">B130-B133</f>
        <v>21600</v>
      </c>
      <c r="C134" s="80">
        <f t="shared" si="3"/>
        <v>19791.67</v>
      </c>
      <c r="D134" s="341">
        <f t="shared" si="3"/>
        <v>0</v>
      </c>
      <c r="E134" s="80">
        <f t="shared" si="3"/>
        <v>0</v>
      </c>
      <c r="F134" s="341">
        <f t="shared" si="3"/>
        <v>0</v>
      </c>
      <c r="G134" s="80">
        <f t="shared" si="3"/>
        <v>0</v>
      </c>
      <c r="H134" s="281"/>
      <c r="J134" s="275" t="s">
        <v>155</v>
      </c>
      <c r="K134" s="275">
        <f t="shared" ref="K134:P134" si="4">K130-K133</f>
        <v>0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 t="e">
        <f t="shared" si="4"/>
        <v>#VALUE!</v>
      </c>
      <c r="P134" s="281" t="e">
        <f t="shared" si="4"/>
        <v>#VALUE!</v>
      </c>
      <c r="Q134" s="281"/>
      <c r="S134" s="275" t="s">
        <v>155</v>
      </c>
      <c r="T134" s="275">
        <f t="shared" ref="T134:Y134" si="5">T130-T133</f>
        <v>0</v>
      </c>
      <c r="U134" s="281">
        <f t="shared" si="5"/>
        <v>0</v>
      </c>
      <c r="V134" s="275">
        <f t="shared" si="5"/>
        <v>0</v>
      </c>
      <c r="W134" s="281">
        <f t="shared" si="5"/>
        <v>0</v>
      </c>
      <c r="X134" s="275" t="e">
        <f t="shared" si="5"/>
        <v>#VALUE!</v>
      </c>
      <c r="Y134" s="281" t="e">
        <f t="shared" si="5"/>
        <v>#VALUE!</v>
      </c>
      <c r="Z134" s="281"/>
      <c r="AB134" s="275" t="s">
        <v>155</v>
      </c>
      <c r="AC134" s="275">
        <f t="shared" ref="AC134:AH134" si="6">AC130-AC133</f>
        <v>0</v>
      </c>
      <c r="AD134" s="281">
        <f t="shared" si="6"/>
        <v>0</v>
      </c>
      <c r="AE134" s="275">
        <f t="shared" si="6"/>
        <v>0</v>
      </c>
      <c r="AF134" s="281">
        <f t="shared" si="6"/>
        <v>0</v>
      </c>
      <c r="AG134" s="275" t="e">
        <f t="shared" si="6"/>
        <v>#VALUE!</v>
      </c>
      <c r="AH134" s="281" t="e">
        <f t="shared" si="6"/>
        <v>#VALUE!</v>
      </c>
      <c r="AI134" s="281"/>
    </row>
    <row r="135" spans="1:35">
      <c r="A135" s="245"/>
      <c r="B135" s="250"/>
      <c r="C135" s="250"/>
      <c r="D135" s="250"/>
      <c r="E135" s="250"/>
      <c r="F135" s="250"/>
      <c r="G135" s="250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343"/>
      <c r="C136" s="343"/>
      <c r="D136" s="343"/>
      <c r="E136" s="343"/>
      <c r="F136" s="343"/>
      <c r="G136" s="252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250"/>
      <c r="C138" s="250"/>
      <c r="D138" s="250"/>
      <c r="E138" s="250"/>
      <c r="F138" s="250"/>
      <c r="G138" s="350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250"/>
      <c r="C143" s="250"/>
      <c r="D143" s="250"/>
      <c r="E143" s="250"/>
      <c r="F143" s="250"/>
      <c r="G143" s="350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252">
        <f>E21</f>
        <v>18000</v>
      </c>
      <c r="H144" s="354">
        <f>C134+E134+G134+H137</f>
        <v>19791.67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7">H9</f>
        <v>0</v>
      </c>
      <c r="Q144" s="354" t="e">
        <f>L134+N134+P134+Q137</f>
        <v>#VALUE!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8">H9</f>
        <v>0</v>
      </c>
      <c r="Z144" s="354" t="e">
        <f>U134+W134+Y134+Z137</f>
        <v>#VALUE!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9">H9</f>
        <v>0</v>
      </c>
      <c r="AI144" s="354" t="e">
        <f>AD134+AF134+AH134+AI137</f>
        <v>#VALUE!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5">
        <f>H19</f>
        <v>0</v>
      </c>
      <c r="H145" s="180">
        <f>G145</f>
        <v>0</v>
      </c>
      <c r="J145" s="254" t="s">
        <v>164</v>
      </c>
      <c r="K145" s="254"/>
      <c r="L145" s="254"/>
      <c r="M145" s="254"/>
      <c r="N145" s="254"/>
      <c r="O145" s="254"/>
      <c r="P145" s="392">
        <f t="shared" si="7"/>
        <v>0</v>
      </c>
      <c r="Q145" s="180">
        <f>P145</f>
        <v>0</v>
      </c>
      <c r="S145" s="254" t="s">
        <v>164</v>
      </c>
      <c r="T145" s="254"/>
      <c r="U145" s="254"/>
      <c r="V145" s="254"/>
      <c r="W145" s="254"/>
      <c r="X145" s="254"/>
      <c r="Y145" s="392">
        <f t="shared" si="8"/>
        <v>0</v>
      </c>
      <c r="Z145" s="180">
        <f>Y145</f>
        <v>0</v>
      </c>
      <c r="AB145" s="254" t="s">
        <v>164</v>
      </c>
      <c r="AC145" s="254"/>
      <c r="AD145" s="254"/>
      <c r="AE145" s="254"/>
      <c r="AF145" s="254"/>
      <c r="AG145" s="254"/>
      <c r="AH145" s="392">
        <f t="shared" si="9"/>
        <v>0</v>
      </c>
      <c r="AI145" s="180">
        <f>AH145</f>
        <v>0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180">
        <f>(G144+G145)*20%</f>
        <v>3600</v>
      </c>
      <c r="H146" s="180">
        <f>(H144+H145)*20%</f>
        <v>3958.334</v>
      </c>
      <c r="J146" s="254" t="s">
        <v>165</v>
      </c>
      <c r="K146" s="254"/>
      <c r="L146" s="254"/>
      <c r="M146" s="254"/>
      <c r="N146" s="254"/>
      <c r="O146" s="254"/>
      <c r="P146" s="392">
        <f t="shared" si="7"/>
        <v>0</v>
      </c>
      <c r="Q146" s="180" t="e">
        <f>(Q144+Q145)*20%</f>
        <v>#VALUE!</v>
      </c>
      <c r="S146" s="254" t="s">
        <v>165</v>
      </c>
      <c r="T146" s="254"/>
      <c r="U146" s="254"/>
      <c r="V146" s="254"/>
      <c r="W146" s="254"/>
      <c r="X146" s="254"/>
      <c r="Y146" s="392">
        <f t="shared" si="8"/>
        <v>0</v>
      </c>
      <c r="Z146" s="180" t="e">
        <f>(Z144+Z145)*20%</f>
        <v>#VALUE!</v>
      </c>
      <c r="AB146" s="254" t="s">
        <v>165</v>
      </c>
      <c r="AC146" s="254"/>
      <c r="AD146" s="254"/>
      <c r="AE146" s="254"/>
      <c r="AF146" s="254"/>
      <c r="AG146" s="254"/>
      <c r="AH146" s="392">
        <f t="shared" si="9"/>
        <v>0</v>
      </c>
      <c r="AI146" s="180" t="e">
        <f>(AI144+AI145)*20%</f>
        <v>#VALUE!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5">
        <f>H21</f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7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8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9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5">
        <f>H22</f>
        <v>0</v>
      </c>
      <c r="H148" s="180">
        <f>G148</f>
        <v>0</v>
      </c>
      <c r="J148" s="254" t="s">
        <v>167</v>
      </c>
      <c r="K148" s="254"/>
      <c r="L148" s="254"/>
      <c r="M148" s="254"/>
      <c r="N148" s="254"/>
      <c r="O148" s="254"/>
      <c r="P148" s="392">
        <f t="shared" si="7"/>
        <v>0</v>
      </c>
      <c r="Q148" s="180">
        <f>P148</f>
        <v>0</v>
      </c>
      <c r="S148" s="254" t="s">
        <v>167</v>
      </c>
      <c r="T148" s="254"/>
      <c r="U148" s="254"/>
      <c r="V148" s="254"/>
      <c r="W148" s="254"/>
      <c r="X148" s="254"/>
      <c r="Y148" s="392">
        <f t="shared" si="8"/>
        <v>0</v>
      </c>
      <c r="Z148" s="180">
        <f>Y148</f>
        <v>0</v>
      </c>
      <c r="AB148" s="254" t="s">
        <v>167</v>
      </c>
      <c r="AC148" s="254"/>
      <c r="AD148" s="254"/>
      <c r="AE148" s="254"/>
      <c r="AF148" s="254"/>
      <c r="AG148" s="254"/>
      <c r="AH148" s="392">
        <f t="shared" si="9"/>
        <v>0</v>
      </c>
      <c r="AI148" s="180">
        <f>AH148</f>
        <v>0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5">
        <f>H23</f>
        <v>0</v>
      </c>
      <c r="H149" s="180">
        <f>G149</f>
        <v>0</v>
      </c>
      <c r="J149" s="254" t="s">
        <v>168</v>
      </c>
      <c r="K149" s="254"/>
      <c r="L149" s="254"/>
      <c r="M149" s="254"/>
      <c r="N149" s="254"/>
      <c r="O149" s="254"/>
      <c r="P149" s="392">
        <f t="shared" si="7"/>
        <v>0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8"/>
        <v>0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9"/>
        <v>0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356">
        <f>(G144+G145+G148+G149+G146)-G147</f>
        <v>21600</v>
      </c>
      <c r="H150" s="356">
        <f>(H144+H145+H148+H149+H146)-H147</f>
        <v>23750.004</v>
      </c>
      <c r="J150" s="254" t="s">
        <v>169</v>
      </c>
      <c r="K150" s="254"/>
      <c r="L150" s="254"/>
      <c r="M150" s="254"/>
      <c r="N150" s="254"/>
      <c r="O150" s="254"/>
      <c r="P150" s="453">
        <f t="shared" si="7"/>
        <v>0</v>
      </c>
      <c r="Q150" s="356" t="e">
        <f>(Q144+Q145+Q148+Q149+Q146)-Q147</f>
        <v>#VALUE!</v>
      </c>
      <c r="S150" s="254" t="s">
        <v>169</v>
      </c>
      <c r="T150" s="254"/>
      <c r="U150" s="254"/>
      <c r="V150" s="254"/>
      <c r="W150" s="254"/>
      <c r="X150" s="254"/>
      <c r="Y150" s="453">
        <f t="shared" si="8"/>
        <v>0</v>
      </c>
      <c r="Z150" s="356" t="e">
        <f>(Z144+Z145+Z148+Z149+Z146)-Z147</f>
        <v>#VALUE!</v>
      </c>
      <c r="AB150" s="254" t="s">
        <v>169</v>
      </c>
      <c r="AC150" s="254"/>
      <c r="AD150" s="254"/>
      <c r="AE150" s="254"/>
      <c r="AF150" s="254"/>
      <c r="AG150" s="254"/>
      <c r="AH150" s="453">
        <f t="shared" si="9"/>
        <v>0</v>
      </c>
      <c r="AI150" s="356" t="e">
        <f>(AI144+AI145+AI148+AI149+AI146)-AI147</f>
        <v>#VALUE!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268">
        <f>F151</f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7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8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9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80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>
        <v>0</v>
      </c>
      <c r="C153" s="257"/>
      <c r="D153" s="257"/>
      <c r="E153" s="257"/>
      <c r="F153" s="257"/>
      <c r="G153" s="268">
        <v>0</v>
      </c>
      <c r="H153" s="268"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268"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268"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359">
        <f>G150-((G153*1.2)+(G154*1.2)+(G155*1.2)+(G151*1.2))</f>
        <v>21600</v>
      </c>
      <c r="H156" s="359">
        <f>H150-((H153*1.2)+(H154*1.2)+(H155*1.2)+(H151*1.2))</f>
        <v>23750.004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0</v>
      </c>
      <c r="Q156" s="359" t="e">
        <f>Q150-((Q153*1.2)+(Q154*1.2)+(Q155*1.2)+(Q151*1.2))</f>
        <v>#VALUE!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0</v>
      </c>
      <c r="Z156" s="359" t="e">
        <f>Z150-((Z153*1.2)+(Z154*1.2)+(Z155*1.2)+(Z151*1.2))</f>
        <v>#VALUE!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0</v>
      </c>
      <c r="AI156" s="359" t="e">
        <f>AI150-((AI153*1.2)+(AI154*1.2)+(AI155*1.2)+(AI151*1.2))</f>
        <v>#VALUE!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5"/>
      <c r="H157" s="268">
        <f>((H156-G156)-(H146-G146))+((I155-I154)*0.2)</f>
        <v>1791.67</v>
      </c>
      <c r="I157" s="239">
        <f>(H157-G90)/1.2</f>
        <v>-15673.6083333333</v>
      </c>
      <c r="J157" s="254" t="s">
        <v>174</v>
      </c>
      <c r="K157" s="254"/>
      <c r="L157" s="254"/>
      <c r="M157" s="254"/>
      <c r="N157" s="254"/>
      <c r="O157" s="254"/>
      <c r="P157" s="392"/>
      <c r="Q157" s="268" t="e">
        <f>Q156-P156</f>
        <v>#VALUE!</v>
      </c>
      <c r="S157" s="254" t="s">
        <v>174</v>
      </c>
      <c r="T157" s="254"/>
      <c r="U157" s="254"/>
      <c r="V157" s="254"/>
      <c r="W157" s="254"/>
      <c r="X157" s="254"/>
      <c r="Y157" s="392"/>
      <c r="Z157" s="268" t="e">
        <f>Z156-Y156</f>
        <v>#VALUE!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 t="e">
        <f>AI156-AH156</f>
        <v>#VALUE!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23750.004</v>
      </c>
      <c r="H167" s="362"/>
      <c r="J167" s="361" t="s">
        <v>181</v>
      </c>
      <c r="K167" s="368"/>
      <c r="L167" s="368"/>
      <c r="M167" s="262"/>
      <c r="N167" s="368"/>
      <c r="O167" s="262"/>
      <c r="P167" s="362" t="e">
        <f>Q156-P163-P166</f>
        <v>#VALUE!</v>
      </c>
      <c r="Q167" s="362"/>
      <c r="S167" s="361" t="s">
        <v>181</v>
      </c>
      <c r="T167" s="368"/>
      <c r="U167" s="368"/>
      <c r="V167" s="262"/>
      <c r="W167" s="368"/>
      <c r="X167" s="262"/>
      <c r="Y167" s="362" t="e">
        <f>Z156-Y163-Y166</f>
        <v>#VALUE!</v>
      </c>
      <c r="Z167" s="362"/>
      <c r="AB167" s="361" t="s">
        <v>181</v>
      </c>
      <c r="AC167" s="368"/>
      <c r="AD167" s="368"/>
      <c r="AE167" s="262"/>
      <c r="AF167" s="368"/>
      <c r="AG167" s="262"/>
      <c r="AH167" s="362" t="e">
        <f>AI156-AH163-AH166</f>
        <v>#VALUE!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199.99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6000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1480.10939352484</v>
      </c>
      <c r="B176" s="126">
        <f>B103</f>
        <v>0</v>
      </c>
      <c r="C176" s="365"/>
      <c r="D176" s="365"/>
      <c r="E176" s="126">
        <f>B105</f>
        <v>1480.10939352484</v>
      </c>
      <c r="F176" s="262"/>
      <c r="G176" s="262">
        <f>ROUND(G104,2)</f>
        <v>1406.16</v>
      </c>
      <c r="H176" s="180"/>
      <c r="J176" s="366" t="e">
        <f>K104</f>
        <v>#VALUE!</v>
      </c>
      <c r="K176" s="458">
        <f>K103</f>
        <v>0</v>
      </c>
      <c r="L176" s="457"/>
      <c r="M176" s="457"/>
      <c r="N176" s="458" t="e">
        <f>K105</f>
        <v>#VALUE!</v>
      </c>
      <c r="O176" s="262"/>
      <c r="P176" s="262"/>
      <c r="Q176" s="180"/>
      <c r="S176" s="366" t="e">
        <f>T104</f>
        <v>#VALUE!</v>
      </c>
      <c r="T176" s="458">
        <f>T103</f>
        <v>0</v>
      </c>
      <c r="U176" s="457"/>
      <c r="V176" s="457"/>
      <c r="W176" s="458" t="e">
        <f>T105</f>
        <v>#VALUE!</v>
      </c>
      <c r="X176" s="262"/>
      <c r="Y176" s="262"/>
      <c r="Z176" s="180"/>
      <c r="AB176" s="366" t="e">
        <f>AC104</f>
        <v>#VALUE!</v>
      </c>
      <c r="AC176" s="458">
        <f>AC103</f>
        <v>0</v>
      </c>
      <c r="AD176" s="457"/>
      <c r="AE176" s="457"/>
      <c r="AF176" s="458" t="e">
        <f>AC105</f>
        <v>#VALUE!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 t="str">
        <f>K29</f>
        <v>12</v>
      </c>
      <c r="B179" s="42" t="str">
        <f>K30</f>
        <v>5000</v>
      </c>
      <c r="C179" s="367"/>
      <c r="D179" s="262"/>
      <c r="E179" s="274">
        <v>6000</v>
      </c>
      <c r="F179" s="262"/>
      <c r="G179" s="262"/>
      <c r="H179" s="180"/>
      <c r="J179" s="270" t="str">
        <f>K29</f>
        <v>12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12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12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19791.67</v>
      </c>
      <c r="B182" s="133">
        <f>H146</f>
        <v>3958.334</v>
      </c>
      <c r="C182" s="272"/>
      <c r="D182" s="262"/>
      <c r="E182" s="274">
        <f>H148+H149</f>
        <v>0</v>
      </c>
      <c r="F182" s="262"/>
      <c r="G182" s="262"/>
      <c r="H182" s="180"/>
      <c r="J182" s="132" t="e">
        <f>Q150-Q146-Q148-Q149</f>
        <v>#VALUE!</v>
      </c>
      <c r="K182" s="127" t="e">
        <f>Q146</f>
        <v>#VALUE!</v>
      </c>
      <c r="L182" s="388"/>
      <c r="M182" s="262"/>
      <c r="N182" s="53">
        <f>Q148+Q149</f>
        <v>55</v>
      </c>
      <c r="O182" s="262"/>
      <c r="P182" s="262"/>
      <c r="Q182" s="180"/>
      <c r="S182" s="132" t="e">
        <f>Z150-Z146-Z148-Z149</f>
        <v>#VALUE!</v>
      </c>
      <c r="T182" s="127" t="e">
        <f>Z146</f>
        <v>#VALUE!</v>
      </c>
      <c r="U182" s="388"/>
      <c r="V182" s="262"/>
      <c r="W182" s="53">
        <f>Z148+Z149</f>
        <v>55</v>
      </c>
      <c r="X182" s="262"/>
      <c r="Y182" s="262"/>
      <c r="Z182" s="180"/>
      <c r="AB182" s="132" t="e">
        <f>AI150-AI146-AI148-AI149</f>
        <v>#VALUE!</v>
      </c>
      <c r="AC182" s="127" t="e">
        <f>AI146</f>
        <v>#VALUE!</v>
      </c>
      <c r="AD182" s="388"/>
      <c r="AE182" s="262"/>
      <c r="AF182" s="53">
        <f>AI148+AI149</f>
        <v>55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23750.004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 t="e">
        <f>Q150</f>
        <v>#VALUE!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 t="e">
        <f>Z150</f>
        <v>#VALUE!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 t="e">
        <f>AI150</f>
        <v>#VALUE!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23750.004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 t="e">
        <f>J185-J188-K188</f>
        <v>#VALUE!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 t="e">
        <f>S185-S188-T188</f>
        <v>#VALUE!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 t="e">
        <f>AB185-AB188-AC188</f>
        <v>#VALUE!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-1468.80067122677</v>
      </c>
      <c r="B191" s="133" t="str">
        <f>B123</f>
        <v>199.99</v>
      </c>
      <c r="C191" s="133"/>
      <c r="D191" s="262"/>
      <c r="E191" s="133">
        <f>E188+A191+(B191*1.2)+A194</f>
        <v>22531.1913287732</v>
      </c>
      <c r="F191" s="262"/>
      <c r="G191" s="262"/>
      <c r="H191" s="141"/>
      <c r="J191" s="134" t="e">
        <f>(J176*K68)+N194-N188-J194</f>
        <v>#VALUE!</v>
      </c>
      <c r="K191" s="127">
        <f>K123</f>
        <v>239.99</v>
      </c>
      <c r="L191" s="127"/>
      <c r="M191" s="262"/>
      <c r="N191" s="127" t="e">
        <f>N188+J191+K191+J194</f>
        <v>#VALUE!</v>
      </c>
      <c r="O191" s="262"/>
      <c r="P191" s="262"/>
      <c r="Q191" s="141"/>
      <c r="S191" s="134" t="e">
        <f>(S176*T68)+W194-W188-S194</f>
        <v>#VALUE!</v>
      </c>
      <c r="T191" s="127">
        <f>T123</f>
        <v>199.99</v>
      </c>
      <c r="U191" s="127"/>
      <c r="V191" s="262"/>
      <c r="W191" s="127" t="e">
        <f>W188+S191+T191+S194</f>
        <v>#VALUE!</v>
      </c>
      <c r="X191" s="262"/>
      <c r="Y191" s="262"/>
      <c r="Z191" s="141"/>
      <c r="AB191" s="134" t="e">
        <f>(AB176*AC68)+AF194-AF188-AB194</f>
        <v>#VALUE!</v>
      </c>
      <c r="AC191" s="127">
        <f>AC123</f>
        <v>239.99</v>
      </c>
      <c r="AD191" s="127"/>
      <c r="AE191" s="262"/>
      <c r="AF191" s="127" t="e">
        <f>AF188+AB191+AC191+AB194</f>
        <v>#VALUE!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A188+B191*1.2</f>
        <v>239.988</v>
      </c>
      <c r="C194" s="133"/>
      <c r="D194" s="262"/>
      <c r="E194" s="133">
        <f>E179+A194</f>
        <v>6010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</f>
        <v>7.4808</v>
      </c>
      <c r="B197" s="133">
        <f>(G167*B76)/1.2</f>
        <v>98.95835</v>
      </c>
      <c r="C197" s="250"/>
      <c r="D197" s="250"/>
      <c r="E197" s="133">
        <f>K55*A117*0.1</f>
        <v>0</v>
      </c>
      <c r="F197" s="262"/>
      <c r="G197" s="262"/>
      <c r="H197" s="180"/>
      <c r="J197" s="134">
        <f>IF(N114="YES",H15*0.000002,0)</f>
        <v>0</v>
      </c>
      <c r="K197" s="127" t="e">
        <f>(P167*K76)/1.2</f>
        <v>#VALUE!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 t="e">
        <f>(Y167*T76)/1.2</f>
        <v>#VALUE!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 t="e">
        <f>(AH167*AC76)/1.2</f>
        <v>#VALUE!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B191-100</f>
        <v>99.99</v>
      </c>
      <c r="B200" s="133">
        <f>B197+E197+A200</f>
        <v>198.94835</v>
      </c>
      <c r="C200" s="250"/>
      <c r="D200" s="250"/>
      <c r="E200" s="133">
        <f>H157</f>
        <v>1791.67</v>
      </c>
      <c r="F200" s="262"/>
      <c r="G200" s="262"/>
      <c r="H200" s="180"/>
      <c r="J200" s="134">
        <f>K194-100</f>
        <v>1139.99</v>
      </c>
      <c r="K200" s="127" t="e">
        <f>K197+N197+J200</f>
        <v>#VALUE!</v>
      </c>
      <c r="L200" s="368"/>
      <c r="M200" s="368"/>
      <c r="N200" s="127" t="e">
        <f>Q157</f>
        <v>#VALUE!</v>
      </c>
      <c r="O200" s="262"/>
      <c r="P200" s="262"/>
      <c r="Q200" s="180"/>
      <c r="S200" s="134">
        <f>T194-100</f>
        <v>1099.99</v>
      </c>
      <c r="T200" s="127" t="e">
        <f>T197+W197+S200</f>
        <v>#VALUE!</v>
      </c>
      <c r="U200" s="368"/>
      <c r="V200" s="368"/>
      <c r="W200" s="127" t="e">
        <f>Z157</f>
        <v>#VALUE!</v>
      </c>
      <c r="X200" s="368"/>
      <c r="Y200" s="368"/>
      <c r="Z200" s="180"/>
      <c r="AB200" s="134">
        <f>AC194-100</f>
        <v>1139.99</v>
      </c>
      <c r="AC200" s="127" t="e">
        <f>AC197+AF197+AB200</f>
        <v>#VALUE!</v>
      </c>
      <c r="AD200" s="368"/>
      <c r="AE200" s="368"/>
      <c r="AF200" s="127" t="e">
        <f>AI157</f>
        <v>#VALUE!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12</v>
      </c>
      <c r="B206" s="71">
        <f>B105</f>
        <v>1480.10939352484</v>
      </c>
      <c r="C206" s="71"/>
      <c r="D206" s="71"/>
      <c r="E206" s="262"/>
      <c r="F206" s="262"/>
      <c r="G206" s="262"/>
      <c r="H206" s="180"/>
      <c r="J206" s="289" t="str">
        <f>K29</f>
        <v>12</v>
      </c>
      <c r="K206" s="71" t="e">
        <f>K105</f>
        <v>#VALUE!</v>
      </c>
      <c r="L206" s="71"/>
      <c r="M206" s="71"/>
      <c r="N206" s="262"/>
      <c r="O206" s="262"/>
      <c r="P206" s="262"/>
      <c r="Q206" s="180"/>
      <c r="S206" s="289" t="str">
        <f>K29</f>
        <v>12</v>
      </c>
      <c r="T206" s="71" t="e">
        <f>T105</f>
        <v>#VALUE!</v>
      </c>
      <c r="U206" s="71"/>
      <c r="V206" s="71"/>
      <c r="W206" s="262"/>
      <c r="X206" s="262"/>
      <c r="Y206" s="262"/>
      <c r="Z206" s="180"/>
      <c r="AB206" s="289" t="str">
        <f>K29</f>
        <v>12</v>
      </c>
      <c r="AC206" s="71" t="e">
        <f>AC105</f>
        <v>#VALUE!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(G176*B68)+E194-E188-A194</f>
        <v>-2282.244</v>
      </c>
      <c r="B210" s="272">
        <f>E188+A210+(B191*1.2)+A194</f>
        <v>21717.748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12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1480.10939352484</v>
      </c>
      <c r="B221" s="126">
        <f>B176</f>
        <v>0</v>
      </c>
      <c r="C221" s="365"/>
      <c r="D221" s="365"/>
      <c r="E221" s="126">
        <f>E176</f>
        <v>1480.10939352484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19791.67</v>
      </c>
      <c r="B224" s="133">
        <f>B182</f>
        <v>3958.334</v>
      </c>
      <c r="C224" s="272"/>
      <c r="D224" s="291"/>
      <c r="E224" s="274">
        <f>E182</f>
        <v>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23750.004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23750.004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-1468.80067122677</v>
      </c>
      <c r="B233" s="133" t="str">
        <f>B191</f>
        <v>199.99</v>
      </c>
      <c r="C233" s="133"/>
      <c r="D233" s="291"/>
      <c r="E233" s="133">
        <f>E191</f>
        <v>22531.1913287732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239.988</v>
      </c>
      <c r="C236" s="133"/>
      <c r="D236" s="291"/>
      <c r="E236" s="133">
        <f>B68</f>
        <v>11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1480.10939352484</v>
      </c>
      <c r="B239" s="133">
        <f>B176</f>
        <v>0</v>
      </c>
      <c r="C239" s="272"/>
      <c r="D239" s="272"/>
      <c r="E239" s="133">
        <f>E176</f>
        <v>1480.10939352484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6000</v>
      </c>
      <c r="B242" s="133">
        <f>E194</f>
        <v>6010</v>
      </c>
      <c r="C242" s="250"/>
      <c r="D242" s="250"/>
      <c r="E242" s="133">
        <f>J18*0.000006*100</f>
        <v>22.4424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7.4808</v>
      </c>
      <c r="B245" s="133">
        <f>E242+A245</f>
        <v>29.9232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1791.67</v>
      </c>
      <c r="B249" s="133">
        <f>B197</f>
        <v>98.95835</v>
      </c>
      <c r="C249" s="250"/>
      <c r="D249" s="250"/>
      <c r="E249" s="133">
        <f>E197</f>
        <v>0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</v>
      </c>
      <c r="B252" s="133">
        <f>B249+E249+A252+A249</f>
        <v>1990.61835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0.1255</v>
      </c>
      <c r="G262" s="262"/>
      <c r="H262" s="180"/>
    </row>
    <row r="263" spans="1:8">
      <c r="A263" s="370" t="s">
        <v>217</v>
      </c>
      <c r="B263" s="378">
        <f>(E191-B191)-(B210-B191-A194)</f>
        <v>823.443328773228</v>
      </c>
      <c r="C263" s="376"/>
      <c r="D263" s="377" t="s">
        <v>218</v>
      </c>
      <c r="E263" s="377"/>
      <c r="F263" s="378">
        <f>F270+F276+F278+B279+B280</f>
        <v>118.75002</v>
      </c>
      <c r="G263" s="262"/>
      <c r="H263" s="180"/>
    </row>
    <row r="264" spans="1:8">
      <c r="A264" s="370" t="s">
        <v>219</v>
      </c>
      <c r="B264" s="378">
        <f>F271+B272</f>
        <v>99.99</v>
      </c>
      <c r="C264" s="376"/>
      <c r="D264" s="377" t="s">
        <v>220</v>
      </c>
      <c r="E264" s="377"/>
      <c r="F264" s="378">
        <f>(B263-F263)+B264</f>
        <v>804.683308773228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0.1255</v>
      </c>
      <c r="C269" s="388"/>
      <c r="D269" s="105" t="s">
        <v>217</v>
      </c>
      <c r="E269" s="105"/>
      <c r="F269" s="389">
        <f>B263</f>
        <v>823.443328773228</v>
      </c>
      <c r="G269" s="262"/>
      <c r="H269" s="180"/>
    </row>
    <row r="270" ht="19.5" spans="1:8">
      <c r="A270" s="245" t="s">
        <v>223</v>
      </c>
      <c r="B270" s="387">
        <f>B76</f>
        <v>0.005</v>
      </c>
      <c r="C270" s="368"/>
      <c r="D270" s="105" t="s">
        <v>223</v>
      </c>
      <c r="E270" s="105"/>
      <c r="F270" s="144">
        <f>B77</f>
        <v>118.75002</v>
      </c>
      <c r="G270" s="262"/>
      <c r="H270" s="180"/>
    </row>
    <row r="271" ht="19.5" spans="1:8">
      <c r="A271" s="245" t="s">
        <v>224</v>
      </c>
      <c r="B271" s="383">
        <f>A117</f>
        <v>0.2</v>
      </c>
      <c r="C271" s="368"/>
      <c r="D271" s="105" t="s">
        <v>224</v>
      </c>
      <c r="E271" s="105"/>
      <c r="F271" s="389">
        <f>E249*10</f>
        <v>0</v>
      </c>
      <c r="G271" s="262"/>
      <c r="H271" s="180"/>
    </row>
    <row r="272" spans="1:8">
      <c r="A272" s="245" t="s">
        <v>225</v>
      </c>
      <c r="B272" s="389">
        <f>A252</f>
        <v>99.99</v>
      </c>
      <c r="C272" s="368"/>
      <c r="D272" s="129" t="s">
        <v>220</v>
      </c>
      <c r="E272" s="129"/>
      <c r="F272" s="389">
        <f>(B263-F263)+B264</f>
        <v>804.683308773228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67">
    <mergeCell ref="A1:F1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  <mergeCell ref="D7:E18"/>
    <mergeCell ref="A16:C18"/>
  </mergeCells>
  <dataValidations count="5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53:A155">
      <formula1>#REF!</formula1>
    </dataValidation>
    <dataValidation type="list" allowBlank="1" showInputMessage="1" showErrorMessage="1" sqref="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3" workbookViewId="0">
      <selection activeCell="K32" sqref="K32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379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20600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500.363636363636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414" t="s">
        <v>4</v>
      </c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500.363636363636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37404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18410.7869299442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222.6562875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20600</v>
      </c>
      <c r="C81" s="250"/>
      <c r="D81" s="250"/>
      <c r="E81" s="291"/>
      <c r="F81" s="264" t="s">
        <v>106</v>
      </c>
      <c r="G81" s="266">
        <f>B81</f>
        <v>20600</v>
      </c>
      <c r="H81" s="180"/>
    </row>
    <row r="82" spans="1:8">
      <c r="A82" s="245" t="s">
        <v>107</v>
      </c>
      <c r="B82" s="180">
        <f>IF(A111="YES",D41,0)</f>
        <v>6000</v>
      </c>
      <c r="C82" s="250"/>
      <c r="D82" s="250"/>
      <c r="E82" s="291"/>
      <c r="F82" s="245" t="s">
        <v>107</v>
      </c>
      <c r="G82" s="180">
        <f>IF(A111="YES",D41,0)</f>
        <v>6000</v>
      </c>
      <c r="H82" s="180"/>
    </row>
    <row r="83" spans="1:29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4379.8532592462</v>
      </c>
      <c r="C86" s="250">
        <f>(B82/((1+B84)^(B85+1)))</f>
        <v>4379.8532592462</v>
      </c>
      <c r="D86" s="250"/>
      <c r="E86" s="291"/>
      <c r="F86" s="245" t="s">
        <v>111</v>
      </c>
      <c r="G86" s="180">
        <f>(G82/((1+G84)^(G85+1)))</f>
        <v>5020.31079273804</v>
      </c>
      <c r="H86" s="180"/>
    </row>
    <row r="87" spans="1:8">
      <c r="A87" s="245" t="s">
        <v>112</v>
      </c>
      <c r="B87" s="180">
        <f>((1-(1/((1+B84)^B85)))/B84)</f>
        <v>27.4464895133802</v>
      </c>
      <c r="C87" s="250">
        <f>((1-(1/((1+B84)^B85)))/B84)</f>
        <v>27.4464895133802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16220.1467407538</v>
      </c>
      <c r="C88" s="250">
        <f>B81-B86</f>
        <v>16220.1467407538</v>
      </c>
      <c r="D88" s="250"/>
      <c r="E88" s="291"/>
      <c r="F88" s="245" t="s">
        <v>113</v>
      </c>
      <c r="G88" s="180">
        <f>G81-G86</f>
        <v>15579.689207262</v>
      </c>
      <c r="H88" s="180"/>
    </row>
    <row r="89" spans="1:8">
      <c r="A89" s="245" t="s">
        <v>114</v>
      </c>
      <c r="B89" s="180">
        <f>(B88/B87)</f>
        <v>590.973455197119</v>
      </c>
      <c r="C89" s="250">
        <f>(B88/B87)</f>
        <v>590.973455197119</v>
      </c>
      <c r="D89" s="250"/>
      <c r="E89" s="291"/>
      <c r="F89" s="245" t="s">
        <v>114</v>
      </c>
      <c r="G89" s="180">
        <f>(G88/G87)</f>
        <v>531.592757536213</v>
      </c>
      <c r="H89" s="180"/>
    </row>
    <row r="90" spans="1:8">
      <c r="A90" s="245" t="s">
        <v>115</v>
      </c>
      <c r="B90" s="180">
        <f>((B89*(B85))+B77)</f>
        <v>18911.1505663078</v>
      </c>
      <c r="C90" s="250"/>
      <c r="D90" s="250"/>
      <c r="E90" s="291"/>
      <c r="F90" s="245" t="s">
        <v>115</v>
      </c>
      <c r="G90" s="180">
        <f>((G89*(G85))+G77)</f>
        <v>17010.9682411588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18911.1505663078</v>
      </c>
      <c r="C92" s="250"/>
      <c r="D92" s="250"/>
      <c r="E92" s="291"/>
      <c r="F92" s="275" t="s">
        <v>117</v>
      </c>
      <c r="G92" s="281">
        <f>(G90+G91)</f>
        <v>17010.9682411588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IF(B38="YES",((H36/B85)*(1+A108)*1.2),"0")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590.973455197119</v>
      </c>
      <c r="C95" s="250"/>
      <c r="D95" s="250"/>
      <c r="E95" s="291"/>
      <c r="F95" s="319" t="s">
        <v>119</v>
      </c>
      <c r="G95" s="320">
        <f>G92/(G85)</f>
        <v>531.592757536213</v>
      </c>
      <c r="H95" s="180"/>
    </row>
    <row r="96" ht="19.5" spans="1:8">
      <c r="A96" s="321" t="s">
        <v>120</v>
      </c>
      <c r="B96" s="322">
        <f>B94+B95</f>
        <v>590.973455197119</v>
      </c>
      <c r="C96" s="250"/>
      <c r="D96" s="250"/>
      <c r="E96" s="291"/>
      <c r="F96" s="321" t="s">
        <v>120</v>
      </c>
      <c r="G96" s="322">
        <f>G94+G95</f>
        <v>531.592757536213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0.115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21600</v>
      </c>
      <c r="C121" s="336">
        <v>19791.67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21600</v>
      </c>
      <c r="C125" s="80">
        <f t="shared" si="0"/>
        <v>19791.67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18000</v>
      </c>
      <c r="H135" s="354">
        <f>C125+E125+G125+H128</f>
        <v>19791.67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21600</v>
      </c>
      <c r="H147" s="359">
        <f>H141-((H144*1.2)+(H145*1.2)+(H146*1.2)+(H142*1.2))</f>
        <v>23750.004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-15673.6083333333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23750.004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590.973455197119</v>
      </c>
      <c r="B167" s="126" t="str">
        <f>B94</f>
        <v>0</v>
      </c>
      <c r="C167" s="365"/>
      <c r="D167" s="365"/>
      <c r="E167" s="126">
        <f>B96</f>
        <v>590.973455197119</v>
      </c>
      <c r="F167" s="262"/>
      <c r="G167" s="262">
        <f>ROUND(G95,2)</f>
        <v>531.59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>
        <f>B29</f>
        <v>12345</v>
      </c>
      <c r="B170" s="42">
        <f>B30</f>
        <v>0</v>
      </c>
      <c r="C170" s="367"/>
      <c r="D170" s="262"/>
      <c r="E170" s="274">
        <v>6000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23750.004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23750.004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1161.14656630781</v>
      </c>
      <c r="B182" s="133" t="str">
        <f>B114</f>
        <v>239.99</v>
      </c>
      <c r="C182" s="133"/>
      <c r="D182" s="262"/>
      <c r="E182" s="133">
        <f>E179+A182+B182+A185</f>
        <v>25161.1405663078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6010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8.97696</v>
      </c>
      <c r="B188" s="133">
        <f>(G158*B67)/1.2</f>
        <v>185.54690625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285.538572916667</v>
      </c>
      <c r="C191" s="250"/>
      <c r="D191" s="250"/>
      <c r="E191" s="133">
        <f>H148</f>
        <v>1791.67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590.973455197119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-739.123999999996</v>
      </c>
      <c r="B201" s="272">
        <f>E179+A201+B182+A185</f>
        <v>23260.87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590.973455197119</v>
      </c>
      <c r="B212" s="126" t="str">
        <f>B167</f>
        <v>0</v>
      </c>
      <c r="C212" s="365"/>
      <c r="D212" s="365"/>
      <c r="E212" s="126">
        <f>E167</f>
        <v>590.973455197119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23750.004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1161.14656630781</v>
      </c>
      <c r="B224" s="133" t="str">
        <f>B182</f>
        <v>239.99</v>
      </c>
      <c r="C224" s="133"/>
      <c r="D224" s="291"/>
      <c r="E224" s="133">
        <f>E182</f>
        <v>25161.1405663078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590.973455197119</v>
      </c>
      <c r="B230" s="133" t="str">
        <f>B167</f>
        <v>0</v>
      </c>
      <c r="C230" s="272"/>
      <c r="D230" s="272"/>
      <c r="E230" s="133">
        <f>E167</f>
        <v>590.973455197119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6000</v>
      </c>
      <c r="B233" s="133">
        <f>E185</f>
        <v>6010</v>
      </c>
      <c r="C233" s="250"/>
      <c r="D233" s="250"/>
      <c r="E233" s="133">
        <f>J18*0.000006*100*1.2</f>
        <v>26.93088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8.97696</v>
      </c>
      <c r="B236" s="133">
        <f>E233+A236</f>
        <v>35.90784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B188</f>
        <v>185.54690625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2077.20857291666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93">
        <f>(E182-B182)-(B201-B182-A185)</f>
        <v>1910.27056630781</v>
      </c>
      <c r="C254" s="376"/>
      <c r="D254" s="377" t="s">
        <v>218</v>
      </c>
      <c r="E254" s="377"/>
      <c r="F254" s="378">
        <f>F261+F267+F269+B270+B271</f>
        <v>222.6562875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1787.60594547448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B254</f>
        <v>1910.27056630781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222.6562875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1787.60594547448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23" workbookViewId="0">
      <selection activeCell="F260" sqref="F260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379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 t="s">
        <v>249</v>
      </c>
      <c r="J36" s="404" t="s">
        <v>51</v>
      </c>
      <c r="K36" s="407">
        <f>K32-K34</f>
        <v>20600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37404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15780.2033287732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118.75002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20600</v>
      </c>
      <c r="C81" s="250"/>
      <c r="D81" s="250"/>
      <c r="E81" s="291"/>
      <c r="F81" s="264" t="s">
        <v>106</v>
      </c>
      <c r="G81" s="266">
        <f>B81</f>
        <v>20600</v>
      </c>
      <c r="H81" s="180"/>
    </row>
    <row r="82" spans="1:8">
      <c r="A82" s="245" t="s">
        <v>107</v>
      </c>
      <c r="B82" s="180">
        <f>IF(A111="YES",D41,0)</f>
        <v>6000</v>
      </c>
      <c r="C82" s="250"/>
      <c r="D82" s="250"/>
      <c r="E82" s="291"/>
      <c r="F82" s="245" t="s">
        <v>107</v>
      </c>
      <c r="G82" s="180">
        <f>IF(A111="YES",D41,0)</f>
        <v>6000</v>
      </c>
      <c r="H82" s="180"/>
    </row>
    <row r="83" spans="1:29">
      <c r="A83" s="245" t="s">
        <v>108</v>
      </c>
      <c r="B83" s="317">
        <f>B62+B63+B64</f>
        <v>0.1255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0.0104583333333333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5295.78483323301</v>
      </c>
      <c r="C86" s="250">
        <f>(B82/((1+B84)^(B85+1)))</f>
        <v>5295.78483323301</v>
      </c>
      <c r="D86" s="250"/>
      <c r="E86" s="291"/>
      <c r="F86" s="245" t="s">
        <v>111</v>
      </c>
      <c r="G86" s="180">
        <f>(G82/((1+G84)^(G85+1)))</f>
        <v>5623.39108453416</v>
      </c>
      <c r="H86" s="180"/>
    </row>
    <row r="87" spans="1:8">
      <c r="A87" s="245" t="s">
        <v>112</v>
      </c>
      <c r="B87" s="180">
        <f>((1-(1/((1+B84)^B85)))/B84)</f>
        <v>10.3399216528992</v>
      </c>
      <c r="C87" s="250">
        <f>((1-(1/((1+B84)^B85)))/B84)</f>
        <v>10.3399216528992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15304.215166767</v>
      </c>
      <c r="C88" s="250">
        <f>B81-B86</f>
        <v>15304.215166767</v>
      </c>
      <c r="D88" s="250"/>
      <c r="E88" s="291"/>
      <c r="F88" s="245" t="s">
        <v>113</v>
      </c>
      <c r="G88" s="180">
        <f>G81-G86</f>
        <v>14976.6089154658</v>
      </c>
      <c r="H88" s="180"/>
    </row>
    <row r="89" spans="1:8">
      <c r="A89" s="245" t="s">
        <v>114</v>
      </c>
      <c r="B89" s="180">
        <f>(B88/B87)</f>
        <v>1480.10939352484</v>
      </c>
      <c r="C89" s="250">
        <f>(B88/B87)</f>
        <v>1480.10939352484</v>
      </c>
      <c r="D89" s="250"/>
      <c r="E89" s="291"/>
      <c r="F89" s="245" t="s">
        <v>114</v>
      </c>
      <c r="G89" s="180">
        <f>(G88/G87)</f>
        <v>1406.1573423423</v>
      </c>
      <c r="H89" s="180"/>
    </row>
    <row r="90" spans="1:8">
      <c r="A90" s="245" t="s">
        <v>115</v>
      </c>
      <c r="B90" s="180">
        <f>((B89*(B85))+B77)</f>
        <v>16281.2033287732</v>
      </c>
      <c r="C90" s="250"/>
      <c r="D90" s="250"/>
      <c r="E90" s="291"/>
      <c r="F90" s="245" t="s">
        <v>115</v>
      </c>
      <c r="G90" s="180">
        <f>((G89*(G85))+G77)</f>
        <v>15467.7307657653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16281.2033287732</v>
      </c>
      <c r="C92" s="250"/>
      <c r="D92" s="250"/>
      <c r="E92" s="291"/>
      <c r="F92" s="275" t="s">
        <v>117</v>
      </c>
      <c r="G92" s="281">
        <f>(G90+G91)</f>
        <v>15467.7307657653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1480.10939352484</v>
      </c>
      <c r="C95" s="250"/>
      <c r="D95" s="250"/>
      <c r="E95" s="291"/>
      <c r="F95" s="319" t="s">
        <v>119</v>
      </c>
      <c r="G95" s="320">
        <f>G92/(G85)</f>
        <v>1406.1573423423</v>
      </c>
      <c r="H95" s="180"/>
    </row>
    <row r="96" ht="19.5" spans="1:8">
      <c r="A96" s="321" t="s">
        <v>120</v>
      </c>
      <c r="B96" s="322">
        <f>B94+B95</f>
        <v>1480.10939352484</v>
      </c>
      <c r="C96" s="250"/>
      <c r="D96" s="250"/>
      <c r="E96" s="291"/>
      <c r="F96" s="321" t="s">
        <v>120</v>
      </c>
      <c r="G96" s="322">
        <f>G94+G95</f>
        <v>1406.1573423423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0.1255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 t="s">
        <v>18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21600</v>
      </c>
      <c r="C121" s="336">
        <v>19791.67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21600</v>
      </c>
      <c r="C125" s="80">
        <f t="shared" si="0"/>
        <v>19791.67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18000</v>
      </c>
      <c r="H135" s="354">
        <f>C125+E125+G125+H128</f>
        <v>19791.67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21600</v>
      </c>
      <c r="H147" s="359">
        <f>H141-((H144*1.2)+(H145*1.2)+(H146*1.2)+(H142*1.2))</f>
        <v>23750.004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-15673.6083333333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23750.004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>
        <v>0</v>
      </c>
      <c r="F161" s="262"/>
      <c r="G161" s="262">
        <v>0</v>
      </c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>
        <v>0</v>
      </c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1480.10939352484</v>
      </c>
      <c r="B167" s="126">
        <f>B94</f>
        <v>0</v>
      </c>
      <c r="C167" s="365"/>
      <c r="D167" s="365"/>
      <c r="E167" s="126">
        <f>B96</f>
        <v>1480.10939352484</v>
      </c>
      <c r="F167" s="262"/>
      <c r="G167" s="262">
        <f>ROUND(G95,2)</f>
        <v>1406.16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2" t="str">
        <f>H30</f>
        <v>5000</v>
      </c>
      <c r="C170" s="367"/>
      <c r="D170" s="262"/>
      <c r="E170" s="274">
        <v>6000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23750.004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23750.004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-1468.80067122677</v>
      </c>
      <c r="B182" s="133" t="str">
        <f>B114</f>
        <v>199.99</v>
      </c>
      <c r="C182" s="133"/>
      <c r="D182" s="262"/>
      <c r="E182" s="133">
        <f>E179+A182+(B182*1.2)+A185</f>
        <v>22531.1913287732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A179+B182*1.2</f>
        <v>239.988</v>
      </c>
      <c r="C185" s="133"/>
      <c r="D185" s="262"/>
      <c r="E185" s="133">
        <f>E170+A185</f>
        <v>6010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7.4808</v>
      </c>
      <c r="B188" s="133">
        <f>(G158*B67)/1.2</f>
        <v>98.95835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198.94835</v>
      </c>
      <c r="C191" s="250"/>
      <c r="D191" s="250"/>
      <c r="E191" s="133">
        <f>H148</f>
        <v>1791.67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1480.10939352484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-2282.244</v>
      </c>
      <c r="B201" s="272">
        <f>E179+A201+(B182*1.2)+A185</f>
        <v>21717.748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1480.10939352484</v>
      </c>
      <c r="B212" s="126">
        <f>B167</f>
        <v>0</v>
      </c>
      <c r="C212" s="365"/>
      <c r="D212" s="365"/>
      <c r="E212" s="126">
        <f>E167</f>
        <v>1480.10939352484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23750.004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-1468.80067122677</v>
      </c>
      <c r="B224" s="133" t="str">
        <f>B182</f>
        <v>199.99</v>
      </c>
      <c r="C224" s="133"/>
      <c r="D224" s="291"/>
      <c r="E224" s="133">
        <f>E182</f>
        <v>22531.1913287732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1480.10939352484</v>
      </c>
      <c r="B230" s="133">
        <f>B167</f>
        <v>0</v>
      </c>
      <c r="C230" s="272"/>
      <c r="D230" s="272"/>
      <c r="E230" s="133">
        <f>E167</f>
        <v>1480.10939352484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6000</v>
      </c>
      <c r="B233" s="133">
        <f>E185</f>
        <v>6010</v>
      </c>
      <c r="C233" s="250"/>
      <c r="D233" s="250"/>
      <c r="E233" s="133">
        <f>J18*0.000006*100</f>
        <v>22.4424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7.4808</v>
      </c>
      <c r="B236" s="133">
        <f>E233+A236</f>
        <v>29.9232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B188</f>
        <v>98.95835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1990.61835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0.1255</v>
      </c>
      <c r="G253" s="262"/>
      <c r="H253" s="180"/>
    </row>
    <row r="254" spans="1:8">
      <c r="A254" s="370" t="s">
        <v>217</v>
      </c>
      <c r="B254" s="378">
        <f>(E182-B182)-(B201-B182-A185)</f>
        <v>823.443328773228</v>
      </c>
      <c r="C254" s="376"/>
      <c r="D254" s="377" t="s">
        <v>218</v>
      </c>
      <c r="E254" s="377"/>
      <c r="F254" s="378">
        <f>F261+F267+F269+B270+B271</f>
        <v>118.75002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804.683308773228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0.1255</v>
      </c>
      <c r="C260" s="388"/>
      <c r="D260" s="105" t="s">
        <v>217</v>
      </c>
      <c r="E260" s="105"/>
      <c r="F260" s="389">
        <f>B254</f>
        <v>823.443328773228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118.75002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804.683308773228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34" workbookViewId="0">
      <selection activeCell="F260" sqref="F260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379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20600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37404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15780.2033287732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118.75002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20600</v>
      </c>
      <c r="C81" s="250"/>
      <c r="D81" s="250"/>
      <c r="E81" s="291"/>
      <c r="F81" s="264" t="s">
        <v>106</v>
      </c>
      <c r="G81" s="266">
        <f>B81</f>
        <v>20600</v>
      </c>
      <c r="H81" s="180"/>
    </row>
    <row r="82" spans="1:8">
      <c r="A82" s="245" t="s">
        <v>107</v>
      </c>
      <c r="B82" s="180">
        <f>IF(A111="YES",D41,0)</f>
        <v>6000</v>
      </c>
      <c r="C82" s="250"/>
      <c r="D82" s="250"/>
      <c r="E82" s="291"/>
      <c r="F82" s="245" t="s">
        <v>107</v>
      </c>
      <c r="G82" s="180">
        <f>IF(A111="YES",D41,0)</f>
        <v>6000</v>
      </c>
      <c r="H82" s="180"/>
    </row>
    <row r="83" spans="1:29">
      <c r="A83" s="245" t="s">
        <v>108</v>
      </c>
      <c r="B83" s="317">
        <f>B62+B63+B64</f>
        <v>0.1255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0.0104583333333333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5295.78483323301</v>
      </c>
      <c r="C86" s="250">
        <f>(B82/((1+B84)^(B85+1)))</f>
        <v>5295.78483323301</v>
      </c>
      <c r="D86" s="250"/>
      <c r="E86" s="291"/>
      <c r="F86" s="245" t="s">
        <v>111</v>
      </c>
      <c r="G86" s="180">
        <f>(G82/((1+G84)^(G85+1)))</f>
        <v>5623.39108453416</v>
      </c>
      <c r="H86" s="180"/>
    </row>
    <row r="87" spans="1:8">
      <c r="A87" s="245" t="s">
        <v>112</v>
      </c>
      <c r="B87" s="180">
        <f>((1-(1/((1+B84)^B85)))/B84)</f>
        <v>10.3399216528992</v>
      </c>
      <c r="C87" s="250">
        <f>((1-(1/((1+B84)^B85)))/B84)</f>
        <v>10.3399216528992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15304.215166767</v>
      </c>
      <c r="C88" s="250">
        <f>B81-B86</f>
        <v>15304.215166767</v>
      </c>
      <c r="D88" s="250"/>
      <c r="E88" s="291"/>
      <c r="F88" s="245" t="s">
        <v>113</v>
      </c>
      <c r="G88" s="180">
        <f>G81-G86</f>
        <v>14976.6089154658</v>
      </c>
      <c r="H88" s="180"/>
    </row>
    <row r="89" spans="1:8">
      <c r="A89" s="245" t="s">
        <v>114</v>
      </c>
      <c r="B89" s="180">
        <f>(B88/B87)</f>
        <v>1480.10939352484</v>
      </c>
      <c r="C89" s="250">
        <f>(B88/B87)</f>
        <v>1480.10939352484</v>
      </c>
      <c r="D89" s="250"/>
      <c r="E89" s="291"/>
      <c r="F89" s="245" t="s">
        <v>114</v>
      </c>
      <c r="G89" s="180">
        <f>(G88/G87)</f>
        <v>1406.1573423423</v>
      </c>
      <c r="H89" s="180"/>
    </row>
    <row r="90" spans="1:8">
      <c r="A90" s="245" t="s">
        <v>115</v>
      </c>
      <c r="B90" s="180">
        <f>((B89*(B85))+B77)</f>
        <v>16281.2033287732</v>
      </c>
      <c r="C90" s="250"/>
      <c r="D90" s="250"/>
      <c r="E90" s="291"/>
      <c r="F90" s="245" t="s">
        <v>115</v>
      </c>
      <c r="G90" s="180">
        <f>((G89*(G85))+G77)</f>
        <v>15467.7307657653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16281.2033287732</v>
      </c>
      <c r="C92" s="250"/>
      <c r="D92" s="250"/>
      <c r="E92" s="291"/>
      <c r="F92" s="275" t="s">
        <v>117</v>
      </c>
      <c r="G92" s="281">
        <f>(G90+G91)</f>
        <v>15467.7307657653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IF(B38="YES",((H36/B85)*(1+A108)*1.2),"0")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1480.10939352484</v>
      </c>
      <c r="C95" s="250"/>
      <c r="D95" s="250"/>
      <c r="E95" s="291"/>
      <c r="F95" s="319" t="s">
        <v>119</v>
      </c>
      <c r="G95" s="320">
        <f>G92/(G85)</f>
        <v>1406.1573423423</v>
      </c>
      <c r="H95" s="180"/>
    </row>
    <row r="96" ht="19.5" spans="1:8">
      <c r="A96" s="321" t="s">
        <v>120</v>
      </c>
      <c r="B96" s="322">
        <f>B94+B95</f>
        <v>1480.10939352484</v>
      </c>
      <c r="C96" s="250"/>
      <c r="D96" s="250"/>
      <c r="E96" s="291"/>
      <c r="F96" s="321" t="s">
        <v>120</v>
      </c>
      <c r="G96" s="322">
        <f>G94+G95</f>
        <v>1406.1573423423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271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272</v>
      </c>
      <c r="C108" s="102"/>
      <c r="D108" s="102">
        <v>0</v>
      </c>
      <c r="E108" s="327">
        <f>B83</f>
        <v>0.1255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21600</v>
      </c>
      <c r="C121" s="336">
        <v>19791.67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21600</v>
      </c>
      <c r="C125" s="80">
        <f t="shared" si="0"/>
        <v>19791.67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18000</v>
      </c>
      <c r="H135" s="354">
        <f>C125+E125+G125+H128</f>
        <v>19791.67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21600</v>
      </c>
      <c r="H147" s="359">
        <f>H141-((H144*1.2)+(H145*1.2)+(H146*1.2)+(H142*1.2))</f>
        <v>23750.004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-15673.6083333333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23750.004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1480.10939352484</v>
      </c>
      <c r="B167" s="126" t="str">
        <f>B94</f>
        <v>0</v>
      </c>
      <c r="C167" s="365"/>
      <c r="D167" s="365"/>
      <c r="E167" s="126">
        <f>B96</f>
        <v>1480.10939352484</v>
      </c>
      <c r="F167" s="262"/>
      <c r="G167" s="262">
        <f>ROUND(G95,2)</f>
        <v>1406.16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0" t="str">
        <f>H30</f>
        <v>5000</v>
      </c>
      <c r="C170" s="367"/>
      <c r="D170" s="262"/>
      <c r="E170" s="274">
        <v>6000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23750.004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23750.004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-1468.80067122677</v>
      </c>
      <c r="B182" s="133" t="str">
        <f>B114</f>
        <v>239.99</v>
      </c>
      <c r="C182" s="133"/>
      <c r="D182" s="262"/>
      <c r="E182" s="133">
        <f>E179+A182+B182+A185</f>
        <v>22531.1933287732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6010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8.97696</v>
      </c>
      <c r="B188" s="133">
        <f>(G158*B67)/1.2</f>
        <v>98.95835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198.950016666667</v>
      </c>
      <c r="C191" s="250"/>
      <c r="D191" s="250"/>
      <c r="E191" s="133">
        <f>H148</f>
        <v>1791.67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1480.10939352484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-2282.244</v>
      </c>
      <c r="B201" s="272">
        <f>E179+A201+B182+A185</f>
        <v>21717.75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1480.10939352484</v>
      </c>
      <c r="B212" s="126" t="str">
        <f>B167</f>
        <v>0</v>
      </c>
      <c r="C212" s="365"/>
      <c r="D212" s="365"/>
      <c r="E212" s="126">
        <f>E167</f>
        <v>1480.10939352484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23750.004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-1468.80067122677</v>
      </c>
      <c r="B224" s="133" t="str">
        <f>B182</f>
        <v>239.99</v>
      </c>
      <c r="C224" s="133"/>
      <c r="D224" s="291"/>
      <c r="E224" s="133">
        <f>E182</f>
        <v>22531.1933287732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1480.10939352484</v>
      </c>
      <c r="B230" s="133" t="str">
        <f>B167</f>
        <v>0</v>
      </c>
      <c r="C230" s="272"/>
      <c r="D230" s="272"/>
      <c r="E230" s="133">
        <f>E167</f>
        <v>1480.10939352484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6000</v>
      </c>
      <c r="B233" s="133">
        <f>E185</f>
        <v>6010</v>
      </c>
      <c r="C233" s="250"/>
      <c r="D233" s="250"/>
      <c r="E233" s="133">
        <f>A188</f>
        <v>8.97696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B188</f>
        <v>98.95835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1990.62001666666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0.1255</v>
      </c>
      <c r="G253" s="262"/>
      <c r="H253" s="180"/>
    </row>
    <row r="254" spans="1:8">
      <c r="A254" s="370" t="s">
        <v>217</v>
      </c>
      <c r="B254" s="393">
        <f>(E182-B182)-(B201-B182-A185)</f>
        <v>823.443328773228</v>
      </c>
      <c r="C254" s="376"/>
      <c r="D254" s="377" t="s">
        <v>218</v>
      </c>
      <c r="E254" s="377"/>
      <c r="F254" s="378">
        <f>F261+F267+F269+B270+B271</f>
        <v>118.75002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804.684975439895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0.1255</v>
      </c>
      <c r="C260" s="388"/>
      <c r="D260" s="105" t="s">
        <v>217</v>
      </c>
      <c r="E260" s="105"/>
      <c r="F260" s="389">
        <f>B254</f>
        <v>823.443328773228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118.75002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804.684975439895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41" workbookViewId="0">
      <selection activeCell="F261" sqref="F261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501" t="s">
        <v>0</v>
      </c>
      <c r="B1" s="501"/>
      <c r="C1" s="501"/>
      <c r="D1" s="501"/>
      <c r="E1" s="501"/>
      <c r="F1" s="501"/>
      <c r="J1" s="240"/>
    </row>
    <row r="2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J2" s="240"/>
    </row>
    <row r="3" spans="1:10">
      <c r="A3" s="502"/>
      <c r="B3" s="502"/>
      <c r="C3" s="502"/>
      <c r="D3" s="502"/>
      <c r="E3" s="502"/>
      <c r="F3" s="416" t="s">
        <v>4</v>
      </c>
      <c r="J3" s="240"/>
    </row>
    <row r="4" spans="1:10">
      <c r="A4" s="416" t="s">
        <v>5</v>
      </c>
      <c r="B4" s="417">
        <f>B15+C15</f>
        <v>21600</v>
      </c>
      <c r="C4" s="502"/>
      <c r="D4" s="502"/>
      <c r="E4" s="502"/>
      <c r="F4" s="416" t="s">
        <v>4</v>
      </c>
      <c r="H4" s="409"/>
      <c r="J4" s="240"/>
    </row>
    <row r="5" spans="1:10">
      <c r="A5" s="82"/>
      <c r="B5" s="82"/>
      <c r="C5" s="82"/>
      <c r="D5" s="82"/>
      <c r="E5" s="82"/>
      <c r="F5" s="82" t="s">
        <v>4</v>
      </c>
      <c r="J5" s="240"/>
    </row>
    <row r="6" spans="1:10">
      <c r="A6" s="82"/>
      <c r="B6" s="82"/>
      <c r="C6" s="82"/>
      <c r="D6" s="82"/>
      <c r="E6" s="82"/>
      <c r="F6" s="82"/>
      <c r="J6" s="240"/>
    </row>
    <row r="7" spans="1:10">
      <c r="A7" s="424" t="s">
        <v>6</v>
      </c>
      <c r="B7" s="424" t="s">
        <v>7</v>
      </c>
      <c r="C7" s="424" t="s">
        <v>2</v>
      </c>
      <c r="D7" s="503"/>
      <c r="E7" s="503"/>
      <c r="F7" s="82"/>
      <c r="J7" s="240"/>
    </row>
    <row r="8" spans="1:13">
      <c r="A8" s="405"/>
      <c r="B8" s="82"/>
      <c r="C8" s="82"/>
      <c r="D8" s="503"/>
      <c r="E8" s="503"/>
      <c r="F8" s="82"/>
      <c r="J8" s="240"/>
      <c r="L8" s="81" t="s">
        <v>3</v>
      </c>
      <c r="M8" s="82">
        <f>H13+H14</f>
        <v>0</v>
      </c>
    </row>
    <row r="9" spans="1:13">
      <c r="A9" s="424" t="s">
        <v>8</v>
      </c>
      <c r="B9" s="427">
        <v>18000</v>
      </c>
      <c r="C9" s="82">
        <f>B9*0.2</f>
        <v>3600</v>
      </c>
      <c r="D9" s="503"/>
      <c r="E9" s="503"/>
      <c r="F9" s="82"/>
      <c r="J9" s="240"/>
      <c r="L9" s="82"/>
      <c r="M9" s="82"/>
    </row>
    <row r="10" spans="1:13">
      <c r="A10" s="424"/>
      <c r="B10" s="82"/>
      <c r="C10" s="82"/>
      <c r="D10" s="503"/>
      <c r="E10" s="503"/>
      <c r="F10" s="82"/>
      <c r="J10" s="240"/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503"/>
      <c r="E11" s="503"/>
      <c r="F11" s="82"/>
      <c r="J11" s="240"/>
      <c r="L11" s="82"/>
      <c r="M11" s="82"/>
    </row>
    <row r="12" spans="1:10">
      <c r="A12" s="424"/>
      <c r="B12" s="82"/>
      <c r="C12" s="82"/>
      <c r="D12" s="503"/>
      <c r="E12" s="503"/>
      <c r="F12" s="82"/>
      <c r="J12" s="240"/>
    </row>
    <row r="13" spans="1:10">
      <c r="A13" s="424" t="s">
        <v>10</v>
      </c>
      <c r="B13" s="427">
        <v>0</v>
      </c>
      <c r="C13" s="82"/>
      <c r="D13" s="503"/>
      <c r="E13" s="503"/>
      <c r="F13" s="82"/>
      <c r="J13" s="240"/>
    </row>
    <row r="14" spans="1:10">
      <c r="A14" s="424"/>
      <c r="B14" s="82"/>
      <c r="C14" s="82"/>
      <c r="D14" s="503"/>
      <c r="E14" s="503"/>
      <c r="F14" s="82"/>
      <c r="J14" s="240" t="s">
        <v>11</v>
      </c>
    </row>
    <row r="15" spans="1:10">
      <c r="A15" s="424" t="s">
        <v>12</v>
      </c>
      <c r="B15" s="82">
        <f>SUM(B9:B13)</f>
        <v>18000</v>
      </c>
      <c r="C15" s="82">
        <f>SUM(C9:C13)</f>
        <v>3600</v>
      </c>
      <c r="D15" s="503"/>
      <c r="E15" s="503"/>
      <c r="F15" s="82"/>
      <c r="J15" s="299">
        <f>H15</f>
        <v>0</v>
      </c>
    </row>
    <row r="16" spans="1:25">
      <c r="A16" s="504"/>
      <c r="B16" s="504"/>
      <c r="C16" s="504"/>
      <c r="D16" s="503"/>
      <c r="E16" s="503"/>
      <c r="F16" s="82"/>
      <c r="J16" s="240"/>
      <c r="Y16" s="310" t="s">
        <v>13</v>
      </c>
    </row>
    <row r="17" spans="1:25">
      <c r="A17" s="504"/>
      <c r="B17" s="504"/>
      <c r="C17" s="504"/>
      <c r="D17" s="503"/>
      <c r="E17" s="503"/>
      <c r="F17" s="82"/>
      <c r="J17" s="505" t="s">
        <v>14</v>
      </c>
      <c r="Y17" s="310" t="s">
        <v>15</v>
      </c>
    </row>
    <row r="18" spans="1:25">
      <c r="A18" s="504"/>
      <c r="B18" s="504"/>
      <c r="C18" s="504"/>
      <c r="D18" s="503"/>
      <c r="E18" s="503"/>
      <c r="F18" s="82"/>
      <c r="J18" s="506">
        <v>37404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82"/>
      <c r="J19" s="240"/>
      <c r="Z19" s="240" t="s">
        <v>18</v>
      </c>
    </row>
    <row r="20" spans="1:26">
      <c r="A20" s="82"/>
      <c r="B20" s="82"/>
      <c r="C20" s="82"/>
      <c r="D20" s="82"/>
      <c r="E20" s="82"/>
      <c r="F20" s="82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82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12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207" t="s">
        <v>379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42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20600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12</v>
      </c>
      <c r="B53" s="71">
        <f>H45</f>
        <v>501</v>
      </c>
      <c r="C53" s="71"/>
      <c r="D53" s="13"/>
      <c r="E53" s="14"/>
      <c r="I53" s="240"/>
      <c r="J53" s="240"/>
      <c r="K53" s="240"/>
      <c r="P53" s="273"/>
    </row>
    <row r="54" spans="1:16">
      <c r="A54" s="402" t="s">
        <v>4</v>
      </c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11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37404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0.0105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15780.2033287732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118.75002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501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20600</v>
      </c>
      <c r="C81" s="250"/>
      <c r="D81" s="250"/>
      <c r="E81" s="291"/>
      <c r="F81" s="264" t="s">
        <v>106</v>
      </c>
      <c r="G81" s="266">
        <f>B81</f>
        <v>20600</v>
      </c>
      <c r="H81" s="180"/>
    </row>
    <row r="82" spans="1:8">
      <c r="A82" s="245" t="s">
        <v>107</v>
      </c>
      <c r="B82" s="180">
        <f>IF(A111="YES",D41,0)</f>
        <v>6000</v>
      </c>
      <c r="C82" s="250"/>
      <c r="D82" s="250"/>
      <c r="E82" s="291"/>
      <c r="F82" s="245" t="s">
        <v>107</v>
      </c>
      <c r="G82" s="180">
        <f>IF(A111="YES",D41,0)</f>
        <v>6000</v>
      </c>
      <c r="H82" s="180"/>
    </row>
    <row r="83" spans="1:29">
      <c r="A83" s="245" t="s">
        <v>108</v>
      </c>
      <c r="B83" s="317">
        <f>B62+B63+B64</f>
        <v>0.1255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0.0104583333333333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11</v>
      </c>
      <c r="C85" s="250"/>
      <c r="D85" s="250"/>
      <c r="E85" s="291"/>
      <c r="F85" s="245" t="s">
        <v>110</v>
      </c>
      <c r="G85" s="180">
        <f>IF(G82=0,(B59+B58),(B59))</f>
        <v>11</v>
      </c>
      <c r="H85" s="180"/>
    </row>
    <row r="86" spans="1:8">
      <c r="A86" s="245" t="s">
        <v>111</v>
      </c>
      <c r="B86" s="180">
        <f>(B82/((1+B84)^(B85+1)))</f>
        <v>5295.78483323301</v>
      </c>
      <c r="C86" s="250">
        <f>(B82/((1+B84)^(B85+1)))</f>
        <v>5295.78483323301</v>
      </c>
      <c r="D86" s="250"/>
      <c r="E86" s="291"/>
      <c r="F86" s="245" t="s">
        <v>111</v>
      </c>
      <c r="G86" s="180">
        <f>(G82/((1+G84)^(G85+1)))</f>
        <v>5623.39108453416</v>
      </c>
      <c r="H86" s="180"/>
    </row>
    <row r="87" spans="1:8">
      <c r="A87" s="245" t="s">
        <v>112</v>
      </c>
      <c r="B87" s="180">
        <f>((1-(1/((1+B84)^B85)))/B84)</f>
        <v>10.3399216528992</v>
      </c>
      <c r="C87" s="250">
        <f>((1-(1/((1+B84)^B85)))/B84)</f>
        <v>10.3399216528992</v>
      </c>
      <c r="D87" s="250"/>
      <c r="E87" s="291"/>
      <c r="F87" s="245" t="s">
        <v>112</v>
      </c>
      <c r="G87" s="180">
        <f>((1-(1/((1+G84)^G85)))/G84)</f>
        <v>10.6507347822959</v>
      </c>
      <c r="H87" s="180"/>
    </row>
    <row r="88" spans="1:8">
      <c r="A88" s="245" t="s">
        <v>113</v>
      </c>
      <c r="B88" s="180">
        <f>B81-B86</f>
        <v>15304.215166767</v>
      </c>
      <c r="C88" s="250">
        <f>B81-B86</f>
        <v>15304.215166767</v>
      </c>
      <c r="D88" s="250"/>
      <c r="E88" s="291"/>
      <c r="F88" s="245" t="s">
        <v>113</v>
      </c>
      <c r="G88" s="180">
        <f>G81-G86</f>
        <v>14976.6089154658</v>
      </c>
      <c r="H88" s="180"/>
    </row>
    <row r="89" spans="1:8">
      <c r="A89" s="245" t="s">
        <v>114</v>
      </c>
      <c r="B89" s="180">
        <f>(B88/B87)</f>
        <v>1480.10939352484</v>
      </c>
      <c r="C89" s="250">
        <f>(B88/B87)</f>
        <v>1480.10939352484</v>
      </c>
      <c r="D89" s="250"/>
      <c r="E89" s="291"/>
      <c r="F89" s="245" t="s">
        <v>114</v>
      </c>
      <c r="G89" s="180">
        <f>(G88/G87)</f>
        <v>1406.1573423423</v>
      </c>
      <c r="H89" s="180"/>
    </row>
    <row r="90" spans="1:8">
      <c r="A90" s="245" t="s">
        <v>115</v>
      </c>
      <c r="B90" s="180">
        <f>((B89*(B85))+B77)</f>
        <v>16281.2033287732</v>
      </c>
      <c r="C90" s="250"/>
      <c r="D90" s="250"/>
      <c r="E90" s="291"/>
      <c r="F90" s="245" t="s">
        <v>115</v>
      </c>
      <c r="G90" s="180">
        <f>((G89*(G85))+G77)</f>
        <v>15467.7307657653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16281.2033287732</v>
      </c>
      <c r="C92" s="250"/>
      <c r="D92" s="250"/>
      <c r="E92" s="291"/>
      <c r="F92" s="275" t="s">
        <v>117</v>
      </c>
      <c r="G92" s="281">
        <f>(G90+G91)</f>
        <v>15467.7307657653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1480.10939352484</v>
      </c>
      <c r="C95" s="250"/>
      <c r="D95" s="250"/>
      <c r="E95" s="291"/>
      <c r="F95" s="319" t="s">
        <v>119</v>
      </c>
      <c r="G95" s="320">
        <f>G92/(G85)</f>
        <v>1406.1573423423</v>
      </c>
      <c r="H95" s="180"/>
    </row>
    <row r="96" ht="19.5" spans="1:8">
      <c r="A96" s="321" t="s">
        <v>120</v>
      </c>
      <c r="B96" s="322">
        <f>B94+B95</f>
        <v>1480.10939352484</v>
      </c>
      <c r="C96" s="250"/>
      <c r="D96" s="250"/>
      <c r="E96" s="291"/>
      <c r="F96" s="321" t="s">
        <v>120</v>
      </c>
      <c r="G96" s="322">
        <f>G94+G95</f>
        <v>1406.1573423423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0.1255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E19</f>
        <v>21600</v>
      </c>
      <c r="C121" s="336">
        <v>19791.67</v>
      </c>
      <c r="D121" s="335">
        <f>D3</f>
        <v>0</v>
      </c>
      <c r="E121" s="336">
        <f>D121</f>
        <v>0</v>
      </c>
      <c r="F121" s="335"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v>0</v>
      </c>
      <c r="C122" s="248">
        <f>B122</f>
        <v>0</v>
      </c>
      <c r="D122" s="338">
        <v>0</v>
      </c>
      <c r="E122" s="248">
        <f>D122</f>
        <v>0</v>
      </c>
      <c r="F122" s="338"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v>0</v>
      </c>
      <c r="C123" s="336">
        <f>B123</f>
        <v>0</v>
      </c>
      <c r="D123" s="340">
        <v>0</v>
      </c>
      <c r="E123" s="336">
        <f>D123</f>
        <v>0</v>
      </c>
      <c r="F123" s="340"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21600</v>
      </c>
      <c r="C125" s="80">
        <f t="shared" si="0"/>
        <v>19791.67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>E21</f>
        <v>18000</v>
      </c>
      <c r="H135" s="354">
        <f>C125+E125+G125+H128</f>
        <v>19791.67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268">
        <f>F142</f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80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268"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268"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268"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9">
        <f>G141-((G144*1.2)+(G145*1.2)+(G146*1.2)+(G142*1.2))</f>
        <v>21600</v>
      </c>
      <c r="H147" s="359">
        <f>H141-((H144*1.2)+(H145*1.2)+(H146*1.2)+(H142*1.2))</f>
        <v>23750.004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-15673.6083333333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23750.004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1480.10939352484</v>
      </c>
      <c r="B167" s="126" t="str">
        <f>B94</f>
        <v>0</v>
      </c>
      <c r="C167" s="365"/>
      <c r="D167" s="365"/>
      <c r="E167" s="126">
        <f>B96</f>
        <v>1480.10939352484</v>
      </c>
      <c r="F167" s="262"/>
      <c r="G167" s="262">
        <f>ROUND(G95,2)</f>
        <v>1406.16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12</v>
      </c>
      <c r="B170" s="40" t="str">
        <f>H30</f>
        <v>5000</v>
      </c>
      <c r="C170" s="367"/>
      <c r="D170" s="262"/>
      <c r="E170" s="274">
        <v>6000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23750.004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23750.004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-1468.80067122677</v>
      </c>
      <c r="B182" s="133" t="str">
        <f>B114</f>
        <v>199.99</v>
      </c>
      <c r="C182" s="133"/>
      <c r="D182" s="262"/>
      <c r="E182" s="133">
        <f>E179+A182+(B182*1.2)+A185</f>
        <v>22531.1913287732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A179+(B182*1.2)</f>
        <v>239.988</v>
      </c>
      <c r="C185" s="133"/>
      <c r="D185" s="262"/>
      <c r="E185" s="133">
        <f>E170+A185</f>
        <v>6010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7.4808</v>
      </c>
      <c r="B188" s="133">
        <f>(G158*B67)/1.2</f>
        <v>98.95835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198.94835</v>
      </c>
      <c r="C191" s="250"/>
      <c r="D191" s="250"/>
      <c r="E191" s="133">
        <f>H148</f>
        <v>1791.67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12</v>
      </c>
      <c r="B197" s="71">
        <f>B96</f>
        <v>1480.10939352484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-2282.244</v>
      </c>
      <c r="B201" s="272">
        <f>E179+A201+(B182*1.2)+A185</f>
        <v>21717.748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12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1480.10939352484</v>
      </c>
      <c r="B212" s="126" t="str">
        <f>B167</f>
        <v>0</v>
      </c>
      <c r="C212" s="365"/>
      <c r="D212" s="365"/>
      <c r="E212" s="126">
        <f>E167</f>
        <v>1480.10939352484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23750.004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-1468.80067122677</v>
      </c>
      <c r="B224" s="133" t="str">
        <f>B182</f>
        <v>199.99</v>
      </c>
      <c r="C224" s="133"/>
      <c r="D224" s="291"/>
      <c r="E224" s="133">
        <f>E182</f>
        <v>22531.1913287732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11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1480.10939352484</v>
      </c>
      <c r="B230" s="133" t="str">
        <f>B167</f>
        <v>0</v>
      </c>
      <c r="C230" s="272"/>
      <c r="D230" s="272"/>
      <c r="E230" s="133">
        <f>E167</f>
        <v>1480.10939352484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6000</v>
      </c>
      <c r="B233" s="133">
        <f>E185</f>
        <v>6010</v>
      </c>
      <c r="C233" s="250"/>
      <c r="D233" s="250"/>
      <c r="E233" s="133">
        <f>A188</f>
        <v>7.4808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B188</f>
        <v>98.95835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1990.61835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0.1255</v>
      </c>
      <c r="G253" s="262"/>
      <c r="H253" s="180"/>
    </row>
    <row r="254" spans="1:8">
      <c r="A254" s="370" t="s">
        <v>217</v>
      </c>
      <c r="B254" s="378">
        <f>(E182-B182)-(B201-B182-A185)</f>
        <v>823.443328773228</v>
      </c>
      <c r="C254" s="376"/>
      <c r="D254" s="377" t="s">
        <v>218</v>
      </c>
      <c r="E254" s="377"/>
      <c r="F254" s="378">
        <f>F261+F267+F269+B270+B271</f>
        <v>118.75002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804.683308773228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0.1255</v>
      </c>
      <c r="C260" s="388"/>
      <c r="D260" s="105" t="s">
        <v>217</v>
      </c>
      <c r="E260" s="105"/>
      <c r="F260" s="389">
        <f>B254</f>
        <v>823.443328773228</v>
      </c>
      <c r="G260" s="262"/>
      <c r="H260" s="180"/>
    </row>
    <row r="261" ht="19.5" spans="1:8">
      <c r="A261" s="245" t="s">
        <v>223</v>
      </c>
      <c r="B261" s="387">
        <f>B67</f>
        <v>0.005</v>
      </c>
      <c r="C261" s="368"/>
      <c r="D261" s="105" t="s">
        <v>223</v>
      </c>
      <c r="E261" s="105"/>
      <c r="F261" s="144">
        <f>B68</f>
        <v>118.75002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804.683308773228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71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  <mergeCell ref="D7:E18"/>
    <mergeCell ref="A16:C18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3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2"/>
      <c r="B6" s="2"/>
      <c r="C6" s="2"/>
      <c r="D6" s="2"/>
      <c r="E6" s="2"/>
      <c r="F6" s="2"/>
      <c r="G6" s="2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426"/>
      <c r="B8" s="2"/>
      <c r="C8" s="2"/>
      <c r="D8" s="425"/>
      <c r="E8" s="425"/>
      <c r="F8" s="2"/>
      <c r="G8" s="2"/>
      <c r="H8" s="237"/>
      <c r="I8" s="81" t="s">
        <v>3</v>
      </c>
      <c r="J8" s="82">
        <f>E13+E14</f>
        <v>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428"/>
      <c r="B10" s="2"/>
      <c r="C10" s="2"/>
      <c r="D10" s="425"/>
      <c r="E10" s="425"/>
      <c r="F10" s="2"/>
      <c r="G10" s="2"/>
      <c r="H10" s="237"/>
      <c r="I10" s="83" t="s">
        <v>1</v>
      </c>
      <c r="J10" s="82">
        <f>E15-E11-J8</f>
        <v>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428"/>
      <c r="B12" s="2"/>
      <c r="C12" s="2"/>
      <c r="D12" s="425"/>
      <c r="E12" s="425"/>
      <c r="F12" s="2"/>
      <c r="G12" s="2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429"/>
      <c r="B16" s="429"/>
      <c r="C16" s="429"/>
      <c r="D16" s="425"/>
      <c r="E16" s="425"/>
      <c r="F16" s="2"/>
      <c r="G16" s="2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/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42</v>
      </c>
      <c r="B34" s="43" t="s">
        <v>48</v>
      </c>
      <c r="C34" s="41" t="s">
        <v>43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E19</f>
        <v>21600</v>
      </c>
      <c r="B35" s="33" t="s">
        <v>45</v>
      </c>
      <c r="C35" s="33"/>
      <c r="D35" s="59">
        <f>A35-B35</f>
        <v>20600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45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57</v>
      </c>
      <c r="G40" s="240" t="s">
        <v>58</v>
      </c>
      <c r="H40" s="240">
        <f>C15</f>
        <v>3600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>
        <f>IF(D41="Yes",A44,0)</f>
        <v>0</v>
      </c>
      <c r="I41" s="240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335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>
        <v>0</v>
      </c>
      <c r="B44" s="48" t="s">
        <v>336</v>
      </c>
      <c r="C44" s="48"/>
      <c r="D44" s="48">
        <v>0</v>
      </c>
      <c r="E44" s="48"/>
      <c r="F44" s="237"/>
      <c r="G44" s="240" t="s">
        <v>65</v>
      </c>
      <c r="H44" s="240">
        <f>((H40-(((H42/(1.2))*0.2)))/(H43))</f>
        <v>216.666666666667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283.333333333333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286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67" t="s">
        <v>83</v>
      </c>
      <c r="B50" s="68" t="s">
        <v>84</v>
      </c>
      <c r="C50" s="68"/>
      <c r="D50" s="41"/>
      <c r="E50" s="57"/>
      <c r="F50" s="237"/>
      <c r="G50" s="240" t="s">
        <v>339</v>
      </c>
      <c r="H50" s="240">
        <f>H49-H41</f>
        <v>286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67"/>
      <c r="B51" s="69">
        <f>H30</f>
        <v>5000</v>
      </c>
      <c r="C51" s="69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>
        <f>H29</f>
        <v>12</v>
      </c>
      <c r="B52" s="71">
        <f>H49</f>
        <v>286</v>
      </c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286</v>
      </c>
      <c r="C58" s="71"/>
      <c r="D58" s="154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1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11</v>
      </c>
      <c r="C64" s="109"/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6" t="s">
        <v>276</v>
      </c>
      <c r="B66" s="13">
        <f>E19</f>
        <v>21600</v>
      </c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6" t="s">
        <v>14</v>
      </c>
      <c r="B67" s="12">
        <v>37404</v>
      </c>
      <c r="C67" s="109"/>
      <c r="D67" s="109"/>
      <c r="E67" s="110"/>
      <c r="F67" s="237"/>
      <c r="G67" s="108" t="s">
        <v>14</v>
      </c>
      <c r="H67" s="368">
        <f>G18</f>
        <v>37404</v>
      </c>
      <c r="I67" s="109"/>
      <c r="J67" s="109"/>
      <c r="K67" s="110"/>
      <c r="L67" s="237"/>
      <c r="M67" s="108" t="s">
        <v>14</v>
      </c>
      <c r="N67" s="368">
        <f>G18</f>
        <v>37404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78" t="s">
        <v>277</v>
      </c>
      <c r="B68" s="79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6" t="s">
        <v>278</v>
      </c>
      <c r="B69" s="10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72" t="s">
        <v>91</v>
      </c>
      <c r="B70" s="80">
        <f>B67*B69</f>
        <v>2618.28</v>
      </c>
      <c r="C70" s="109">
        <v>10000</v>
      </c>
      <c r="D70" s="368">
        <f>B70-A149</f>
        <v>2618.28</v>
      </c>
      <c r="E70" s="110">
        <f>D70/12</f>
        <v>218.19</v>
      </c>
      <c r="F70" s="237"/>
      <c r="G70" s="169" t="s">
        <v>91</v>
      </c>
      <c r="H70" s="281">
        <f>H67*H69</f>
        <v>2618.28</v>
      </c>
      <c r="I70" s="109"/>
      <c r="J70" s="368">
        <f>H70-G151</f>
        <v>2618.28</v>
      </c>
      <c r="K70" s="110"/>
      <c r="L70" s="237"/>
      <c r="M70" s="169" t="s">
        <v>91</v>
      </c>
      <c r="N70" s="281">
        <f>N67*N69</f>
        <v>2618.28</v>
      </c>
      <c r="O70" s="109"/>
      <c r="P70" s="368">
        <f>N70-M151</f>
        <v>2618.28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78" t="s">
        <v>92</v>
      </c>
      <c r="B71" s="79">
        <v>0.005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6" t="s">
        <v>93</v>
      </c>
      <c r="B72" s="10">
        <f>B71+(B71*0.5*(H29/12-1))</f>
        <v>0.005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72" t="s">
        <v>94</v>
      </c>
      <c r="B73" s="80">
        <f>B66*B72</f>
        <v>108</v>
      </c>
      <c r="C73" s="109"/>
      <c r="D73" s="368"/>
      <c r="E73" s="110"/>
      <c r="F73" s="237"/>
      <c r="G73" s="169" t="s">
        <v>94</v>
      </c>
      <c r="H73" s="281">
        <f>H67*H72</f>
        <v>187.02</v>
      </c>
      <c r="I73" s="109"/>
      <c r="J73" s="368"/>
      <c r="K73" s="110"/>
      <c r="L73" s="237"/>
      <c r="M73" s="169" t="s">
        <v>94</v>
      </c>
      <c r="N73" s="281">
        <f>N67*N72</f>
        <v>187.02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160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4.5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54</v>
      </c>
      <c r="C79" s="109"/>
      <c r="D79" s="368">
        <f>B79+B77</f>
        <v>214</v>
      </c>
      <c r="E79" s="481">
        <f>D79+D85+D86</f>
        <v>614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180</v>
      </c>
      <c r="C80" s="109"/>
      <c r="D80" s="109"/>
      <c r="E80" s="481">
        <f>E79+D82</f>
        <v>809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67.4166666666667</v>
      </c>
      <c r="F81" s="237"/>
      <c r="G81" s="462" t="s">
        <v>280</v>
      </c>
      <c r="H81" s="293">
        <f>IF(G18&gt;40000,325,0)</f>
        <v>0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((B80+B81)/12)*(H29+1)</f>
        <v>195</v>
      </c>
      <c r="C82" s="109"/>
      <c r="D82" s="368">
        <f>IF(A50="YES",0,B82)</f>
        <v>195</v>
      </c>
      <c r="E82" s="110"/>
      <c r="F82" s="237"/>
      <c r="G82" s="169" t="s">
        <v>281</v>
      </c>
      <c r="H82" s="281">
        <f>((H80+H81)/12)*(H29-11)</f>
        <v>12.5</v>
      </c>
      <c r="I82" s="109"/>
      <c r="J82" s="368">
        <f>IF(A50="YES",0,H82)</f>
        <v>12.5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300</v>
      </c>
      <c r="C85" s="109"/>
      <c r="D85" s="368">
        <f>B85</f>
        <v>300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100</v>
      </c>
      <c r="C86" s="109"/>
      <c r="D86" s="368">
        <f>B86</f>
        <v>100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4093.94666666667</v>
      </c>
      <c r="C87" s="109"/>
      <c r="D87" s="109"/>
      <c r="E87" s="110"/>
      <c r="F87" s="237"/>
      <c r="G87" s="483" t="s">
        <v>103</v>
      </c>
      <c r="H87" s="484">
        <f>SUM(J70:J86)</f>
        <v>5744.78</v>
      </c>
      <c r="I87" s="109"/>
      <c r="J87" s="109"/>
      <c r="K87" s="110"/>
      <c r="L87" s="237"/>
      <c r="M87" s="483" t="s">
        <v>103</v>
      </c>
      <c r="N87" s="484">
        <f>SUM(P70:P86)</f>
        <v>5732.28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341.162222222222</v>
      </c>
      <c r="C88" s="109"/>
      <c r="D88" s="109"/>
      <c r="E88" s="110"/>
      <c r="F88" s="237"/>
      <c r="G88" s="108" t="s">
        <v>104</v>
      </c>
      <c r="H88" s="180">
        <f>H87/H29</f>
        <v>478.731666666667</v>
      </c>
      <c r="I88" s="109"/>
      <c r="J88" s="109"/>
      <c r="K88" s="110"/>
      <c r="L88" s="237"/>
      <c r="M88" s="108" t="s">
        <v>104</v>
      </c>
      <c r="N88" s="180">
        <f>N87/H29</f>
        <v>477.69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286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((B89*H29)+B87)*1.2</f>
        <v>9031.136</v>
      </c>
      <c r="C91" s="109"/>
      <c r="D91" s="109"/>
      <c r="E91" s="110"/>
      <c r="F91" s="237"/>
      <c r="G91" s="474" t="s">
        <v>115</v>
      </c>
      <c r="H91" s="266">
        <f>((H89*H29)+H87)*1.2</f>
        <v>6893.736</v>
      </c>
      <c r="I91" s="109"/>
      <c r="J91" s="109"/>
      <c r="K91" s="110"/>
      <c r="L91" s="237"/>
      <c r="M91" s="474" t="s">
        <v>115</v>
      </c>
      <c r="N91" s="266">
        <f>((N89*H29)+N87)</f>
        <v>5732.28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63.7534812424365</v>
      </c>
      <c r="C92" s="109"/>
      <c r="D92" s="109"/>
      <c r="E92" s="486"/>
      <c r="F92" s="237"/>
      <c r="G92" s="108" t="s">
        <v>116</v>
      </c>
      <c r="H92" s="180">
        <f>(((H89*H29)+H87)/(1-H76))*H76</f>
        <v>48.6649374747882</v>
      </c>
      <c r="I92" s="109"/>
      <c r="J92" s="109"/>
      <c r="K92" s="110"/>
      <c r="L92" s="237"/>
      <c r="M92" s="108" t="s">
        <v>116</v>
      </c>
      <c r="N92" s="180">
        <f>(N91/(1-N76))*N76</f>
        <v>48.5590480032271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9094.88948124244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8942.40093747479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7780.83904800323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IF(B105=Z104,(((H41*A32)+(H41*A32)*(B111/100))/(B64)),(((H41*A32)+(H41*A32)*(B111/100))/(B63+B64)))*1.2</f>
        <v>0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757.907456770203</v>
      </c>
      <c r="C96" s="109"/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757.907456770203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130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19</v>
      </c>
      <c r="B111" s="101">
        <v>0</v>
      </c>
      <c r="C111" s="101"/>
      <c r="D111" s="102">
        <v>200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239.99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(E124+E123)-E120</f>
        <v>-2760.01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11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11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757.907456770203</v>
      </c>
      <c r="B134" s="113">
        <f>IF(A111="YES",B95,0)</f>
        <v>0</v>
      </c>
      <c r="C134" s="118"/>
      <c r="D134" s="113">
        <f>B97</f>
        <v>757.907456770203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Monthly in advance </v>
      </c>
      <c r="B137" s="127">
        <f>B96*B63</f>
        <v>757.907456770203</v>
      </c>
      <c r="C137" s="109"/>
      <c r="D137" s="127">
        <f>IF(A111="YES",B95*B63,0)</f>
        <v>0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757.907456770203</v>
      </c>
      <c r="B140" s="127">
        <f>E120</f>
        <v>4000</v>
      </c>
      <c r="C140" s="109"/>
      <c r="D140" s="135">
        <f>B64</f>
        <v>11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</v>
      </c>
      <c r="H142" s="127">
        <f>IF(G111="YES",E15*0.000002,0)</f>
        <v>0</v>
      </c>
      <c r="I142" s="127"/>
      <c r="J142" s="127">
        <f>G142+H142</f>
        <v>0</v>
      </c>
      <c r="K142" s="141"/>
      <c r="L142" s="237"/>
      <c r="M142" s="134">
        <f>E15*0.000006</f>
        <v>0</v>
      </c>
      <c r="N142" s="127">
        <f>IF(M111="YES",E15*0.000002,0)</f>
        <v>0</v>
      </c>
      <c r="O142" s="127"/>
      <c r="P142" s="127">
        <f>M142+N142</f>
        <v>0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757.907456770203</v>
      </c>
      <c r="B143" s="127">
        <f>IF(A111="YES",B95,0)</f>
        <v>0</v>
      </c>
      <c r="C143" s="109"/>
      <c r="D143" s="127">
        <f>B97</f>
        <v>757.907456770203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155.85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155.85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2815.838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2775.84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108</v>
      </c>
      <c r="B154" s="127">
        <f>B108</f>
        <v>400</v>
      </c>
      <c r="C154" s="127"/>
      <c r="D154" s="127">
        <f>IF(A111="YES",(A44/100*B111)*B131,0)*0.1</f>
        <v>0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3600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607.991666666667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757.907456770203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757.907456770203</v>
      </c>
      <c r="B177" s="156">
        <f>IF(A111="YES",B95,0)</f>
        <v>0</v>
      </c>
      <c r="C177" s="158"/>
      <c r="D177" s="156">
        <f>A177+B177</f>
        <v>757.907456770203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Monthly in advance </v>
      </c>
      <c r="B180" s="133">
        <f>B96*B63</f>
        <v>757.907456770203</v>
      </c>
      <c r="C180" s="154"/>
      <c r="D180" s="133">
        <f>IF(A111="YES",B95*B63,0)</f>
        <v>0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757.907456770203</v>
      </c>
      <c r="B183" s="133">
        <f>E120</f>
        <v>4000</v>
      </c>
      <c r="C183" s="154"/>
      <c r="D183" s="162">
        <f>B64</f>
        <v>11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757.907456770203</v>
      </c>
      <c r="B186" s="133">
        <f>IF(A111="YES",B95,0)</f>
        <v>0</v>
      </c>
      <c r="C186" s="154"/>
      <c r="D186" s="133">
        <f>B97</f>
        <v>757.907456770203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108</v>
      </c>
      <c r="B197" s="133">
        <f>B108</f>
        <v>400</v>
      </c>
      <c r="C197" s="133"/>
      <c r="D197" s="133">
        <f>IF(A111="YES",(A44/100*B111)*B131,0)*0.1</f>
        <v>0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607.991666666667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G201" s="237"/>
      <c r="H201" s="237"/>
      <c r="I201" s="237"/>
      <c r="J201" s="237"/>
      <c r="K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G202" s="237"/>
      <c r="H202" s="237"/>
      <c r="I202" s="237"/>
      <c r="J202" s="237"/>
      <c r="K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G203" s="237"/>
      <c r="H203" s="237"/>
      <c r="I203" s="237"/>
      <c r="J203" s="237"/>
      <c r="K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G204" s="237"/>
      <c r="H204" s="237"/>
      <c r="I204" s="237"/>
      <c r="J204" s="237"/>
      <c r="K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G206" s="237"/>
      <c r="H206" s="237"/>
      <c r="I206" s="237"/>
      <c r="J206" s="237"/>
      <c r="K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G207" s="237"/>
      <c r="H207" s="237"/>
      <c r="I207" s="237"/>
      <c r="J207" s="237"/>
      <c r="K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G208" s="237"/>
      <c r="H208" s="237"/>
      <c r="I208" s="237"/>
      <c r="J208" s="237"/>
      <c r="K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2618.28</v>
      </c>
      <c r="E209" s="114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G210" s="237"/>
      <c r="H210" s="237"/>
      <c r="I210" s="237"/>
      <c r="J210" s="237"/>
      <c r="K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108</v>
      </c>
      <c r="C211" s="112" t="s">
        <v>219</v>
      </c>
      <c r="D211" s="173">
        <f>B225+E221+B221+B223</f>
        <v>339.991666666667</v>
      </c>
      <c r="E211" s="114"/>
      <c r="F211" s="237"/>
      <c r="G211" s="237"/>
      <c r="H211" s="237"/>
      <c r="I211" s="237"/>
      <c r="J211" s="237"/>
      <c r="K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G212" s="237"/>
      <c r="H212" s="237"/>
      <c r="I212" s="237"/>
      <c r="J212" s="237"/>
      <c r="K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2850.27166666667</v>
      </c>
      <c r="C213" s="118"/>
      <c r="D213" s="113"/>
      <c r="E213" s="114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G214" s="237"/>
      <c r="H214" s="237"/>
      <c r="I214" s="237"/>
      <c r="J214" s="237"/>
      <c r="K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G216" s="237"/>
      <c r="H216" s="237"/>
      <c r="I216" s="237"/>
      <c r="J216" s="237"/>
      <c r="K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2618.28</v>
      </c>
      <c r="C217" s="177" t="s">
        <v>223</v>
      </c>
      <c r="D217" s="109"/>
      <c r="E217" s="178">
        <f>B72</f>
        <v>0.005</v>
      </c>
      <c r="F217" s="237"/>
      <c r="G217" s="237"/>
      <c r="H217" s="237"/>
      <c r="I217" s="237"/>
      <c r="J217" s="237"/>
      <c r="K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G218" s="237"/>
      <c r="H218" s="237"/>
      <c r="I218" s="237"/>
      <c r="J218" s="237"/>
      <c r="K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108</v>
      </c>
      <c r="C219" s="130" t="s">
        <v>326</v>
      </c>
      <c r="D219" s="135"/>
      <c r="E219" s="179">
        <v>0.001</v>
      </c>
      <c r="F219" s="237"/>
      <c r="G219" s="237"/>
      <c r="H219" s="237"/>
      <c r="I219" s="237"/>
      <c r="J219" s="237"/>
      <c r="K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G220" s="237"/>
      <c r="H220" s="237"/>
      <c r="I220" s="237"/>
      <c r="J220" s="237"/>
      <c r="K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37"/>
      <c r="G221" s="237"/>
      <c r="H221" s="237"/>
      <c r="I221" s="237"/>
      <c r="J221" s="237"/>
      <c r="K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G222" s="237"/>
      <c r="H222" s="237"/>
      <c r="I222" s="237"/>
      <c r="J222" s="237"/>
      <c r="K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2850.27166666667</v>
      </c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G224" s="237"/>
      <c r="H224" s="237"/>
      <c r="I224" s="237"/>
      <c r="J224" s="237"/>
      <c r="K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G226" s="237"/>
      <c r="H226" s="237"/>
      <c r="I226" s="237"/>
      <c r="J226" s="237"/>
      <c r="K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G227" s="237"/>
      <c r="H227" s="237"/>
      <c r="I227" s="237"/>
      <c r="J227" s="237"/>
      <c r="K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G228" s="237"/>
      <c r="H228" s="237"/>
      <c r="I228" s="237"/>
      <c r="J228" s="237"/>
      <c r="K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160</v>
      </c>
      <c r="C229" s="130" t="s">
        <v>228</v>
      </c>
      <c r="D229" s="143"/>
      <c r="E229" s="184">
        <f>B78</f>
        <v>4.5</v>
      </c>
      <c r="F229" s="237"/>
      <c r="G229" s="237"/>
      <c r="H229" s="237"/>
      <c r="I229" s="237"/>
      <c r="J229" s="237"/>
      <c r="K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214</v>
      </c>
      <c r="F230" s="237"/>
      <c r="G230" s="237"/>
      <c r="H230" s="237"/>
      <c r="I230" s="237"/>
      <c r="J230" s="237"/>
      <c r="K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G231" s="237"/>
      <c r="H231" s="237"/>
      <c r="I231" s="237"/>
      <c r="J231" s="237"/>
      <c r="K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63.7534812424365</v>
      </c>
      <c r="F232" s="237"/>
      <c r="G232" s="237"/>
      <c r="H232" s="237"/>
      <c r="I232" s="237"/>
      <c r="J232" s="237"/>
      <c r="K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300</v>
      </c>
      <c r="C233" s="186" t="s">
        <v>330</v>
      </c>
      <c r="D233" s="187"/>
      <c r="E233" s="184">
        <f>B80</f>
        <v>180</v>
      </c>
      <c r="F233" s="237"/>
      <c r="G233" s="237"/>
      <c r="H233" s="237"/>
      <c r="I233" s="237"/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100</v>
      </c>
      <c r="C235" s="190" t="s">
        <v>331</v>
      </c>
      <c r="D235" s="190"/>
      <c r="E235" s="184">
        <f>B81</f>
        <v>0</v>
      </c>
      <c r="F235" s="237"/>
      <c r="G235" s="237"/>
      <c r="H235" s="237"/>
      <c r="I235" s="237"/>
      <c r="J235" s="237"/>
      <c r="K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G237" s="237"/>
      <c r="H237" s="237"/>
      <c r="I237" s="237"/>
      <c r="J237" s="237"/>
      <c r="K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G238" s="237"/>
      <c r="H238" s="237"/>
      <c r="I238" s="237"/>
      <c r="J238" s="237"/>
      <c r="K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G239" s="237"/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G241" s="237"/>
      <c r="H241" s="237"/>
      <c r="I241" s="237"/>
      <c r="J241" s="237"/>
      <c r="K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G242" s="237"/>
      <c r="H242" s="237"/>
      <c r="I242" s="237"/>
      <c r="J242" s="237"/>
      <c r="K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237"/>
      <c r="B243" s="237"/>
      <c r="C243" s="237"/>
      <c r="D243" s="237"/>
      <c r="E243" s="237"/>
      <c r="F243" s="237"/>
      <c r="G243" s="237"/>
      <c r="H243" s="237"/>
      <c r="I243" s="237"/>
      <c r="J243" s="237"/>
      <c r="K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237"/>
      <c r="B244" s="237"/>
      <c r="C244" s="237"/>
      <c r="D244" s="237"/>
      <c r="E244" s="237"/>
      <c r="F244" s="237"/>
      <c r="G244" s="237"/>
      <c r="H244" s="237"/>
      <c r="I244" s="237"/>
      <c r="J244" s="237"/>
      <c r="K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237"/>
      <c r="B245" s="237"/>
      <c r="C245" s="237"/>
      <c r="D245" s="237"/>
      <c r="E245" s="237"/>
      <c r="F245" s="237"/>
      <c r="G245" s="237"/>
      <c r="H245" s="237"/>
      <c r="I245" s="237"/>
      <c r="J245" s="237"/>
      <c r="K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237"/>
      <c r="B246" s="237"/>
      <c r="C246" s="237"/>
      <c r="D246" s="237"/>
      <c r="E246" s="237"/>
      <c r="F246" s="237"/>
      <c r="G246" s="237"/>
      <c r="H246" s="237"/>
      <c r="I246" s="237"/>
      <c r="J246" s="237"/>
      <c r="K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237"/>
      <c r="B247" s="237"/>
      <c r="C247" s="237"/>
      <c r="D247" s="237"/>
      <c r="E247" s="237"/>
      <c r="F247" s="237"/>
      <c r="G247" s="237"/>
      <c r="H247" s="237"/>
      <c r="I247" s="237"/>
      <c r="J247" s="237"/>
      <c r="K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237"/>
      <c r="B248" s="237"/>
      <c r="C248" s="237"/>
      <c r="D248" s="237"/>
      <c r="E248" s="237"/>
      <c r="F248" s="237"/>
      <c r="G248" s="237"/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0:C50"/>
    <mergeCell ref="B51:C51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0:A51"/>
    <mergeCell ref="A56:A57"/>
    <mergeCell ref="A165:A166"/>
    <mergeCell ref="G156:G157"/>
    <mergeCell ref="M159:M160"/>
    <mergeCell ref="D7:E18"/>
    <mergeCell ref="A16:C18"/>
  </mergeCells>
  <dataValidations count="3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0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2"/>
      <c r="B6" s="2"/>
      <c r="C6" s="2"/>
      <c r="D6" s="2"/>
      <c r="E6" s="2"/>
      <c r="F6" s="2"/>
      <c r="G6" s="2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426"/>
      <c r="B8" s="2"/>
      <c r="C8" s="2"/>
      <c r="D8" s="425"/>
      <c r="E8" s="425"/>
      <c r="F8" s="2"/>
      <c r="G8" s="2"/>
      <c r="H8" s="237"/>
      <c r="I8" s="81" t="s">
        <v>3</v>
      </c>
      <c r="J8" s="82">
        <f>E13+E14</f>
        <v>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428"/>
      <c r="B10" s="2"/>
      <c r="C10" s="2"/>
      <c r="D10" s="425"/>
      <c r="E10" s="425"/>
      <c r="F10" s="2"/>
      <c r="G10" s="2"/>
      <c r="H10" s="237"/>
      <c r="I10" s="83" t="s">
        <v>1</v>
      </c>
      <c r="J10" s="82">
        <f>E15-E11-J8</f>
        <v>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428"/>
      <c r="B12" s="2"/>
      <c r="C12" s="2"/>
      <c r="D12" s="425"/>
      <c r="E12" s="425"/>
      <c r="F12" s="2"/>
      <c r="G12" s="2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429"/>
      <c r="B16" s="429"/>
      <c r="C16" s="429"/>
      <c r="D16" s="425"/>
      <c r="E16" s="425"/>
      <c r="F16" s="2"/>
      <c r="G16" s="2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 t="b">
        <f>ISNUMBER(I31)</f>
        <v>0</v>
      </c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337</v>
      </c>
      <c r="B34" s="43" t="s">
        <v>48</v>
      </c>
      <c r="C34" s="41" t="s">
        <v>4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E19</f>
        <v>21600</v>
      </c>
      <c r="B35" s="33" t="s">
        <v>45</v>
      </c>
      <c r="C35" s="33"/>
      <c r="D35" s="59">
        <f>A35-B35</f>
        <v>20600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4</v>
      </c>
      <c r="G40" s="240" t="s">
        <v>58</v>
      </c>
      <c r="H40" s="240">
        <f>C15</f>
        <v>3600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>
        <f>IF(D41="Yes",A44,0)</f>
        <v>0</v>
      </c>
      <c r="I41" s="240" t="s">
        <v>4</v>
      </c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4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>
        <v>0</v>
      </c>
      <c r="B44" s="48" t="s">
        <v>336</v>
      </c>
      <c r="C44" s="48"/>
      <c r="D44" s="48">
        <v>0</v>
      </c>
      <c r="E44" s="48"/>
      <c r="F44" s="237"/>
      <c r="G44" s="240" t="s">
        <v>65</v>
      </c>
      <c r="H44" s="240">
        <f>((H40-(((H42/(1.2))*0.2)))/(H43))</f>
        <v>216.666666666667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283.333333333333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286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128"/>
      <c r="B50" s="41"/>
      <c r="C50" s="41"/>
      <c r="D50" s="41"/>
      <c r="E50" s="57"/>
      <c r="F50" s="237"/>
      <c r="G50" s="240" t="s">
        <v>339</v>
      </c>
      <c r="H50" s="240">
        <f>H49-H41</f>
        <v>286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49"/>
      <c r="B51" s="41"/>
      <c r="C51" s="41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/>
      <c r="B52" s="71"/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286</v>
      </c>
      <c r="C58" s="71"/>
      <c r="D58" s="473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9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3</v>
      </c>
      <c r="C64" s="109" t="s">
        <v>4</v>
      </c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6" t="s">
        <v>276</v>
      </c>
      <c r="B66" s="13">
        <f>E19</f>
        <v>21600</v>
      </c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6" t="s">
        <v>14</v>
      </c>
      <c r="B67" s="12">
        <v>37404</v>
      </c>
      <c r="C67" s="109"/>
      <c r="D67" s="109"/>
      <c r="E67" s="110"/>
      <c r="F67" s="237"/>
      <c r="G67" s="108" t="s">
        <v>14</v>
      </c>
      <c r="H67" s="368">
        <f>G18</f>
        <v>37404</v>
      </c>
      <c r="I67" s="109"/>
      <c r="J67" s="109"/>
      <c r="K67" s="110"/>
      <c r="L67" s="237"/>
      <c r="M67" s="108" t="s">
        <v>14</v>
      </c>
      <c r="N67" s="368">
        <f>G18</f>
        <v>37404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78" t="s">
        <v>277</v>
      </c>
      <c r="B68" s="79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6" t="s">
        <v>278</v>
      </c>
      <c r="B69" s="10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72" t="s">
        <v>91</v>
      </c>
      <c r="B70" s="80">
        <f>B67*B69</f>
        <v>2618.28</v>
      </c>
      <c r="C70" s="109">
        <v>10000</v>
      </c>
      <c r="D70" s="368">
        <f>B70-A149</f>
        <v>2618.28</v>
      </c>
      <c r="E70" s="110">
        <f>D70/12</f>
        <v>218.19</v>
      </c>
      <c r="F70" s="237"/>
      <c r="G70" s="169" t="s">
        <v>91</v>
      </c>
      <c r="H70" s="281">
        <f>H67*H69</f>
        <v>2618.28</v>
      </c>
      <c r="I70" s="109"/>
      <c r="J70" s="368">
        <f>H70-G151</f>
        <v>2618.28</v>
      </c>
      <c r="K70" s="110"/>
      <c r="L70" s="237"/>
      <c r="M70" s="169" t="s">
        <v>91</v>
      </c>
      <c r="N70" s="281">
        <f>N67*N69</f>
        <v>2618.28</v>
      </c>
      <c r="O70" s="109"/>
      <c r="P70" s="368">
        <f>N70-M151</f>
        <v>2618.28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78" t="s">
        <v>92</v>
      </c>
      <c r="B71" s="79">
        <v>0.01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6" t="s">
        <v>93</v>
      </c>
      <c r="B72" s="10">
        <f>B71+(B71*0.5*(H29/12-1))</f>
        <v>0.01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72" t="s">
        <v>94</v>
      </c>
      <c r="B73" s="80">
        <f>B66*B72</f>
        <v>216</v>
      </c>
      <c r="C73" s="109"/>
      <c r="D73" s="368"/>
      <c r="E73" s="110"/>
      <c r="F73" s="237"/>
      <c r="G73" s="169" t="s">
        <v>94</v>
      </c>
      <c r="H73" s="281">
        <f>H67*H72</f>
        <v>187.02</v>
      </c>
      <c r="I73" s="109"/>
      <c r="J73" s="368"/>
      <c r="K73" s="110"/>
      <c r="L73" s="237"/>
      <c r="M73" s="169" t="s">
        <v>94</v>
      </c>
      <c r="N73" s="281">
        <f>N67*N72</f>
        <v>187.02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200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60</v>
      </c>
      <c r="C79" s="109"/>
      <c r="D79" s="368">
        <f>B79+B77</f>
        <v>260</v>
      </c>
      <c r="E79" s="481">
        <f>D79+D85+D86</f>
        <v>660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165</v>
      </c>
      <c r="C80" s="109"/>
      <c r="D80" s="109"/>
      <c r="E80" s="481">
        <f>E79+D82</f>
        <v>838.75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69.8958333333333</v>
      </c>
      <c r="F81" s="237"/>
      <c r="G81" s="462" t="s">
        <v>280</v>
      </c>
      <c r="H81" s="293">
        <f>IF(G18&gt;40000,325,0)</f>
        <v>0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((B80+B81)/12)*(H29+1)</f>
        <v>178.75</v>
      </c>
      <c r="C82" s="109"/>
      <c r="D82" s="368">
        <f>IF(A50="YES",0,B82)</f>
        <v>178.75</v>
      </c>
      <c r="E82" s="110"/>
      <c r="F82" s="237"/>
      <c r="G82" s="169" t="s">
        <v>281</v>
      </c>
      <c r="H82" s="281">
        <f>((H80+H81)/12)*(H29-11)</f>
        <v>12.5</v>
      </c>
      <c r="I82" s="109"/>
      <c r="J82" s="368">
        <f>IF(A50="YES",0,H82)</f>
        <v>12.5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200</v>
      </c>
      <c r="C85" s="109"/>
      <c r="D85" s="368">
        <f>B85</f>
        <v>200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200</v>
      </c>
      <c r="C86" s="109"/>
      <c r="D86" s="368">
        <f>B86</f>
        <v>200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4123.69666666667</v>
      </c>
      <c r="C87" s="109"/>
      <c r="D87" s="109"/>
      <c r="E87" s="110"/>
      <c r="F87" s="237"/>
      <c r="G87" s="483" t="s">
        <v>103</v>
      </c>
      <c r="H87" s="484">
        <f>SUM(J70:J86)</f>
        <v>5744.78</v>
      </c>
      <c r="I87" s="109"/>
      <c r="J87" s="109"/>
      <c r="K87" s="110"/>
      <c r="L87" s="237"/>
      <c r="M87" s="483" t="s">
        <v>103</v>
      </c>
      <c r="N87" s="484">
        <f>SUM(P70:P86)</f>
        <v>5732.28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343.641388888889</v>
      </c>
      <c r="C88" s="109"/>
      <c r="D88" s="109"/>
      <c r="E88" s="110"/>
      <c r="F88" s="237"/>
      <c r="G88" s="108" t="s">
        <v>104</v>
      </c>
      <c r="H88" s="180">
        <f>H87/H29</f>
        <v>478.731666666667</v>
      </c>
      <c r="I88" s="109"/>
      <c r="J88" s="109"/>
      <c r="K88" s="110"/>
      <c r="L88" s="237"/>
      <c r="M88" s="108" t="s">
        <v>104</v>
      </c>
      <c r="N88" s="180">
        <f>N87/H29</f>
        <v>477.69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286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</f>
        <v>7555.69666666667</v>
      </c>
      <c r="C91" s="109"/>
      <c r="D91" s="109"/>
      <c r="E91" s="110"/>
      <c r="F91" s="237"/>
      <c r="G91" s="474" t="s">
        <v>115</v>
      </c>
      <c r="H91" s="266">
        <f>((H89*H29)+H87)*1.2</f>
        <v>6893.736</v>
      </c>
      <c r="I91" s="109"/>
      <c r="J91" s="109"/>
      <c r="K91" s="110"/>
      <c r="L91" s="237"/>
      <c r="M91" s="474" t="s">
        <v>115</v>
      </c>
      <c r="N91" s="266">
        <f>((N89*H29)+N87)</f>
        <v>5732.28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64.0054981847519</v>
      </c>
      <c r="C92" s="109"/>
      <c r="D92" s="109"/>
      <c r="E92" s="486"/>
      <c r="F92" s="237"/>
      <c r="G92" s="108" t="s">
        <v>116</v>
      </c>
      <c r="H92" s="180">
        <f>(((H89*H29)+H87)/(1-H76))*H76</f>
        <v>48.6649374747882</v>
      </c>
      <c r="I92" s="109"/>
      <c r="J92" s="109"/>
      <c r="K92" s="110"/>
      <c r="L92" s="237"/>
      <c r="M92" s="108" t="s">
        <v>116</v>
      </c>
      <c r="N92" s="180">
        <f>(N91/(1-N76))*N76</f>
        <v>48.5590480032271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7619.70216485142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8942.40093747479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7780.83904800323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</f>
        <v>0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634.975180404285</v>
      </c>
      <c r="C96" s="109" t="s">
        <v>4</v>
      </c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634.975180404285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351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19</v>
      </c>
      <c r="B111" s="101">
        <v>0</v>
      </c>
      <c r="C111" s="101"/>
      <c r="D111" s="102" t="s">
        <v>352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199.99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((E124*1.2)+E123)-E120</f>
        <v>-2760.012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3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3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634.975180404285</v>
      </c>
      <c r="B134" s="113">
        <f>IF(A111="YES",B95,0)</f>
        <v>0</v>
      </c>
      <c r="C134" s="119"/>
      <c r="D134" s="113">
        <f>B97</f>
        <v>634.975180404285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Terminal pause with 9 down </v>
      </c>
      <c r="B137" s="127">
        <f>B96*B63</f>
        <v>5714.77662363857</v>
      </c>
      <c r="C137" s="109"/>
      <c r="D137" s="127">
        <f>IF(A111="YES",B95*B63,0)</f>
        <v>0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5714.77662363857</v>
      </c>
      <c r="B140" s="127">
        <f>E120</f>
        <v>4000</v>
      </c>
      <c r="C140" s="109"/>
      <c r="D140" s="135">
        <f>B64</f>
        <v>3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</v>
      </c>
      <c r="H142" s="127">
        <f>IF(G111="YES",E15*0.000002,0)</f>
        <v>0</v>
      </c>
      <c r="I142" s="127"/>
      <c r="J142" s="127">
        <f>G142+H142</f>
        <v>0</v>
      </c>
      <c r="K142" s="141"/>
      <c r="L142" s="237"/>
      <c r="M142" s="134">
        <f>E15*0.000006</f>
        <v>0</v>
      </c>
      <c r="N142" s="127">
        <f>IF(M111="YES",E15*0.000002,0)</f>
        <v>0</v>
      </c>
      <c r="O142" s="127"/>
      <c r="P142" s="127">
        <f>M142+N142</f>
        <v>0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634.975180404285</v>
      </c>
      <c r="B143" s="127">
        <f>IF(A111="YES",B95,0)</f>
        <v>0</v>
      </c>
      <c r="C143" s="109"/>
      <c r="D143" s="127">
        <f>B97</f>
        <v>634.975180404285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155.85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155.85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2815.838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2775.84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216</v>
      </c>
      <c r="B154" s="133">
        <f>B108</f>
        <v>400</v>
      </c>
      <c r="C154" s="127"/>
      <c r="D154" s="127">
        <f>IF(A111="YES",(A44/100*B111)*B131,0)*0.1</f>
        <v>0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3600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715.99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634.975180404285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 t="b">
        <f>ISNUMBER(B183)</f>
        <v>1</v>
      </c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634.975180404285</v>
      </c>
      <c r="B177" s="156">
        <f>IF(A111="YES",B95,0)</f>
        <v>0</v>
      </c>
      <c r="C177" s="159"/>
      <c r="D177" s="156">
        <f>B91</f>
        <v>7555.69666666667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Terminal pause with 9 down </v>
      </c>
      <c r="B180" s="133">
        <f>B96*B63</f>
        <v>5714.77662363857</v>
      </c>
      <c r="C180" s="154"/>
      <c r="D180" s="133">
        <f>IF(A111="YES",B95*B63,0)</f>
        <v>0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5714.77662363857</v>
      </c>
      <c r="B183" s="133">
        <f>E120</f>
        <v>4000</v>
      </c>
      <c r="C183" s="154"/>
      <c r="D183" s="162">
        <f>B64</f>
        <v>3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634.975180404285</v>
      </c>
      <c r="B186" s="133">
        <f>IF(A111="YES",B95,0)</f>
        <v>0</v>
      </c>
      <c r="C186" s="154"/>
      <c r="D186" s="133">
        <f>B97</f>
        <v>634.975180404285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216</v>
      </c>
      <c r="B197" s="133">
        <f>B108</f>
        <v>400</v>
      </c>
      <c r="C197" s="133"/>
      <c r="D197" s="133">
        <f>IF(A111="YES",(A44/100*B111)*B131,0)*0.1</f>
        <v>0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715.99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2618.28</v>
      </c>
      <c r="E209" s="114"/>
      <c r="F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</v>
      </c>
      <c r="E211" s="114"/>
      <c r="F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2742.27</v>
      </c>
      <c r="C213" s="118"/>
      <c r="D213" s="113"/>
      <c r="E213" s="114"/>
      <c r="F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2618.28</v>
      </c>
      <c r="C217" s="177" t="s">
        <v>223</v>
      </c>
      <c r="D217" s="109"/>
      <c r="E217" s="178">
        <f>B72</f>
        <v>0.01</v>
      </c>
      <c r="F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2742.27</v>
      </c>
      <c r="F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64.0054981847519</v>
      </c>
      <c r="F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165</v>
      </c>
      <c r="F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108"/>
      <c r="B243" s="109"/>
      <c r="C243" s="109"/>
      <c r="D243" s="109"/>
      <c r="E243" s="110"/>
      <c r="F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134"/>
      <c r="B244" s="127"/>
      <c r="C244" s="127"/>
      <c r="D244" s="127"/>
      <c r="E244" s="141"/>
      <c r="F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108"/>
      <c r="B245" s="109"/>
      <c r="C245" s="109"/>
      <c r="D245" s="109"/>
      <c r="E245" s="110"/>
      <c r="F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108"/>
      <c r="B246" s="109"/>
      <c r="C246" s="109"/>
      <c r="D246" s="109"/>
      <c r="E246" s="110"/>
      <c r="F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134"/>
      <c r="B247" s="127"/>
      <c r="C247" s="109"/>
      <c r="D247" s="109"/>
      <c r="E247" s="110"/>
      <c r="F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169"/>
      <c r="B248" s="170"/>
      <c r="C248" s="170"/>
      <c r="D248" s="170"/>
      <c r="E248" s="171"/>
      <c r="F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3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3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03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 t="str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348</v>
      </c>
      <c r="B41" s="55" t="str">
        <f>IF(B38="YES",D38+A41,D38)</f>
        <v>500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348</v>
      </c>
      <c r="E44" s="48"/>
      <c r="F44" s="2"/>
      <c r="G44" s="2" t="s">
        <v>257</v>
      </c>
      <c r="H44" s="50" t="str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338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21600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1512</v>
      </c>
      <c r="C70" s="13">
        <v>10000</v>
      </c>
      <c r="D70" s="12">
        <f>B70-A149</f>
        <v>1512</v>
      </c>
      <c r="E70" s="14">
        <f>D70/12</f>
        <v>126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216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2838.66666666667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236.555555555556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8850.66666666667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74.9753933037515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8925.64205997042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743.803504997535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743.803504997535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350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4">
        <v>0</v>
      </c>
      <c r="C111" s="104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743.803504997535</v>
      </c>
      <c r="B134" s="113">
        <f>IF(A111="YES",B95,0)</f>
        <v>0</v>
      </c>
      <c r="C134" s="119"/>
      <c r="D134" s="113">
        <f>B97</f>
        <v>743.803504997535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743.803504997535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743.803504997535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743.803504997535</v>
      </c>
      <c r="B143" s="127">
        <f>IF(A111="YES",B95,0)</f>
        <v>0</v>
      </c>
      <c r="C143" s="109"/>
      <c r="D143" s="127">
        <f>B97</f>
        <v>743.803504997535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1375.838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1335.84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216</v>
      </c>
      <c r="B154" s="133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715.99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743.803504997535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743.803504997535</v>
      </c>
      <c r="B177" s="156">
        <f>IF(A111="YES",B95,0)</f>
        <v>0</v>
      </c>
      <c r="C177" s="159"/>
      <c r="D177" s="156">
        <f>B91</f>
        <v>8850.66666666667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743.803504997535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743.803504997535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743.803504997535</v>
      </c>
      <c r="B186" s="133">
        <f>IF(A111="YES",B95,0)</f>
        <v>0</v>
      </c>
      <c r="C186" s="154"/>
      <c r="D186" s="133">
        <f>B97</f>
        <v>743.803504997535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715.99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1512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1635.99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1512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1635.99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74.9753933037515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1" workbookViewId="0">
      <selection activeCell="A66" sqref="A6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 t="str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348</v>
      </c>
      <c r="B41" s="55" t="str">
        <f>IF(B38="YES",D38+A41,D38)</f>
        <v>500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348</v>
      </c>
      <c r="E44" s="48"/>
      <c r="F44" s="2"/>
      <c r="G44" s="2" t="s">
        <v>257</v>
      </c>
      <c r="H44" s="50" t="str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4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21600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1512</v>
      </c>
      <c r="C70" s="13">
        <v>10000</v>
      </c>
      <c r="D70" s="12">
        <f>B70-A149</f>
        <v>1512</v>
      </c>
      <c r="E70" s="14">
        <f>D70/12</f>
        <v>126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216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165</v>
      </c>
      <c r="C80" s="13"/>
      <c r="D80" s="13"/>
      <c r="E80" s="194">
        <f>E79+D82</f>
        <v>838.75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69.8958333333333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178.75</v>
      </c>
      <c r="C82" s="13"/>
      <c r="D82" s="12">
        <f>IF(A50="YES",0,B82)</f>
        <v>178.75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3017.41666666667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251.451388888889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10835.3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76.4896127470755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10911.7896127471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909.315801062256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909.315801062256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909.315801062256</v>
      </c>
      <c r="B134" s="113">
        <f>IF(A111="YES",B95,0)</f>
        <v>0</v>
      </c>
      <c r="C134" s="119"/>
      <c r="D134" s="113">
        <f>B97</f>
        <v>909.315801062256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909.315801062256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909.315801062256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909.315801062256</v>
      </c>
      <c r="B143" s="127">
        <f>IF(A111="YES",B95,0)</f>
        <v>0</v>
      </c>
      <c r="C143" s="109"/>
      <c r="D143" s="127">
        <f>B97</f>
        <v>909.315801062256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1375.838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1335.84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715.991666666667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909.315801062256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909.315801062256</v>
      </c>
      <c r="B177" s="156">
        <f>IF(A111="YES",B95,0)</f>
        <v>0</v>
      </c>
      <c r="C177" s="159"/>
      <c r="D177" s="156">
        <f>B97</f>
        <v>909.315801062256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909.315801062256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909.315801062256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909.315801062256</v>
      </c>
      <c r="B186" s="133">
        <f>IF(A111="YES",B95,0)</f>
        <v>0</v>
      </c>
      <c r="C186" s="154"/>
      <c r="D186" s="133">
        <f>B97</f>
        <v>909.315801062256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715.991666666667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1512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1635.99166666667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1512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1635.99166666667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76.4896127470755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85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 t="str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70</v>
      </c>
      <c r="B41" s="55">
        <f>IF(B38="YES",D38+A41,D38)</f>
        <v>550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349</v>
      </c>
      <c r="E44" s="48"/>
      <c r="F44" s="2"/>
      <c r="G44" s="2" t="s">
        <v>257</v>
      </c>
      <c r="H44" s="50" t="str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21600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1512</v>
      </c>
      <c r="C70" s="13">
        <v>10000</v>
      </c>
      <c r="D70" s="12">
        <f>B70-A149</f>
        <v>1512</v>
      </c>
      <c r="E70" s="14">
        <f>D70/12</f>
        <v>126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216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165</v>
      </c>
      <c r="C80" s="13"/>
      <c r="D80" s="13"/>
      <c r="E80" s="194">
        <f>E79+D82</f>
        <v>838.75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69.8958333333333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178.75</v>
      </c>
      <c r="C82" s="13"/>
      <c r="D82" s="12">
        <f>IF(A50="YES",0,B82)</f>
        <v>178.75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3017.41666666667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251.451388888889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9029.41666666667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76.4896127470755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9105.90627941374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60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758.825523284479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758.825523284479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758.825523284479</v>
      </c>
      <c r="B134" s="113">
        <f>IF(A111="YES",B95,0)</f>
        <v>0</v>
      </c>
      <c r="C134" s="119"/>
      <c r="D134" s="113">
        <f>B97</f>
        <v>758.825523284479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758.825523284479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758.825523284479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758.825523284479</v>
      </c>
      <c r="B143" s="127">
        <f>IF(A111="YES",B95,0)</f>
        <v>0</v>
      </c>
      <c r="C143" s="109"/>
      <c r="D143" s="127">
        <f>B97</f>
        <v>758.825523284479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1387.838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1347.84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715.99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758.825523284479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758.825523284479</v>
      </c>
      <c r="B177" s="156">
        <f>IF(A111="YES",B95,0)</f>
        <v>0</v>
      </c>
      <c r="C177" s="159"/>
      <c r="D177" s="156">
        <f>B91</f>
        <v>9029.41666666667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758.825523284479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758.825523284479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758.825523284479</v>
      </c>
      <c r="B186" s="133">
        <f>IF(A111="YES",B95,0)</f>
        <v>0</v>
      </c>
      <c r="C186" s="154"/>
      <c r="D186" s="133">
        <f>B97</f>
        <v>758.825523284479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216</v>
      </c>
      <c r="B197" s="133">
        <f>B154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715.99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1512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1635.99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1512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1635.99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76.4896127470755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1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0.00</v>
      </c>
      <c r="E32" s="37"/>
      <c r="F32" s="2"/>
      <c r="G32" s="38" t="s">
        <v>243</v>
      </c>
      <c r="H32" s="36" t="str">
        <f>A41</f>
        <v>0.00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249</v>
      </c>
      <c r="B41" s="55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 t="str">
        <f>H32</f>
        <v>0.00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21600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1512</v>
      </c>
      <c r="C70" s="13">
        <v>10000</v>
      </c>
      <c r="D70" s="12">
        <f>B70-A149</f>
        <v>1512</v>
      </c>
      <c r="E70" s="14">
        <f>D70/12</f>
        <v>126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216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2838.66666666667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236.555555555556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8850.66666666667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74.9753933037515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8925.64205997042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743.803504997535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743.803504997535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341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743.803504997535</v>
      </c>
      <c r="B134" s="113">
        <f>IF(A111="YES",B95,0)</f>
        <v>0</v>
      </c>
      <c r="C134" s="119"/>
      <c r="D134" s="113">
        <f>B97</f>
        <v>743.803504997535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743.803504997535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743.803504997535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743.803504997535</v>
      </c>
      <c r="B143" s="127">
        <f>IF(A111="YES",B95,0)</f>
        <v>0</v>
      </c>
      <c r="C143" s="109"/>
      <c r="D143" s="127">
        <f>B97</f>
        <v>743.803504997535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1375.838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1335.84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715.99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743.803504997535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743.803504997535</v>
      </c>
      <c r="B177" s="156">
        <f>IF(A111="YES",B95,0)</f>
        <v>0</v>
      </c>
      <c r="C177" s="159"/>
      <c r="D177" s="156">
        <f>B91</f>
        <v>8850.66666666667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743.803504997535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743.803504997535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743.803504997535</v>
      </c>
      <c r="B186" s="133">
        <f>IF(A111="YES",B95,0)</f>
        <v>0</v>
      </c>
      <c r="C186" s="154"/>
      <c r="D186" s="133">
        <f>B97</f>
        <v>743.803504997535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715.99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1512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1635.99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1512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1635.99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74.9753933037515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1" workbookViewId="0">
      <selection activeCell="A66" sqref="A6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 t="str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21600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1512</v>
      </c>
      <c r="C70" s="13">
        <v>10000</v>
      </c>
      <c r="D70" s="12">
        <f>B70-A149</f>
        <v>1512</v>
      </c>
      <c r="E70" s="14">
        <f>D70/12</f>
        <v>126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216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165</v>
      </c>
      <c r="C80" s="13"/>
      <c r="D80" s="13"/>
      <c r="E80" s="194">
        <f>E79+D82</f>
        <v>838.75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69.8958333333333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178.75</v>
      </c>
      <c r="C82" s="13"/>
      <c r="D82" s="12">
        <f>IF(A50="YES",0,B82)</f>
        <v>178.75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3017.41666666667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251.451388888889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10835.3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76.4896127470755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10911.7896127471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909.315801062256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909.315801062256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909.315801062256</v>
      </c>
      <c r="B134" s="113">
        <f>IF(A111="YES",B95,0)</f>
        <v>0</v>
      </c>
      <c r="C134" s="119"/>
      <c r="D134" s="113">
        <f>B97</f>
        <v>909.315801062256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909.315801062256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909.315801062256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909.315801062256</v>
      </c>
      <c r="B143" s="127">
        <f>IF(A111="YES",B95,0)</f>
        <v>0</v>
      </c>
      <c r="C143" s="109"/>
      <c r="D143" s="127">
        <f>B97</f>
        <v>909.315801062256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1375.838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1335.84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216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715.991666666667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909.315801062256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909.315801062256</v>
      </c>
      <c r="B177" s="156">
        <f>IF(A111="YES",B95,0)</f>
        <v>0</v>
      </c>
      <c r="C177" s="159"/>
      <c r="D177" s="156">
        <f>B91</f>
        <v>10835.3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909.315801062256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909.315801062256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909.315801062256</v>
      </c>
      <c r="B186" s="133">
        <f>IF(A111="YES",B95,0)</f>
        <v>0</v>
      </c>
      <c r="C186" s="154"/>
      <c r="D186" s="133">
        <f>B97</f>
        <v>909.315801062256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216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715.991666666667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1512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216</v>
      </c>
      <c r="C211" s="112" t="s">
        <v>219</v>
      </c>
      <c r="D211" s="173">
        <f>B225+E221+B221+B223</f>
        <v>339.991666666667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1635.99166666667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1512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216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1635.99166666667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76.4896127470755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52" workbookViewId="0">
      <selection activeCell="B73" sqref="B73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60000</v>
      </c>
      <c r="C2" s="416" t="s">
        <v>2</v>
      </c>
      <c r="D2" s="417">
        <f>C9</f>
        <v>12000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72000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60000</v>
      </c>
      <c r="C9" s="82">
        <f>B9*0.2</f>
        <v>12000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60000</v>
      </c>
      <c r="C15" s="82">
        <f>SUM(C9:C13)</f>
        <v>12000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2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72000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60000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0.00</v>
      </c>
      <c r="E32" s="37"/>
      <c r="F32" s="2"/>
      <c r="G32" s="38" t="s">
        <v>243</v>
      </c>
      <c r="H32" s="36" t="str">
        <f>A41</f>
        <v>0.00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249</v>
      </c>
      <c r="B41" s="55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 t="str">
        <f>H32</f>
        <v>0.00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276</v>
      </c>
      <c r="B66" s="13">
        <f>E19</f>
        <v>72000</v>
      </c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v>37404</v>
      </c>
      <c r="C67" s="13"/>
      <c r="D67" s="13"/>
      <c r="E67" s="14"/>
      <c r="F67" s="2"/>
      <c r="G67" s="6" t="s">
        <v>14</v>
      </c>
      <c r="H67" s="12">
        <f>G18</f>
        <v>37404</v>
      </c>
      <c r="I67" s="13"/>
      <c r="J67" s="13"/>
      <c r="K67" s="14"/>
      <c r="L67" s="2"/>
      <c r="M67" s="6" t="s">
        <v>14</v>
      </c>
      <c r="N67" s="12">
        <f>G18</f>
        <v>37404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B66*B69</f>
        <v>5040</v>
      </c>
      <c r="C70" s="13">
        <v>10000</v>
      </c>
      <c r="D70" s="12">
        <f>B70-A149</f>
        <v>5040</v>
      </c>
      <c r="E70" s="14">
        <f>D70/12</f>
        <v>420</v>
      </c>
      <c r="F70" s="2"/>
      <c r="G70" s="72" t="s">
        <v>91</v>
      </c>
      <c r="H70" s="80">
        <f>H67*H69</f>
        <v>2618.28</v>
      </c>
      <c r="I70" s="13"/>
      <c r="J70" s="12">
        <f>H70-G151</f>
        <v>2618.28</v>
      </c>
      <c r="K70" s="14"/>
      <c r="L70" s="2"/>
      <c r="M70" s="72" t="s">
        <v>91</v>
      </c>
      <c r="N70" s="80">
        <f>N67*N69</f>
        <v>2618.28</v>
      </c>
      <c r="O70" s="13"/>
      <c r="P70" s="12">
        <f>N70-M151</f>
        <v>2618.28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B66*B72</f>
        <v>720</v>
      </c>
      <c r="C73" s="13"/>
      <c r="D73" s="12"/>
      <c r="E73" s="14"/>
      <c r="F73" s="2"/>
      <c r="G73" s="72" t="s">
        <v>94</v>
      </c>
      <c r="H73" s="80">
        <f>H67*H72</f>
        <v>187.02</v>
      </c>
      <c r="I73" s="13"/>
      <c r="J73" s="12"/>
      <c r="K73" s="14"/>
      <c r="L73" s="2"/>
      <c r="M73" s="72" t="s">
        <v>94</v>
      </c>
      <c r="N73" s="80">
        <f>N67*N72</f>
        <v>187.02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165</v>
      </c>
      <c r="C80" s="13"/>
      <c r="D80" s="13"/>
      <c r="E80" s="194">
        <f>E79+D82</f>
        <v>838.75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69.8958333333333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((B80+B81)/12)*(H29+1)</f>
        <v>178.75</v>
      </c>
      <c r="C82" s="13"/>
      <c r="D82" s="12">
        <f>IF(A50="YES",0,B82)</f>
        <v>178.75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6545.41666666667</v>
      </c>
      <c r="C87" s="13"/>
      <c r="D87" s="13"/>
      <c r="E87" s="14"/>
      <c r="F87" s="2"/>
      <c r="G87" s="91" t="s">
        <v>103</v>
      </c>
      <c r="H87" s="92">
        <f>SUM(J70:J86)</f>
        <v>5744.78</v>
      </c>
      <c r="I87" s="13"/>
      <c r="J87" s="13"/>
      <c r="K87" s="14"/>
      <c r="L87" s="2"/>
      <c r="M87" s="91" t="s">
        <v>103</v>
      </c>
      <c r="N87" s="92">
        <f>SUM(P70:P86)</f>
        <v>5732.28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545.451388888889</v>
      </c>
      <c r="C88" s="13"/>
      <c r="D88" s="13"/>
      <c r="E88" s="14"/>
      <c r="F88" s="2"/>
      <c r="G88" s="6" t="s">
        <v>104</v>
      </c>
      <c r="H88" s="11">
        <f>H87/H29</f>
        <v>478.731666666667</v>
      </c>
      <c r="I88" s="13"/>
      <c r="J88" s="13"/>
      <c r="K88" s="14"/>
      <c r="L88" s="2"/>
      <c r="M88" s="6" t="s">
        <v>104</v>
      </c>
      <c r="N88" s="11">
        <f>N87/H29</f>
        <v>477.69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12557.4166666667</v>
      </c>
      <c r="C91" s="13"/>
      <c r="D91" s="13"/>
      <c r="E91" s="14"/>
      <c r="F91" s="2"/>
      <c r="G91" s="75" t="s">
        <v>115</v>
      </c>
      <c r="H91" s="95">
        <f>((H89*H29)+H87)*1.2</f>
        <v>14108.136</v>
      </c>
      <c r="I91" s="13"/>
      <c r="J91" s="13"/>
      <c r="K91" s="14"/>
      <c r="L91" s="2"/>
      <c r="M91" s="75" t="s">
        <v>115</v>
      </c>
      <c r="N91" s="95">
        <f>((N89*H29)+N87)</f>
        <v>11744.28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106.375857200484</v>
      </c>
      <c r="C92" s="13"/>
      <c r="D92" s="13"/>
      <c r="E92" s="195"/>
      <c r="F92" s="2"/>
      <c r="G92" s="6" t="s">
        <v>116</v>
      </c>
      <c r="H92" s="11">
        <f>(((H89*H29)+H87)/(1-H76))*H76</f>
        <v>99.5935377168213</v>
      </c>
      <c r="I92" s="13"/>
      <c r="J92" s="13"/>
      <c r="K92" s="14"/>
      <c r="L92" s="2"/>
      <c r="M92" s="6" t="s">
        <v>116</v>
      </c>
      <c r="N92" s="11">
        <f>(N91/(1-N76))*N76</f>
        <v>99.4876482452602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12663.7925238672</v>
      </c>
      <c r="C93" s="13"/>
      <c r="D93" s="13"/>
      <c r="E93" s="14"/>
      <c r="F93" s="2"/>
      <c r="G93" s="72" t="s">
        <v>117</v>
      </c>
      <c r="H93" s="80">
        <f>IF(H116="YES",((H91+H92)-K120),(H91+H92))</f>
        <v>16207.7295377168</v>
      </c>
      <c r="I93" s="13"/>
      <c r="J93" s="13"/>
      <c r="K93" s="14"/>
      <c r="L93" s="2"/>
      <c r="M93" s="72" t="s">
        <v>117</v>
      </c>
      <c r="N93" s="80">
        <f>IF(N116="YES",((N91+N92)-K120),(N91+N92))</f>
        <v>13843.7676482453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1055.3160436556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1055.3160436556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1055.3160436556</v>
      </c>
      <c r="B134" s="113">
        <f>IF(A111="YES",B95,0)</f>
        <v>0</v>
      </c>
      <c r="C134" s="119"/>
      <c r="D134" s="113">
        <f>B97</f>
        <v>1055.3160436556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1055.3160436556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1055.3160436556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</v>
      </c>
      <c r="H142" s="133">
        <f>IF(G111="YES",E15*0.000002,0)</f>
        <v>0</v>
      </c>
      <c r="I142" s="133"/>
      <c r="J142" s="133">
        <f>G142+H142</f>
        <v>0</v>
      </c>
      <c r="K142" s="141"/>
      <c r="L142" s="2"/>
      <c r="M142" s="134">
        <f>E15*0.000006</f>
        <v>0</v>
      </c>
      <c r="N142" s="133">
        <f>IF(M111="YES",E15*0.000002,0)</f>
        <v>0</v>
      </c>
      <c r="O142" s="133"/>
      <c r="P142" s="133">
        <f>M142+N142</f>
        <v>0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1055.3160436556</v>
      </c>
      <c r="B143" s="127">
        <f>IF(A111="YES",B95,0)</f>
        <v>0</v>
      </c>
      <c r="C143" s="109"/>
      <c r="D143" s="127">
        <f>B97</f>
        <v>1055.3160436556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155.85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155.85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26.93088</v>
      </c>
      <c r="B146" s="143">
        <f>G18*0.000002*1.2*100</f>
        <v>8.97696</v>
      </c>
      <c r="C146" s="109"/>
      <c r="D146" s="143">
        <f>A146+B146</f>
        <v>35.90784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1375.838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1335.84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720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1219.99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1055.3160436556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1055.3160436556</v>
      </c>
      <c r="B177" s="156">
        <f>IF(A111="YES",B95,0)</f>
        <v>0</v>
      </c>
      <c r="C177" s="159"/>
      <c r="D177" s="156">
        <f>B91</f>
        <v>12557.4166666667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1055.3160436556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1055.3160436556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1055.3160436556</v>
      </c>
      <c r="B186" s="133">
        <f>IF(A111="YES",B95,0)</f>
        <v>0</v>
      </c>
      <c r="C186" s="154"/>
      <c r="D186" s="133">
        <f>B97</f>
        <v>1055.3160436556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26.93088</v>
      </c>
      <c r="B189" s="166">
        <f>G18*0.000002*1.2*100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720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1219.99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5040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720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4659.99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5040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720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4659.99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106.375857200484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4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  <mergeCell ref="D7:E18"/>
    <mergeCell ref="A16:C18"/>
  </mergeCells>
  <dataValidations count="4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97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37405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36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15150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36</v>
      </c>
      <c r="B33" s="44">
        <f>B51</f>
        <v>10000</v>
      </c>
      <c r="C33" s="250"/>
      <c r="D33" s="250"/>
      <c r="E33" s="44">
        <f>K48</f>
        <v>241.443901397419</v>
      </c>
      <c r="F33" s="44"/>
      <c r="G33" s="44"/>
      <c r="H33" s="271"/>
      <c r="I33" s="240"/>
      <c r="J33" s="302" t="s">
        <v>355</v>
      </c>
      <c r="K33" s="306">
        <f>E21</f>
        <v>18000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241.443901397419</v>
      </c>
      <c r="B36" s="44" t="str">
        <f>IF(B26="YES",K42,"0.00")</f>
        <v>0.00</v>
      </c>
      <c r="C36" s="44"/>
      <c r="D36" s="44"/>
      <c r="E36" s="44">
        <f>K31</f>
        <v>15150</v>
      </c>
      <c r="F36" s="44"/>
      <c r="G36" s="44"/>
      <c r="H36" s="271"/>
      <c r="I36" s="240"/>
      <c r="J36" s="240" t="s">
        <v>50</v>
      </c>
      <c r="K36" s="240">
        <f>K29</f>
        <v>36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18000</v>
      </c>
      <c r="L39" s="240">
        <f>(L47*K46)+K44</f>
        <v>36089.6572316354</v>
      </c>
      <c r="N39" s="239">
        <f>K39-L39</f>
        <v>-18089.6572316354</v>
      </c>
      <c r="P39" s="273"/>
    </row>
    <row r="40" ht="19.5" spans="1:16">
      <c r="A40" s="102">
        <f>E36*A45/100</f>
        <v>15150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12625</v>
      </c>
      <c r="L40" s="240">
        <f>K39-L39</f>
        <v>-18089.6572316354</v>
      </c>
      <c r="N40" s="239">
        <f>N38-N39</f>
        <v>21001.3372316354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10180.4856703288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7819.51432967116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32.3864644516332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241.443901397419</v>
      </c>
      <c r="L47" s="240">
        <f>L49-K42</f>
        <v>800</v>
      </c>
      <c r="M47" s="239">
        <f>K47-L47</f>
        <v>-558.556098602581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241.443901397419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36</v>
      </c>
      <c r="B52" s="71">
        <f>K48</f>
        <v>241.443901397419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35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35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35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35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37405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37405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37405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37405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5900.53588952154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0.01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0.01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0.01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190.4167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2805.375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374.05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241.443901397419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241.443901397419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241.443901397419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241.443901397419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22850.004</v>
      </c>
      <c r="C81" s="250"/>
      <c r="D81" s="250"/>
      <c r="E81" s="291"/>
      <c r="F81" s="264" t="s">
        <v>106</v>
      </c>
      <c r="G81" s="266">
        <f>G158</f>
        <v>22850.004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15150</v>
      </c>
      <c r="C82" s="250"/>
      <c r="D82" s="250"/>
      <c r="E82" s="291"/>
      <c r="F82" s="245" t="s">
        <v>107</v>
      </c>
      <c r="G82" s="180">
        <f>IF(A111="YES",A40,0)</f>
        <v>15150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15150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15150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B59</f>
        <v>35</v>
      </c>
      <c r="C85" s="250"/>
      <c r="D85" s="250"/>
      <c r="E85" s="291"/>
      <c r="F85" s="245" t="s">
        <v>110</v>
      </c>
      <c r="G85" s="180">
        <f>IF(G82=0,(B59+B58),(B59))</f>
        <v>35</v>
      </c>
      <c r="H85" s="180"/>
      <c r="J85" s="245" t="s">
        <v>110</v>
      </c>
      <c r="K85" s="180">
        <f>IF(K82=0,(K59+K58),(K59))</f>
        <v>36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35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35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10588.712986853</v>
      </c>
      <c r="C86" s="250"/>
      <c r="D86" s="250"/>
      <c r="E86" s="291"/>
      <c r="F86" s="245" t="s">
        <v>111</v>
      </c>
      <c r="G86" s="180">
        <f>(G82/((1+G84)^(G85+1)))</f>
        <v>12287.8462040869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10248.48789156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10248.48789156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29.4085800876469</v>
      </c>
      <c r="C87" s="250"/>
      <c r="D87" s="250"/>
      <c r="E87" s="291"/>
      <c r="F87" s="245" t="s">
        <v>112</v>
      </c>
      <c r="G87" s="180">
        <f>((1-(1/((1+G84)^G85)))/G84)</f>
        <v>31.5753854942677</v>
      </c>
      <c r="H87" s="180"/>
      <c r="J87" s="245" t="s">
        <v>112</v>
      </c>
      <c r="K87" s="180">
        <f>((1-(1/((1+K84)^K85)))/K84)</f>
        <v>25.4888424823874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28.9600651941078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28.9600651941078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12261.291013147</v>
      </c>
      <c r="C88" s="250"/>
      <c r="D88" s="250"/>
      <c r="E88" s="291"/>
      <c r="F88" s="245" t="s">
        <v>113</v>
      </c>
      <c r="G88" s="180">
        <f>G81-G86</f>
        <v>10562.1577959131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416.929038280818</v>
      </c>
      <c r="C89" s="250"/>
      <c r="D89" s="250"/>
      <c r="E89" s="291"/>
      <c r="F89" s="245" t="s">
        <v>114</v>
      </c>
      <c r="G89" s="180">
        <f>(G88/G87)</f>
        <v>334.506060039412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14592.5163398286</v>
      </c>
      <c r="C90" s="250"/>
      <c r="D90" s="250"/>
      <c r="E90" s="291"/>
      <c r="F90" s="245" t="s">
        <v>115</v>
      </c>
      <c r="G90" s="180">
        <f>((G89*(G85))+G77)</f>
        <v>11707.7121013794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14592.5163398286</v>
      </c>
      <c r="C92" s="250"/>
      <c r="D92" s="250"/>
      <c r="E92" s="291"/>
      <c r="F92" s="275" t="s">
        <v>117</v>
      </c>
      <c r="G92" s="281">
        <f>(G90+G91)</f>
        <v>11707.7121013794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IF(B26="YES",((E40/B85)*(1+A108)*1.2*(C45/100)),"0")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(B92/B85)</f>
        <v>416.929038280818</v>
      </c>
      <c r="C95" s="250"/>
      <c r="D95" s="250"/>
      <c r="E95" s="291"/>
      <c r="F95" s="319" t="s">
        <v>119</v>
      </c>
      <c r="G95" s="320">
        <f>G92/(G85)</f>
        <v>334.506060039412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416.929038280818</v>
      </c>
      <c r="C96" s="250"/>
      <c r="D96" s="250"/>
      <c r="E96" s="291"/>
      <c r="F96" s="321" t="s">
        <v>120</v>
      </c>
      <c r="G96" s="322">
        <f>G94+G95</f>
        <v>334.506060039412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200</v>
      </c>
      <c r="C111" s="102"/>
      <c r="D111" s="102"/>
      <c r="E111" s="102">
        <v>200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400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18000</v>
      </c>
      <c r="C121" s="336">
        <v>19791.67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21600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21600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21600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18000</v>
      </c>
      <c r="C125" s="80">
        <f t="shared" si="3"/>
        <v>19791.67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18000</v>
      </c>
      <c r="H135" s="354">
        <f>C125+E125+G125+H128</f>
        <v>19791.67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21600</v>
      </c>
      <c r="H147" s="359">
        <f>H141-((H144*1.2)+(H145*1.2)+(H146*1.2)+(H142*1.2))</f>
        <v>23750.004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-17548.6116666667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400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22850.004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416.929038280818</v>
      </c>
      <c r="B167" s="126" t="str">
        <f>B94</f>
        <v>0</v>
      </c>
      <c r="C167" s="365"/>
      <c r="D167" s="365"/>
      <c r="E167" s="126">
        <f>B96</f>
        <v>416.929038280818</v>
      </c>
      <c r="F167" s="262"/>
      <c r="G167" s="262">
        <f>ROUND(G95,2)</f>
        <v>334.51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36</v>
      </c>
      <c r="B170" s="40">
        <f>K30</f>
        <v>10000</v>
      </c>
      <c r="C170" s="367"/>
      <c r="D170" s="262"/>
      <c r="E170" s="274">
        <f>IF(A111="YES",A40,0)</f>
        <v>15150</v>
      </c>
      <c r="F170" s="262"/>
      <c r="G170" s="262"/>
      <c r="H170" s="180"/>
      <c r="J170" s="270">
        <f>K29</f>
        <v>36</v>
      </c>
      <c r="K170" s="42">
        <f>K30</f>
        <v>10000</v>
      </c>
      <c r="L170" s="367"/>
      <c r="M170" s="262"/>
      <c r="N170" s="274">
        <f>IF(A111="YES",A40,0)</f>
        <v>15150</v>
      </c>
      <c r="O170" s="262"/>
      <c r="P170" s="262"/>
      <c r="Q170" s="180"/>
      <c r="S170" s="270">
        <f>K29</f>
        <v>36</v>
      </c>
      <c r="T170" s="42">
        <f>K30</f>
        <v>10000</v>
      </c>
      <c r="U170" s="367"/>
      <c r="V170" s="262"/>
      <c r="W170" s="274">
        <f>IF(A111="YES",A40,0)</f>
        <v>15150</v>
      </c>
      <c r="X170" s="262"/>
      <c r="Y170" s="262"/>
      <c r="Z170" s="180"/>
      <c r="AB170" s="270">
        <f>K29</f>
        <v>36</v>
      </c>
      <c r="AC170" s="42">
        <f>K30</f>
        <v>10000</v>
      </c>
      <c r="AD170" s="367"/>
      <c r="AE170" s="262"/>
      <c r="AF170" s="274">
        <f>IF(A111="YES",A40,0)</f>
        <v>15150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23750.004</v>
      </c>
      <c r="B176" s="133">
        <f>B111</f>
        <v>200</v>
      </c>
      <c r="C176" s="133"/>
      <c r="D176" s="262"/>
      <c r="E176" s="133">
        <f>E111</f>
        <v>200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400</v>
      </c>
      <c r="B179" s="133">
        <f>G154</f>
        <v>500</v>
      </c>
      <c r="C179" s="133"/>
      <c r="D179" s="262"/>
      <c r="E179" s="133">
        <f>A176-A179-B179</f>
        <v>22850.004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6892.51233982864</v>
      </c>
      <c r="B182" s="133" t="str">
        <f>B114</f>
        <v>239.99</v>
      </c>
      <c r="C182" s="133"/>
      <c r="D182" s="262"/>
      <c r="E182" s="133">
        <f>E179+A182+B182+A185</f>
        <v>29992.5063398286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A179+B182</f>
        <v>639.99</v>
      </c>
      <c r="C185" s="133"/>
      <c r="D185" s="262"/>
      <c r="E185" s="133">
        <f>IF(A40=0,(E167+A185),(E170+A185))</f>
        <v>15160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15170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15160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15160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IF(E105="YES",B61*0.000002,0)*100</f>
        <v>0</v>
      </c>
      <c r="B188" s="133">
        <f>(G158*B67)/1.2</f>
        <v>190.4167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B182/1.2-100</f>
        <v>99.9916666666667</v>
      </c>
      <c r="B191" s="133">
        <f>B188+E188+A191</f>
        <v>290.408366666667</v>
      </c>
      <c r="C191" s="250"/>
      <c r="D191" s="250"/>
      <c r="E191" s="133">
        <f>H148</f>
        <v>1791.67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36</v>
      </c>
      <c r="B197" s="71">
        <f>B96</f>
        <v>416.929038280818</v>
      </c>
      <c r="C197" s="71"/>
      <c r="D197" s="71"/>
      <c r="E197" s="262"/>
      <c r="F197" s="262"/>
      <c r="G197" s="262"/>
      <c r="H197" s="180"/>
      <c r="J197" s="289">
        <f>K29</f>
        <v>36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36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36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4007.846</v>
      </c>
      <c r="B201" s="272">
        <f>E179+A201+B182+A185</f>
        <v>27107.84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36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416.929038280818</v>
      </c>
      <c r="B212" s="126" t="str">
        <f>B167</f>
        <v>0</v>
      </c>
      <c r="C212" s="365"/>
      <c r="D212" s="365"/>
      <c r="E212" s="126">
        <f>E167</f>
        <v>416.929038280818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200</v>
      </c>
      <c r="C218" s="133"/>
      <c r="D218" s="291"/>
      <c r="E218" s="133">
        <f>E176</f>
        <v>200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400</v>
      </c>
      <c r="B221" s="133">
        <f>B179</f>
        <v>500</v>
      </c>
      <c r="C221" s="133"/>
      <c r="D221" s="291"/>
      <c r="E221" s="133">
        <f>E179</f>
        <v>22850.004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6892.51233982864</v>
      </c>
      <c r="B224" s="133" t="str">
        <f>B182</f>
        <v>239.99</v>
      </c>
      <c r="C224" s="133"/>
      <c r="D224" s="291"/>
      <c r="E224" s="133">
        <f>E182</f>
        <v>29992.5063398286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639.99</v>
      </c>
      <c r="C227" s="133"/>
      <c r="D227" s="291"/>
      <c r="E227" s="133">
        <f>B59</f>
        <v>35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416.929038280818</v>
      </c>
      <c r="B230" s="133" t="str">
        <f>B167</f>
        <v>0</v>
      </c>
      <c r="C230" s="272"/>
      <c r="D230" s="272"/>
      <c r="E230" s="133">
        <f>E167</f>
        <v>416.929038280818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15150</v>
      </c>
      <c r="B233" s="133">
        <f>E185</f>
        <v>15160</v>
      </c>
      <c r="C233" s="250"/>
      <c r="D233" s="250"/>
      <c r="E233" s="133">
        <f>J18*0.000006*100*1.2</f>
        <v>26.9316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IF(E105="YES",J18*0.000002,0)*100*1.2</f>
        <v>0</v>
      </c>
      <c r="B236" s="133">
        <f>E233+A236</f>
        <v>26.9316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B68</f>
        <v>190.4167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2082.07836666666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2894.6663398286</v>
      </c>
      <c r="C254" s="376"/>
      <c r="D254" s="377" t="s">
        <v>218</v>
      </c>
      <c r="E254" s="377"/>
      <c r="F254" s="378">
        <f>F261+F267+F269+B270+B271</f>
        <v>228.50004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2766.15796649527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2894.6663398286</v>
      </c>
      <c r="G260" s="262"/>
      <c r="H260" s="180"/>
    </row>
    <row r="261" ht="19.5" spans="1:8">
      <c r="A261" s="245" t="s">
        <v>223</v>
      </c>
      <c r="B261" s="387">
        <f>B67</f>
        <v>0.01</v>
      </c>
      <c r="C261" s="368"/>
      <c r="D261" s="105" t="s">
        <v>223</v>
      </c>
      <c r="E261" s="105"/>
      <c r="F261" s="144">
        <f>B68*1.2</f>
        <v>228.50004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2766.15796649527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97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18708.33</v>
      </c>
      <c r="C2" s="416" t="s">
        <v>2</v>
      </c>
      <c r="D2" s="417">
        <f>C9</f>
        <v>3741.666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22449.996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18708.33</v>
      </c>
      <c r="C9" s="82">
        <f>B9*0.2</f>
        <v>3741.666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18708.33</v>
      </c>
      <c r="C15" s="82">
        <f>SUM(C9:C13)</f>
        <v>3741.666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37405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22449.996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18708.33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36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36</v>
      </c>
      <c r="B33" s="44">
        <f>B51</f>
        <v>10000</v>
      </c>
      <c r="C33" s="250"/>
      <c r="D33" s="250"/>
      <c r="E33" s="44">
        <f>K48</f>
        <v>577.658917599342</v>
      </c>
      <c r="F33" s="44"/>
      <c r="G33" s="44"/>
      <c r="H33" s="271"/>
      <c r="I33" s="240"/>
      <c r="J33" s="302" t="s">
        <v>355</v>
      </c>
      <c r="K33" s="306">
        <f>E21</f>
        <v>18708.33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577.658917599342</v>
      </c>
      <c r="B36" s="44" t="str">
        <f>IF(B26="YES",K42,"0.00")</f>
        <v>0.00</v>
      </c>
      <c r="C36" s="44"/>
      <c r="D36" s="44"/>
      <c r="E36" s="44">
        <f>K31</f>
        <v>0</v>
      </c>
      <c r="F36" s="44"/>
      <c r="G36" s="44"/>
      <c r="H36" s="271"/>
      <c r="I36" s="240"/>
      <c r="J36" s="240" t="s">
        <v>50</v>
      </c>
      <c r="K36" s="240">
        <f>K29</f>
        <v>36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18708.33</v>
      </c>
      <c r="L39" s="240">
        <f>(L47*K46)+K44</f>
        <v>25909.1715613066</v>
      </c>
      <c r="N39" s="239">
        <f>K39-L39</f>
        <v>-7200.84156130656</v>
      </c>
      <c r="P39" s="273"/>
    </row>
    <row r="40" ht="19.5" spans="1:16">
      <c r="A40" s="102">
        <f>E36*A45/100</f>
        <v>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0</v>
      </c>
      <c r="L40" s="240">
        <f>K39-L39</f>
        <v>-7200.84156130656</v>
      </c>
      <c r="N40" s="239">
        <f>N38-N39</f>
        <v>10112.5215613066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0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18708.33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32.3864644516332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577.658917599342</v>
      </c>
      <c r="L47" s="240">
        <f>L49-K42</f>
        <v>800</v>
      </c>
      <c r="M47" s="239">
        <f>K47-L47</f>
        <v>-222.341082400658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577.658917599342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36</v>
      </c>
      <c r="B52" s="71">
        <f>K48</f>
        <v>577.658917599342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35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35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35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35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37405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37405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37405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37405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5684.64618167444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0.01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0.01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0.01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185.416666666667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2805.375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374.05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577.658917599342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577.658917599342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577.658917599342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577.658917599342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22250</v>
      </c>
      <c r="C81" s="250"/>
      <c r="D81" s="250"/>
      <c r="E81" s="291"/>
      <c r="F81" s="264" t="s">
        <v>106</v>
      </c>
      <c r="G81" s="266">
        <f>G158</f>
        <v>22250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0</v>
      </c>
      <c r="C82" s="250"/>
      <c r="D82" s="250"/>
      <c r="E82" s="291"/>
      <c r="F82" s="245" t="s">
        <v>107</v>
      </c>
      <c r="G82" s="180">
        <f>IF(A111="YES",A40,0)</f>
        <v>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B59</f>
        <v>35</v>
      </c>
      <c r="C85" s="250"/>
      <c r="D85" s="250"/>
      <c r="E85" s="291"/>
      <c r="F85" s="245" t="s">
        <v>110</v>
      </c>
      <c r="G85" s="180">
        <f>B59</f>
        <v>35</v>
      </c>
      <c r="H85" s="180"/>
      <c r="J85" s="245" t="s">
        <v>110</v>
      </c>
      <c r="K85" s="180">
        <f>IF(K82=0,(K59+K58),(K59))</f>
        <v>36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35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35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0</v>
      </c>
      <c r="C86" s="250"/>
      <c r="D86" s="250"/>
      <c r="E86" s="291"/>
      <c r="F86" s="245" t="s">
        <v>111</v>
      </c>
      <c r="G86" s="180">
        <f>(G82/((1+G84)^(G85+1)))</f>
        <v>0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0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0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29.4085800876469</v>
      </c>
      <c r="C87" s="250"/>
      <c r="D87" s="250"/>
      <c r="E87" s="291"/>
      <c r="F87" s="245" t="s">
        <v>112</v>
      </c>
      <c r="G87" s="180">
        <f>((1-(1/((1+G84)^G85)))/G84)</f>
        <v>31.5753854942677</v>
      </c>
      <c r="H87" s="180"/>
      <c r="J87" s="245" t="s">
        <v>112</v>
      </c>
      <c r="K87" s="180">
        <f>((1-(1/((1+K84)^K85)))/K84)</f>
        <v>25.4888424823874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28.9600651941078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28.9600651941078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22250</v>
      </c>
      <c r="C88" s="250"/>
      <c r="D88" s="250"/>
      <c r="E88" s="291"/>
      <c r="F88" s="245" t="s">
        <v>113</v>
      </c>
      <c r="G88" s="180">
        <f>G81-G86</f>
        <v>22250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756.581920435736</v>
      </c>
      <c r="C89" s="250"/>
      <c r="D89" s="250"/>
      <c r="E89" s="291"/>
      <c r="F89" s="245" t="s">
        <v>114</v>
      </c>
      <c r="G89" s="180">
        <f>(G88/G87)</f>
        <v>704.662814141709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26480.3672152507</v>
      </c>
      <c r="C90" s="250"/>
      <c r="D90" s="250"/>
      <c r="E90" s="291"/>
      <c r="F90" s="245" t="s">
        <v>115</v>
      </c>
      <c r="G90" s="180">
        <f>((G89*(G85))+G77)</f>
        <v>24663.1984949598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26480.3672152507</v>
      </c>
      <c r="C92" s="250"/>
      <c r="D92" s="250"/>
      <c r="E92" s="291"/>
      <c r="F92" s="275" t="s">
        <v>117</v>
      </c>
      <c r="G92" s="281">
        <f>(G90+G91)</f>
        <v>24663.1984949598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(B92/B85)</f>
        <v>756.581920435736</v>
      </c>
      <c r="C95" s="250"/>
      <c r="D95" s="250"/>
      <c r="E95" s="291"/>
      <c r="F95" s="319" t="s">
        <v>119</v>
      </c>
      <c r="G95" s="320">
        <f>G92/(G85)</f>
        <v>704.662814141709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756.581920435736</v>
      </c>
      <c r="C96" s="250"/>
      <c r="D96" s="250"/>
      <c r="E96" s="291"/>
      <c r="F96" s="321" t="s">
        <v>120</v>
      </c>
      <c r="G96" s="322">
        <f>G94+G95</f>
        <v>704.662814141709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18708.33</v>
      </c>
      <c r="C121" s="336">
        <v>20625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22449.996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22449.996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22449.996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18708.33</v>
      </c>
      <c r="C125" s="80">
        <f t="shared" si="3"/>
        <v>20625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18708.33</v>
      </c>
      <c r="H135" s="354">
        <f>C125+E125+G125+H128</f>
        <v>20625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3741.666</v>
      </c>
      <c r="H137" s="180">
        <f>(H135+H136)*20%</f>
        <v>4125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22449.996</v>
      </c>
      <c r="H141" s="356">
        <f>(H135+H136+H139+H140+H137)-H138</f>
        <v>24750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22449.996</v>
      </c>
      <c r="H147" s="359">
        <f>H141-((H144*1.2)+(H145*1.2)+(H146*1.2)+(H142*1.2))</f>
        <v>24750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1916.67</v>
      </c>
      <c r="I148" s="239">
        <f>(H148-G81)/1.2</f>
        <v>-16944.4416666667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22250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756.581920435736</v>
      </c>
      <c r="B167" s="126" t="str">
        <f>B94</f>
        <v>0</v>
      </c>
      <c r="C167" s="365"/>
      <c r="D167" s="365"/>
      <c r="E167" s="126">
        <f>B96</f>
        <v>756.581920435736</v>
      </c>
      <c r="F167" s="262"/>
      <c r="G167" s="262">
        <f>ROUND(G95,2)</f>
        <v>704.66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36</v>
      </c>
      <c r="B170" s="40">
        <f>K30</f>
        <v>10000</v>
      </c>
      <c r="C170" s="367"/>
      <c r="D170" s="262"/>
      <c r="E170" s="274">
        <f>IF(A111="YES",A40,0)</f>
        <v>0</v>
      </c>
      <c r="F170" s="262"/>
      <c r="G170" s="262"/>
      <c r="H170" s="180"/>
      <c r="J170" s="270">
        <f>K29</f>
        <v>36</v>
      </c>
      <c r="K170" s="42">
        <f>K30</f>
        <v>10000</v>
      </c>
      <c r="L170" s="367"/>
      <c r="M170" s="262"/>
      <c r="N170" s="274">
        <f>IF(A111="YES",A40,0)</f>
        <v>0</v>
      </c>
      <c r="O170" s="262"/>
      <c r="P170" s="262"/>
      <c r="Q170" s="180"/>
      <c r="S170" s="270">
        <f>K29</f>
        <v>36</v>
      </c>
      <c r="T170" s="42">
        <f>K30</f>
        <v>10000</v>
      </c>
      <c r="U170" s="367"/>
      <c r="V170" s="262"/>
      <c r="W170" s="274">
        <f>IF(A111="YES",A40,0)</f>
        <v>0</v>
      </c>
      <c r="X170" s="262"/>
      <c r="Y170" s="262"/>
      <c r="Z170" s="180"/>
      <c r="AB170" s="270">
        <f>K29</f>
        <v>36</v>
      </c>
      <c r="AC170" s="42">
        <f>K30</f>
        <v>10000</v>
      </c>
      <c r="AD170" s="367"/>
      <c r="AE170" s="262"/>
      <c r="AF170" s="274">
        <f>IF(A111="YES",A40,0)</f>
        <v>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20625</v>
      </c>
      <c r="B173" s="133">
        <f>H137</f>
        <v>4125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24750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22250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4986.94913568649</v>
      </c>
      <c r="B182" s="133" t="str">
        <f>B114</f>
        <v>199.99</v>
      </c>
      <c r="C182" s="133"/>
      <c r="D182" s="262"/>
      <c r="E182" s="133">
        <f>E179+A182+(B182*1.2)+A185</f>
        <v>27486.9371356865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A179+(B182*1.2)</f>
        <v>2239.988</v>
      </c>
      <c r="C185" s="133"/>
      <c r="D185" s="262"/>
      <c r="E185" s="133">
        <f>IF(A40=0,(E167+A185),(E170+A185))</f>
        <v>766.581920435736</v>
      </c>
      <c r="F185" s="262"/>
      <c r="G185" s="133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20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IF(E105="YES",B61*0.000002,0)*100</f>
        <v>0</v>
      </c>
      <c r="B188" s="133">
        <f>(G158*B67)/1.2</f>
        <v>185.416666666667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285.406666666667</v>
      </c>
      <c r="C191" s="250"/>
      <c r="D191" s="250"/>
      <c r="E191" s="133">
        <f>H148</f>
        <v>1916.67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36</v>
      </c>
      <c r="B197" s="71">
        <f>B96</f>
        <v>756.581920435736</v>
      </c>
      <c r="C197" s="71"/>
      <c r="D197" s="71"/>
      <c r="E197" s="262"/>
      <c r="F197" s="262"/>
      <c r="G197" s="262"/>
      <c r="H197" s="180"/>
      <c r="J197" s="289">
        <f>K29</f>
        <v>36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36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36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3117.76</v>
      </c>
      <c r="B201" s="272">
        <f>E179+A201+(B182*1.2)+A185</f>
        <v>25617.748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36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756.581920435736</v>
      </c>
      <c r="B212" s="126" t="str">
        <f>B167</f>
        <v>0</v>
      </c>
      <c r="C212" s="365"/>
      <c r="D212" s="365"/>
      <c r="E212" s="126">
        <f>E167</f>
        <v>756.581920435736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20625</v>
      </c>
      <c r="B215" s="133">
        <f>B173</f>
        <v>4125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24750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22250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4986.94913568649</v>
      </c>
      <c r="B224" s="133" t="str">
        <f>B182</f>
        <v>199.99</v>
      </c>
      <c r="C224" s="133"/>
      <c r="D224" s="291"/>
      <c r="E224" s="133">
        <f>E182</f>
        <v>27486.9371356865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35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756.581920435736</v>
      </c>
      <c r="B230" s="133" t="str">
        <f>B167</f>
        <v>0</v>
      </c>
      <c r="C230" s="272"/>
      <c r="D230" s="272"/>
      <c r="E230" s="133">
        <f>E167</f>
        <v>756.581920435736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0</v>
      </c>
      <c r="B233" s="133">
        <f>E185</f>
        <v>766.581920435736</v>
      </c>
      <c r="C233" s="250"/>
      <c r="D233" s="250"/>
      <c r="E233" s="133">
        <f>J18*0.000006*100</f>
        <v>22.443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</f>
        <v>0</v>
      </c>
      <c r="B236" s="133">
        <f>E233+A236</f>
        <v>22.443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1916.67</v>
      </c>
      <c r="B240" s="133">
        <f>B68</f>
        <v>185.416666666667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2202.07666666666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78">
        <f>(E182-B182)-(B201-B182-A185)</f>
        <v>1879.18913568649</v>
      </c>
      <c r="C254" s="376"/>
      <c r="D254" s="377" t="s">
        <v>218</v>
      </c>
      <c r="E254" s="377"/>
      <c r="F254" s="378">
        <f>F261+F267+F269+B270+B271</f>
        <v>222.5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1756.67913568649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1879.18913568649</v>
      </c>
      <c r="G260" s="262"/>
      <c r="H260" s="180"/>
    </row>
    <row r="261" ht="19.5" spans="1:8">
      <c r="A261" s="245" t="s">
        <v>223</v>
      </c>
      <c r="B261" s="387">
        <f>B67</f>
        <v>0.01</v>
      </c>
      <c r="C261" s="368"/>
      <c r="D261" s="105" t="s">
        <v>223</v>
      </c>
      <c r="E261" s="105"/>
      <c r="F261" s="144">
        <f>B68*1.2</f>
        <v>222.5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1756.67913568649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98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/>
      <c r="C3" s="420"/>
      <c r="D3" s="420"/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48"/>
      <c r="H4" s="249"/>
      <c r="I4" s="240"/>
      <c r="J4" s="240"/>
    </row>
    <row r="5" spans="1:10">
      <c r="A5" s="2"/>
      <c r="B5" s="2"/>
      <c r="C5" s="2"/>
      <c r="D5" s="2"/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37405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36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15150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36</v>
      </c>
      <c r="B33" s="44">
        <f>B51</f>
        <v>10000</v>
      </c>
      <c r="C33" s="250"/>
      <c r="D33" s="250"/>
      <c r="E33" s="44">
        <f>K48</f>
        <v>241.443901397419</v>
      </c>
      <c r="F33" s="44"/>
      <c r="G33" s="44"/>
      <c r="H33" s="271"/>
      <c r="I33" s="240"/>
      <c r="J33" s="302" t="s">
        <v>355</v>
      </c>
      <c r="K33" s="306">
        <f>E21</f>
        <v>18000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241.443901397419</v>
      </c>
      <c r="B36" s="44" t="str">
        <f>IF(B26="YES",K42,"0.00")</f>
        <v>0.00</v>
      </c>
      <c r="C36" s="44"/>
      <c r="D36" s="44"/>
      <c r="E36" s="44">
        <f>K31</f>
        <v>15150</v>
      </c>
      <c r="F36" s="44"/>
      <c r="G36" s="44"/>
      <c r="H36" s="271"/>
      <c r="I36" s="240"/>
      <c r="J36" s="240" t="s">
        <v>50</v>
      </c>
      <c r="K36" s="240">
        <f>K29</f>
        <v>36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18000</v>
      </c>
      <c r="L39" s="240">
        <f>(L47*K46)+K44</f>
        <v>36089.6572316354</v>
      </c>
      <c r="N39" s="239">
        <f>K39-L39</f>
        <v>-18089.6572316354</v>
      </c>
      <c r="P39" s="273"/>
    </row>
    <row r="40" ht="19.5" spans="1:16">
      <c r="A40" s="102">
        <f>E36*A45/100</f>
        <v>15150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12625</v>
      </c>
      <c r="L40" s="240">
        <f>K39-L39</f>
        <v>-18089.6572316354</v>
      </c>
      <c r="N40" s="239">
        <f>N38-N39</f>
        <v>21001.3372316354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10180.4856703288</v>
      </c>
      <c r="L44" s="240"/>
      <c r="P44" s="273"/>
    </row>
    <row r="45" ht="19.5" spans="1:16">
      <c r="A45" s="395">
        <v>100</v>
      </c>
      <c r="B45" s="250"/>
      <c r="C45" s="396">
        <v>40</v>
      </c>
      <c r="D45" s="396"/>
      <c r="E45" s="396"/>
      <c r="F45" s="250"/>
      <c r="G45" s="250"/>
      <c r="H45" s="180"/>
      <c r="J45" s="240" t="s">
        <v>366</v>
      </c>
      <c r="K45" s="240">
        <f>(K39-K44)</f>
        <v>7819.51432967116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32.3864644516332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241.443901397419</v>
      </c>
      <c r="L47" s="240">
        <f>L49-K42</f>
        <v>800</v>
      </c>
      <c r="M47" s="239">
        <f>K47-L47</f>
        <v>-558.556098602581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241.443901397419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36</v>
      </c>
      <c r="B52" s="71">
        <f>K48</f>
        <v>241.443901397419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35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35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35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35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37405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37405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37405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37405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3996.3297077507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0.01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0.01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0.01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177.083366666667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2805.375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374.05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241.443901397419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241.443901397419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241.443901397419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241.443901397419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21250.004</v>
      </c>
      <c r="C81" s="250"/>
      <c r="D81" s="250"/>
      <c r="E81" s="291"/>
      <c r="F81" s="264" t="s">
        <v>106</v>
      </c>
      <c r="G81" s="266">
        <f>G158</f>
        <v>21250.004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15150</v>
      </c>
      <c r="C82" s="250"/>
      <c r="D82" s="250"/>
      <c r="E82" s="291"/>
      <c r="F82" s="245" t="s">
        <v>107</v>
      </c>
      <c r="G82" s="180">
        <f>IF(A111="YES",A40,0)</f>
        <v>15150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15150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15150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35</v>
      </c>
      <c r="C85" s="250"/>
      <c r="D85" s="250"/>
      <c r="E85" s="291"/>
      <c r="F85" s="245" t="s">
        <v>110</v>
      </c>
      <c r="G85" s="180">
        <f>IF(G82=0,(B59+B58),(B59))</f>
        <v>35</v>
      </c>
      <c r="H85" s="180"/>
      <c r="J85" s="245" t="s">
        <v>110</v>
      </c>
      <c r="K85" s="180">
        <f>IF(K82=0,(K59+K58),(K59))</f>
        <v>36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35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35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10588.712986853</v>
      </c>
      <c r="C86" s="250"/>
      <c r="D86" s="250"/>
      <c r="E86" s="291"/>
      <c r="F86" s="245" t="s">
        <v>111</v>
      </c>
      <c r="G86" s="180">
        <f>(G82/((1+G84)^(G85+1)))</f>
        <v>12287.8462040869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10248.48789156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10248.48789156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29.4085800876469</v>
      </c>
      <c r="C87" s="250"/>
      <c r="D87" s="250"/>
      <c r="E87" s="291"/>
      <c r="F87" s="245" t="s">
        <v>112</v>
      </c>
      <c r="G87" s="180">
        <f>((1-(1/((1+G84)^G85)))/G84)</f>
        <v>31.5753854942677</v>
      </c>
      <c r="H87" s="180"/>
      <c r="J87" s="245" t="s">
        <v>112</v>
      </c>
      <c r="K87" s="180">
        <f>((1-(1/((1+K84)^K85)))/K84)</f>
        <v>25.4888424823874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28.9600651941078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28.9600651941078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10661.291013147</v>
      </c>
      <c r="C88" s="250"/>
      <c r="D88" s="250"/>
      <c r="E88" s="291"/>
      <c r="F88" s="245" t="s">
        <v>113</v>
      </c>
      <c r="G88" s="180">
        <f>G81-G86</f>
        <v>8962.15779591308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362.52314737308</v>
      </c>
      <c r="C89" s="250"/>
      <c r="D89" s="250"/>
      <c r="E89" s="291"/>
      <c r="F89" s="245" t="s">
        <v>114</v>
      </c>
      <c r="G89" s="180">
        <f>(G88/G87)</f>
        <v>283.833677898884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12688.3101580578</v>
      </c>
      <c r="C90" s="250"/>
      <c r="D90" s="250"/>
      <c r="E90" s="291"/>
      <c r="F90" s="245" t="s">
        <v>115</v>
      </c>
      <c r="G90" s="180">
        <f>((G89*(G85))+G77)</f>
        <v>9934.17872646094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12688.3101580578</v>
      </c>
      <c r="C92" s="250"/>
      <c r="D92" s="250"/>
      <c r="E92" s="291"/>
      <c r="F92" s="275" t="s">
        <v>117</v>
      </c>
      <c r="G92" s="281">
        <f>(G90+G91)</f>
        <v>9934.17872646094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IF(B26="YES",((E40/B85)*(1+A108)*1.2*(C45/100)),"0")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362.52314737308</v>
      </c>
      <c r="C95" s="250"/>
      <c r="D95" s="250"/>
      <c r="E95" s="291"/>
      <c r="F95" s="319" t="s">
        <v>119</v>
      </c>
      <c r="G95" s="320">
        <f>G92/(G85)</f>
        <v>283.833677898884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362.52314737308</v>
      </c>
      <c r="C96" s="250"/>
      <c r="D96" s="250"/>
      <c r="E96" s="291"/>
      <c r="F96" s="321" t="s">
        <v>120</v>
      </c>
      <c r="G96" s="322">
        <f>G94+G95</f>
        <v>283.833677898884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18000</v>
      </c>
      <c r="C121" s="336">
        <v>19791.67</v>
      </c>
      <c r="D121" s="335">
        <f>D3</f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0</v>
      </c>
      <c r="L121" s="336">
        <v>28629.17</v>
      </c>
      <c r="M121" s="335">
        <f>D3</f>
        <v>0</v>
      </c>
      <c r="N121" s="336">
        <f>M121</f>
        <v>0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>
        <f>B3</f>
        <v>0</v>
      </c>
      <c r="U121" s="336">
        <f>T121</f>
        <v>0</v>
      </c>
      <c r="V121" s="335">
        <f>D3</f>
        <v>0</v>
      </c>
      <c r="W121" s="336">
        <f>V121</f>
        <v>0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>
        <f>B3</f>
        <v>0</v>
      </c>
      <c r="AD121" s="336">
        <f>AC121</f>
        <v>0</v>
      </c>
      <c r="AE121" s="335">
        <f>D3</f>
        <v>0</v>
      </c>
      <c r="AF121" s="336">
        <f>AE121</f>
        <v>0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21600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21600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21600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0</v>
      </c>
      <c r="V124" s="340">
        <f t="shared" si="1"/>
        <v>0</v>
      </c>
      <c r="W124" s="95">
        <f t="shared" si="1"/>
        <v>0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0</v>
      </c>
      <c r="AE124" s="340">
        <f t="shared" si="2"/>
        <v>0</v>
      </c>
      <c r="AF124" s="95">
        <f t="shared" si="2"/>
        <v>0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18000</v>
      </c>
      <c r="C125" s="80">
        <f t="shared" si="3"/>
        <v>19791.67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0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>
        <f t="shared" ref="T125:Y125" si="5">T121-T124</f>
        <v>0</v>
      </c>
      <c r="U125" s="80">
        <f t="shared" si="5"/>
        <v>0</v>
      </c>
      <c r="V125" s="341">
        <f t="shared" si="5"/>
        <v>0</v>
      </c>
      <c r="W125" s="80">
        <f t="shared" si="5"/>
        <v>0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>
        <f t="shared" ref="AC125:AH125" si="6">AC121-AC124</f>
        <v>0</v>
      </c>
      <c r="AD125" s="80">
        <f t="shared" si="6"/>
        <v>0</v>
      </c>
      <c r="AE125" s="341">
        <f t="shared" si="6"/>
        <v>0</v>
      </c>
      <c r="AF125" s="80">
        <f t="shared" si="6"/>
        <v>0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18000</v>
      </c>
      <c r="H135" s="354">
        <f>C125+E125+G125+H128</f>
        <v>19791.67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21600</v>
      </c>
      <c r="H147" s="359">
        <f>H141-((H144*1.2)+(H145*1.2)+(H146*1.2)+(H142*1.2))</f>
        <v>23750.004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-16215.2783333333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21250.004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362.52314737308</v>
      </c>
      <c r="B167" s="126" t="str">
        <f>B94</f>
        <v>0</v>
      </c>
      <c r="C167" s="365"/>
      <c r="D167" s="365"/>
      <c r="E167" s="126">
        <f>B96</f>
        <v>362.52314737308</v>
      </c>
      <c r="F167" s="262"/>
      <c r="G167" s="262">
        <f>ROUND(G95,2)</f>
        <v>283.83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36</v>
      </c>
      <c r="B170" s="40">
        <f>K30</f>
        <v>10000</v>
      </c>
      <c r="C170" s="367"/>
      <c r="D170" s="262"/>
      <c r="E170" s="274">
        <f>IF(A111="YES",A40,0)</f>
        <v>15150</v>
      </c>
      <c r="F170" s="262"/>
      <c r="G170" s="262"/>
      <c r="H170" s="180"/>
      <c r="J170" s="270">
        <f>K29</f>
        <v>36</v>
      </c>
      <c r="K170" s="42">
        <f>K30</f>
        <v>10000</v>
      </c>
      <c r="L170" s="367"/>
      <c r="M170" s="262"/>
      <c r="N170" s="274">
        <f>IF(A111="YES",A40,0)</f>
        <v>15150</v>
      </c>
      <c r="O170" s="262"/>
      <c r="P170" s="262"/>
      <c r="Q170" s="180"/>
      <c r="S170" s="270">
        <f>K29</f>
        <v>36</v>
      </c>
      <c r="T170" s="42">
        <f>K30</f>
        <v>10000</v>
      </c>
      <c r="U170" s="367"/>
      <c r="V170" s="262"/>
      <c r="W170" s="274">
        <f>IF(A111="YES",A40,0)</f>
        <v>15150</v>
      </c>
      <c r="X170" s="262"/>
      <c r="Y170" s="262"/>
      <c r="Z170" s="180"/>
      <c r="AB170" s="270">
        <f>K29</f>
        <v>36</v>
      </c>
      <c r="AC170" s="42">
        <f>K30</f>
        <v>10000</v>
      </c>
      <c r="AD170" s="367"/>
      <c r="AE170" s="262"/>
      <c r="AF170" s="274">
        <f>IF(A111="YES",A40,0)</f>
        <v>15150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23750.004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21250.004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6588.3061580578</v>
      </c>
      <c r="B182" s="133" t="str">
        <f>B114</f>
        <v>239.99</v>
      </c>
      <c r="C182" s="133"/>
      <c r="D182" s="262"/>
      <c r="E182" s="133">
        <f>E179+A182+B182+A185</f>
        <v>28088.3001580578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A179+(B182)</f>
        <v>2239.99</v>
      </c>
      <c r="C185" s="133"/>
      <c r="D185" s="262"/>
      <c r="E185" s="133">
        <f>IF(A40=0,(E167+A185),(E170+A185))</f>
        <v>15160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15170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15160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15160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IF(E105="YES",B61*0.000002,0)*100*1.2</f>
        <v>0</v>
      </c>
      <c r="B188" s="133">
        <f>(G158*B67)/1.2</f>
        <v>177.083366666667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B182/1.2-100</f>
        <v>99.9916666666667</v>
      </c>
      <c r="B191" s="133">
        <f>B188+E188+A191</f>
        <v>277.075033333333</v>
      </c>
      <c r="C191" s="250"/>
      <c r="D191" s="250"/>
      <c r="E191" s="133">
        <f>H148</f>
        <v>1791.67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36</v>
      </c>
      <c r="B197" s="71">
        <f>B96</f>
        <v>362.52314737308</v>
      </c>
      <c r="C197" s="71"/>
      <c r="D197" s="71"/>
      <c r="E197" s="262"/>
      <c r="F197" s="262"/>
      <c r="G197" s="262"/>
      <c r="H197" s="180"/>
      <c r="J197" s="289">
        <f>K29</f>
        <v>36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36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36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3834.046</v>
      </c>
      <c r="B201" s="272">
        <f>E179+A201+B182+A185</f>
        <v>25334.04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36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362.52314737308</v>
      </c>
      <c r="B212" s="126" t="str">
        <f>B167</f>
        <v>0</v>
      </c>
      <c r="C212" s="365"/>
      <c r="D212" s="365"/>
      <c r="E212" s="126">
        <f>E167</f>
        <v>362.52314737308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21250.004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6588.3061580578</v>
      </c>
      <c r="B224" s="133" t="str">
        <f>B182</f>
        <v>239.99</v>
      </c>
      <c r="C224" s="133"/>
      <c r="D224" s="291"/>
      <c r="E224" s="133">
        <f>E182</f>
        <v>28088.3001580578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2239.99</v>
      </c>
      <c r="C227" s="133"/>
      <c r="D227" s="291"/>
      <c r="E227" s="133">
        <f>B59</f>
        <v>35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362.52314737308</v>
      </c>
      <c r="B230" s="133" t="str">
        <f>B167</f>
        <v>0</v>
      </c>
      <c r="C230" s="272"/>
      <c r="D230" s="272"/>
      <c r="E230" s="133">
        <f>E167</f>
        <v>362.52314737308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15150</v>
      </c>
      <c r="B233" s="133">
        <f>E185</f>
        <v>15160</v>
      </c>
      <c r="C233" s="250"/>
      <c r="D233" s="250"/>
      <c r="E233" s="133">
        <f>A188</f>
        <v>0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B68</f>
        <v>177.083366666667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2068.74503333333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2764.2601580578</v>
      </c>
      <c r="C254" s="376"/>
      <c r="D254" s="377" t="s">
        <v>218</v>
      </c>
      <c r="E254" s="377"/>
      <c r="F254" s="378">
        <f>F261+F267+F269+B270+B271</f>
        <v>212.50004</v>
      </c>
      <c r="G254" s="262"/>
      <c r="H254" s="180"/>
    </row>
    <row r="255" spans="1:8">
      <c r="A255" s="370" t="s">
        <v>219</v>
      </c>
      <c r="B255" s="378">
        <f>F262+B263</f>
        <v>99.9916666666667</v>
      </c>
      <c r="C255" s="376"/>
      <c r="D255" s="377" t="s">
        <v>220</v>
      </c>
      <c r="E255" s="377"/>
      <c r="F255" s="378">
        <f>(B254-F254)+B255</f>
        <v>2651.75178472446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2764.2601580578</v>
      </c>
      <c r="G260" s="262"/>
      <c r="H260" s="180"/>
    </row>
    <row r="261" ht="19.5" spans="1:8">
      <c r="A261" s="245" t="s">
        <v>223</v>
      </c>
      <c r="B261" s="387">
        <f>B67</f>
        <v>0.01</v>
      </c>
      <c r="C261" s="368"/>
      <c r="D261" s="105" t="s">
        <v>223</v>
      </c>
      <c r="E261" s="105"/>
      <c r="F261" s="144">
        <f>B68*1.2</f>
        <v>212.50004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2651.75178472446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00" workbookViewId="0">
      <selection activeCell="A201" sqref="A201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415" t="s">
        <v>0</v>
      </c>
      <c r="B1" s="415"/>
      <c r="C1" s="415"/>
      <c r="D1" s="415"/>
      <c r="E1" s="415"/>
      <c r="F1" s="415"/>
      <c r="G1" s="241"/>
      <c r="H1" s="241"/>
      <c r="I1" s="240"/>
      <c r="J1" s="240"/>
    </row>
    <row r="2" ht="21" spans="1:10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43"/>
      <c r="H2" s="244"/>
      <c r="I2" s="240"/>
      <c r="J2" s="240"/>
    </row>
    <row r="3" spans="1:10">
      <c r="A3" s="419"/>
      <c r="B3" s="420" t="s">
        <v>4</v>
      </c>
      <c r="C3" s="420">
        <v>0</v>
      </c>
      <c r="D3" s="420" t="s">
        <v>4</v>
      </c>
      <c r="E3" s="420"/>
      <c r="F3" s="421" t="s">
        <v>4</v>
      </c>
      <c r="G3" s="246"/>
      <c r="H3" s="247"/>
      <c r="I3" s="240"/>
      <c r="J3" s="240"/>
    </row>
    <row r="4" spans="1:10">
      <c r="A4" s="416" t="s">
        <v>5</v>
      </c>
      <c r="B4" s="417">
        <f>B15+C15</f>
        <v>21600</v>
      </c>
      <c r="C4" s="422">
        <v>0</v>
      </c>
      <c r="D4" s="422">
        <v>0</v>
      </c>
      <c r="E4" s="422"/>
      <c r="F4" s="423" t="s">
        <v>4</v>
      </c>
      <c r="G4" s="248"/>
      <c r="H4" s="249"/>
      <c r="I4" s="240"/>
      <c r="J4" s="240"/>
    </row>
    <row r="5" spans="1:10">
      <c r="A5" s="2"/>
      <c r="B5" s="2">
        <v>0</v>
      </c>
      <c r="C5" s="2">
        <v>0</v>
      </c>
      <c r="D5" s="2">
        <v>0</v>
      </c>
      <c r="E5" s="2"/>
      <c r="F5" s="2" t="s">
        <v>4</v>
      </c>
      <c r="G5" s="246"/>
      <c r="H5" s="180"/>
      <c r="I5" s="240"/>
      <c r="J5" s="240"/>
    </row>
    <row r="6" spans="1:10">
      <c r="A6" s="2"/>
      <c r="B6" s="2"/>
      <c r="C6" s="2"/>
      <c r="D6" s="2"/>
      <c r="E6" s="2"/>
      <c r="F6" s="2"/>
      <c r="G6" s="35"/>
      <c r="H6" s="180"/>
      <c r="I6" s="240"/>
      <c r="J6" s="240"/>
    </row>
    <row r="7" spans="1:10">
      <c r="A7" s="424" t="s">
        <v>6</v>
      </c>
      <c r="B7" s="424" t="s">
        <v>7</v>
      </c>
      <c r="C7" s="424" t="s">
        <v>2</v>
      </c>
      <c r="D7" s="425"/>
      <c r="E7" s="425"/>
      <c r="F7" s="2"/>
      <c r="G7" s="35"/>
      <c r="H7" s="180"/>
      <c r="I7" s="240"/>
      <c r="J7" s="240"/>
    </row>
    <row r="8" spans="1:13">
      <c r="A8" s="426"/>
      <c r="B8" s="2"/>
      <c r="C8" s="2"/>
      <c r="D8" s="425"/>
      <c r="E8" s="425"/>
      <c r="F8" s="2"/>
      <c r="G8" s="250"/>
      <c r="H8" s="180"/>
      <c r="I8" s="240"/>
      <c r="J8" s="240"/>
      <c r="L8" s="81" t="s">
        <v>3</v>
      </c>
      <c r="M8" s="82">
        <f>H13+H14</f>
        <v>0</v>
      </c>
    </row>
    <row r="9" ht="21" spans="1:13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52"/>
      <c r="H9" s="253"/>
      <c r="I9" s="240"/>
      <c r="J9" s="240"/>
      <c r="K9" s="239" t="s">
        <v>18</v>
      </c>
      <c r="L9" s="82"/>
      <c r="M9" s="82"/>
    </row>
    <row r="10" spans="1:13">
      <c r="A10" s="428"/>
      <c r="B10" s="2"/>
      <c r="C10" s="2"/>
      <c r="D10" s="425"/>
      <c r="E10" s="425"/>
      <c r="F10" s="2"/>
      <c r="G10" s="35"/>
      <c r="H10" s="247"/>
      <c r="I10" s="240"/>
      <c r="J10" s="240"/>
      <c r="K10" s="239" t="s">
        <v>19</v>
      </c>
      <c r="L10" s="83" t="s">
        <v>1</v>
      </c>
      <c r="M10" s="82">
        <f>H15-H11-M8</f>
        <v>0</v>
      </c>
    </row>
    <row r="11" spans="1:13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35"/>
      <c r="H11" s="180"/>
      <c r="I11" s="240"/>
      <c r="J11" s="240"/>
      <c r="L11" s="82"/>
      <c r="M11" s="82"/>
    </row>
    <row r="12" spans="1:10">
      <c r="A12" s="428"/>
      <c r="B12" s="2"/>
      <c r="C12" s="2"/>
      <c r="D12" s="425"/>
      <c r="E12" s="425"/>
      <c r="F12" s="2"/>
      <c r="G12" s="35"/>
      <c r="H12" s="247"/>
      <c r="I12" s="240"/>
      <c r="J12" s="240"/>
    </row>
    <row r="13" spans="1:10">
      <c r="A13" s="424" t="s">
        <v>10</v>
      </c>
      <c r="B13" s="427">
        <v>0</v>
      </c>
      <c r="C13" s="82"/>
      <c r="D13" s="425"/>
      <c r="E13" s="425"/>
      <c r="F13" s="2"/>
      <c r="G13" s="35"/>
      <c r="H13" s="247"/>
      <c r="I13" s="240"/>
      <c r="J13" s="240"/>
    </row>
    <row r="14" ht="19.5" spans="1:10">
      <c r="A14" s="428"/>
      <c r="B14" s="2"/>
      <c r="C14" s="2"/>
      <c r="D14" s="425"/>
      <c r="E14" s="425"/>
      <c r="F14" s="2"/>
      <c r="G14" s="35"/>
      <c r="H14" s="247"/>
      <c r="I14" s="240"/>
      <c r="J14" s="240" t="s">
        <v>11</v>
      </c>
    </row>
    <row r="15" ht="19.5" spans="1:10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35"/>
      <c r="H15" s="255"/>
      <c r="I15" s="240"/>
      <c r="J15" s="299">
        <f>H15</f>
        <v>0</v>
      </c>
    </row>
    <row r="16" spans="1:25">
      <c r="A16" s="429"/>
      <c r="B16" s="429"/>
      <c r="C16" s="429"/>
      <c r="D16" s="425"/>
      <c r="E16" s="425"/>
      <c r="F16" s="2"/>
      <c r="G16" s="35"/>
      <c r="H16" s="247"/>
      <c r="I16" s="240"/>
      <c r="J16" s="240"/>
      <c r="Y16" s="310" t="s">
        <v>13</v>
      </c>
    </row>
    <row r="17" spans="1:25">
      <c r="A17" s="429"/>
      <c r="B17" s="429"/>
      <c r="C17" s="429"/>
      <c r="D17" s="425"/>
      <c r="E17" s="425"/>
      <c r="F17" s="2"/>
      <c r="G17" s="133"/>
      <c r="H17" s="180"/>
      <c r="I17" s="240"/>
      <c r="J17" s="240" t="s">
        <v>14</v>
      </c>
      <c r="Y17" s="310" t="s">
        <v>15</v>
      </c>
    </row>
    <row r="18" spans="1:25">
      <c r="A18" s="429"/>
      <c r="B18" s="429"/>
      <c r="C18" s="429"/>
      <c r="D18" s="425"/>
      <c r="E18" s="425"/>
      <c r="F18" s="2"/>
      <c r="G18" s="105"/>
      <c r="H18" s="258"/>
      <c r="I18" s="240"/>
      <c r="J18" s="299">
        <v>37405</v>
      </c>
      <c r="Y18" s="310" t="s">
        <v>16</v>
      </c>
    </row>
    <row r="19" ht="22.0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105"/>
      <c r="H19" s="258"/>
      <c r="I19" s="240"/>
      <c r="J19" s="240"/>
      <c r="Z19" s="240" t="s">
        <v>18</v>
      </c>
    </row>
    <row r="20" spans="1:26">
      <c r="A20" s="431"/>
      <c r="B20" s="2"/>
      <c r="C20" s="2"/>
      <c r="D20" s="2"/>
      <c r="E20" s="432"/>
      <c r="F20" s="2"/>
      <c r="G20" s="105"/>
      <c r="H20" s="258"/>
      <c r="I20" s="240"/>
      <c r="J20" s="240"/>
      <c r="Z20" s="240" t="s">
        <v>19</v>
      </c>
    </row>
    <row r="21" ht="22.05" customHeight="1" spans="1:11">
      <c r="A21" s="430" t="s">
        <v>20</v>
      </c>
      <c r="B21" s="430"/>
      <c r="C21" s="430"/>
      <c r="D21" s="430"/>
      <c r="E21" s="82">
        <f>B15</f>
        <v>18000</v>
      </c>
      <c r="F21" s="2"/>
      <c r="G21" s="260"/>
      <c r="H21" s="261"/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83</v>
      </c>
      <c r="K29" s="304">
        <v>36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10000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15150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>
        <v>0</v>
      </c>
      <c r="P32" s="273"/>
    </row>
    <row r="33" ht="36.75" spans="1:16">
      <c r="A33" s="270">
        <f>A52</f>
        <v>36</v>
      </c>
      <c r="B33" s="44">
        <f>B51</f>
        <v>10000</v>
      </c>
      <c r="C33" s="250"/>
      <c r="D33" s="250"/>
      <c r="E33" s="44">
        <f>K48</f>
        <v>241.443901397419</v>
      </c>
      <c r="F33" s="44"/>
      <c r="G33" s="44"/>
      <c r="H33" s="271"/>
      <c r="I33" s="240"/>
      <c r="J33" s="302" t="s">
        <v>355</v>
      </c>
      <c r="K33" s="306">
        <f>E21</f>
        <v>18000</v>
      </c>
      <c r="L33" s="239">
        <f>H21-H11+(H16*20%)</f>
        <v>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241.443901397419</v>
      </c>
      <c r="B36" s="44" t="str">
        <f>IF(B26="YES",K42,"0.00")</f>
        <v>0.00</v>
      </c>
      <c r="C36" s="44"/>
      <c r="D36" s="44"/>
      <c r="E36" s="44">
        <f>K31</f>
        <v>15150</v>
      </c>
      <c r="F36" s="44"/>
      <c r="G36" s="44"/>
      <c r="H36" s="271"/>
      <c r="I36" s="240"/>
      <c r="J36" s="240" t="s">
        <v>50</v>
      </c>
      <c r="K36" s="240">
        <f>K29</f>
        <v>36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18000</v>
      </c>
      <c r="L39" s="240">
        <f>(L47*K46)+K44</f>
        <v>36089.6572316354</v>
      </c>
      <c r="N39" s="239">
        <f>K39-L39</f>
        <v>-18089.6572316354</v>
      </c>
      <c r="P39" s="273"/>
    </row>
    <row r="40" ht="19.5" spans="1:16">
      <c r="A40" s="102">
        <f>E36*A45/100</f>
        <v>15150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12625</v>
      </c>
      <c r="L40" s="240">
        <f>K39-L39</f>
        <v>-18089.6572316354</v>
      </c>
      <c r="N40" s="239">
        <f>N38-N39</f>
        <v>21001.3372316354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10180.4856703288</v>
      </c>
      <c r="L44" s="240"/>
      <c r="P44" s="273"/>
    </row>
    <row r="45" ht="19.5" spans="1:16">
      <c r="A45" s="395">
        <v>100</v>
      </c>
      <c r="B45" s="250"/>
      <c r="C45" s="396">
        <v>100</v>
      </c>
      <c r="D45" s="396"/>
      <c r="E45" s="396"/>
      <c r="F45" s="250"/>
      <c r="G45" s="250"/>
      <c r="H45" s="180"/>
      <c r="J45" s="240" t="s">
        <v>366</v>
      </c>
      <c r="K45" s="240">
        <f>(K39-K44)</f>
        <v>7819.51432967116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32.3864644516332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241.443901397419</v>
      </c>
      <c r="L47" s="240">
        <f>L49-K42</f>
        <v>800</v>
      </c>
      <c r="M47" s="239">
        <f>K47-L47</f>
        <v>-558.556098602581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241.443901397419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10000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36</v>
      </c>
      <c r="B52" s="71">
        <f>K48</f>
        <v>241.443901397419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35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35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35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35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37405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37405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37405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37405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3996.3297077507</v>
      </c>
      <c r="C65" s="250"/>
      <c r="D65" s="250"/>
      <c r="E65" s="291"/>
      <c r="F65" s="291"/>
      <c r="G65" s="291"/>
      <c r="H65" s="180"/>
      <c r="J65" s="275" t="s">
        <v>91</v>
      </c>
      <c r="K65" s="281" t="e">
        <f>(K89*K59)-(K47*K29)</f>
        <v>#VALUE!</v>
      </c>
      <c r="L65" s="250"/>
      <c r="M65" s="250"/>
      <c r="N65" s="291"/>
      <c r="O65" s="291"/>
      <c r="P65" s="291"/>
      <c r="Q65" s="180"/>
      <c r="S65" s="275" t="s">
        <v>91</v>
      </c>
      <c r="T65" s="281" t="e">
        <f>(T89*T59)-(K47*K29)</f>
        <v>#VALUE!</v>
      </c>
      <c r="U65" s="250"/>
      <c r="V65" s="250"/>
      <c r="W65" s="291"/>
      <c r="X65" s="291"/>
      <c r="Y65" s="291"/>
      <c r="Z65" s="180"/>
      <c r="AB65" s="275" t="s">
        <v>91</v>
      </c>
      <c r="AC65" s="281" t="e">
        <f>(AC89*AC59)-(K47*K29)</f>
        <v>#VALUE!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0.01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0.075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0.01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0.01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177.083366666667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2805.375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374.05</v>
      </c>
      <c r="U68" s="250"/>
      <c r="V68" s="250"/>
      <c r="W68" s="291"/>
      <c r="X68" s="291"/>
      <c r="Y68" s="291"/>
      <c r="Z68" s="180"/>
      <c r="AB68" s="275" t="s">
        <v>94</v>
      </c>
      <c r="AC68" s="281" t="e">
        <f>AH158*AC67</f>
        <v>#VALUE!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241.443901397419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241.443901397419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241.443901397419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241.443901397419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21250.004</v>
      </c>
      <c r="C81" s="250"/>
      <c r="D81" s="250"/>
      <c r="E81" s="291"/>
      <c r="F81" s="264" t="s">
        <v>106</v>
      </c>
      <c r="G81" s="266">
        <f>G158</f>
        <v>21250.004</v>
      </c>
      <c r="H81" s="180"/>
      <c r="J81" s="264" t="s">
        <v>106</v>
      </c>
      <c r="K81" s="266" t="e">
        <f>P158</f>
        <v>#VALUE!</v>
      </c>
      <c r="L81" s="250"/>
      <c r="M81" s="250"/>
      <c r="N81" s="291"/>
      <c r="O81" s="291"/>
      <c r="P81" s="291"/>
      <c r="Q81" s="180"/>
      <c r="S81" s="264" t="s">
        <v>106</v>
      </c>
      <c r="T81" s="266" t="e">
        <f>Y158</f>
        <v>#VALUE!</v>
      </c>
      <c r="U81" s="250"/>
      <c r="V81" s="250"/>
      <c r="W81" s="291"/>
      <c r="X81" s="291"/>
      <c r="Y81" s="291"/>
      <c r="Z81" s="180"/>
      <c r="AB81" s="264" t="s">
        <v>106</v>
      </c>
      <c r="AC81" s="266" t="e">
        <f>AH158</f>
        <v>#VALUE!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15150</v>
      </c>
      <c r="C82" s="250"/>
      <c r="D82" s="250"/>
      <c r="E82" s="291"/>
      <c r="F82" s="245" t="s">
        <v>107</v>
      </c>
      <c r="G82" s="180">
        <f>IF(A111="YES",A40,0)</f>
        <v>15150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15150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15150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35</v>
      </c>
      <c r="C85" s="250"/>
      <c r="D85" s="250"/>
      <c r="E85" s="291"/>
      <c r="F85" s="245" t="s">
        <v>110</v>
      </c>
      <c r="G85" s="180">
        <f>IF(G82=0,(B59+B58),(B59))</f>
        <v>35</v>
      </c>
      <c r="H85" s="180"/>
      <c r="J85" s="245" t="s">
        <v>110</v>
      </c>
      <c r="K85" s="180">
        <f>IF(K82=0,(K59+K58),(K59))</f>
        <v>36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35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35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10588.712986853</v>
      </c>
      <c r="C86" s="250"/>
      <c r="D86" s="250"/>
      <c r="E86" s="291"/>
      <c r="F86" s="245" t="s">
        <v>111</v>
      </c>
      <c r="G86" s="180">
        <f>(G82/((1+G84)^(G85+1)))</f>
        <v>12287.8462040869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10248.48789156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10248.48789156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29.4085800876469</v>
      </c>
      <c r="C87" s="250"/>
      <c r="D87" s="250"/>
      <c r="E87" s="291"/>
      <c r="F87" s="245" t="s">
        <v>112</v>
      </c>
      <c r="G87" s="180">
        <f>((1-(1/((1+G84)^G85)))/G84)</f>
        <v>31.5753854942677</v>
      </c>
      <c r="H87" s="180"/>
      <c r="J87" s="245" t="s">
        <v>112</v>
      </c>
      <c r="K87" s="180">
        <f>((1-(1/((1+K84)^K85)))/K84)</f>
        <v>25.4888424823874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28.9600651941078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28.9600651941078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10661.291013147</v>
      </c>
      <c r="C88" s="250"/>
      <c r="D88" s="250"/>
      <c r="E88" s="291"/>
      <c r="F88" s="245" t="s">
        <v>113</v>
      </c>
      <c r="G88" s="180">
        <f>G81-G86</f>
        <v>8962.15779591308</v>
      </c>
      <c r="H88" s="180"/>
      <c r="J88" s="245" t="s">
        <v>113</v>
      </c>
      <c r="K88" s="180" t="e">
        <f>K81-K86</f>
        <v>#VALUE!</v>
      </c>
      <c r="L88" s="250"/>
      <c r="M88" s="250"/>
      <c r="N88" s="291"/>
      <c r="O88" s="291"/>
      <c r="P88" s="291"/>
      <c r="Q88" s="180"/>
      <c r="S88" s="245" t="s">
        <v>113</v>
      </c>
      <c r="T88" s="180" t="e">
        <f>T81-T86</f>
        <v>#VALUE!</v>
      </c>
      <c r="U88" s="250"/>
      <c r="V88" s="250"/>
      <c r="W88" s="291"/>
      <c r="X88" s="291"/>
      <c r="Y88" s="291"/>
      <c r="Z88" s="180"/>
      <c r="AB88" s="245" t="s">
        <v>113</v>
      </c>
      <c r="AC88" s="180" t="e">
        <f>AC81-AC86</f>
        <v>#VALUE!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362.52314737308</v>
      </c>
      <c r="C89" s="250"/>
      <c r="D89" s="250"/>
      <c r="E89" s="291"/>
      <c r="F89" s="245" t="s">
        <v>114</v>
      </c>
      <c r="G89" s="180">
        <f>(G88/G87)</f>
        <v>283.833677898884</v>
      </c>
      <c r="H89" s="180"/>
      <c r="J89" s="245" t="s">
        <v>114</v>
      </c>
      <c r="K89" s="180" t="e">
        <f>(K88/K87)</f>
        <v>#VALUE!</v>
      </c>
      <c r="L89" s="250"/>
      <c r="M89" s="250"/>
      <c r="N89" s="291"/>
      <c r="O89" s="291"/>
      <c r="P89" s="291"/>
      <c r="Q89" s="180"/>
      <c r="S89" s="245" t="s">
        <v>114</v>
      </c>
      <c r="T89" s="180" t="e">
        <f>(T88/T87)</f>
        <v>#VALUE!</v>
      </c>
      <c r="U89" s="250"/>
      <c r="V89" s="250"/>
      <c r="W89" s="291"/>
      <c r="X89" s="291"/>
      <c r="Y89" s="291"/>
      <c r="Z89" s="180"/>
      <c r="AB89" s="245" t="s">
        <v>114</v>
      </c>
      <c r="AC89" s="180" t="e">
        <f>(AC88/AC87)</f>
        <v>#VALUE!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12688.3101580578</v>
      </c>
      <c r="C90" s="250"/>
      <c r="D90" s="250"/>
      <c r="E90" s="291"/>
      <c r="F90" s="245" t="s">
        <v>115</v>
      </c>
      <c r="G90" s="180">
        <f>((G89*(G85))+G77)</f>
        <v>9934.17872646094</v>
      </c>
      <c r="H90" s="180"/>
      <c r="J90" s="245" t="s">
        <v>115</v>
      </c>
      <c r="K90" s="180" t="e">
        <f>((K89*(K85))+K77)</f>
        <v>#VALUE!</v>
      </c>
      <c r="L90" s="250"/>
      <c r="M90" s="250"/>
      <c r="N90" s="291"/>
      <c r="O90" s="291"/>
      <c r="P90" s="291"/>
      <c r="Q90" s="180"/>
      <c r="S90" s="245" t="s">
        <v>115</v>
      </c>
      <c r="T90" s="180" t="e">
        <f>(T89*(T85))+T77</f>
        <v>#VALUE!</v>
      </c>
      <c r="U90" s="250"/>
      <c r="V90" s="250"/>
      <c r="W90" s="291"/>
      <c r="X90" s="291"/>
      <c r="Y90" s="291"/>
      <c r="Z90" s="180"/>
      <c r="AB90" s="245" t="s">
        <v>115</v>
      </c>
      <c r="AC90" s="180" t="e">
        <f>(AC89*(AC59))+AC77</f>
        <v>#VALUE!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 t="e">
        <f>(K90/(1-K71))*K71</f>
        <v>#VALUE!</v>
      </c>
      <c r="L91" s="250"/>
      <c r="M91" s="250"/>
      <c r="N91" s="291"/>
      <c r="O91" s="291"/>
      <c r="P91" s="291"/>
      <c r="Q91" s="180"/>
      <c r="S91" s="245" t="s">
        <v>116</v>
      </c>
      <c r="T91" s="180" t="e">
        <f>(T90/(1-T71))*T71</f>
        <v>#VALUE!</v>
      </c>
      <c r="U91" s="250"/>
      <c r="V91" s="250"/>
      <c r="W91" s="291"/>
      <c r="X91" s="291"/>
      <c r="Y91" s="291"/>
      <c r="Z91" s="180"/>
      <c r="AB91" s="245" t="s">
        <v>116</v>
      </c>
      <c r="AC91" s="180" t="e">
        <f>(AC90/(1-AC71))*AC71</f>
        <v>#VALUE!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12688.3101580578</v>
      </c>
      <c r="C92" s="250"/>
      <c r="D92" s="250"/>
      <c r="E92" s="291"/>
      <c r="F92" s="275" t="s">
        <v>117</v>
      </c>
      <c r="G92" s="281">
        <f>(G90+G91)</f>
        <v>9934.17872646094</v>
      </c>
      <c r="H92" s="180"/>
      <c r="J92" s="275" t="s">
        <v>117</v>
      </c>
      <c r="K92" s="281" t="e">
        <f>(K90+K91)</f>
        <v>#VALUE!</v>
      </c>
      <c r="L92" s="250"/>
      <c r="M92" s="250"/>
      <c r="N92" s="291"/>
      <c r="O92" s="291"/>
      <c r="P92" s="291"/>
      <c r="Q92" s="180"/>
      <c r="S92" s="275" t="s">
        <v>117</v>
      </c>
      <c r="T92" s="281" t="e">
        <f>(T90+T91)</f>
        <v>#VALUE!</v>
      </c>
      <c r="U92" s="250"/>
      <c r="V92" s="250"/>
      <c r="W92" s="291"/>
      <c r="X92" s="291"/>
      <c r="Y92" s="291"/>
      <c r="Z92" s="180"/>
      <c r="AB92" s="275" t="s">
        <v>117</v>
      </c>
      <c r="AC92" s="281" t="e">
        <f>(AC90+AC91)</f>
        <v>#VALUE!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362.52314737308</v>
      </c>
      <c r="C95" s="250"/>
      <c r="D95" s="250"/>
      <c r="E95" s="291"/>
      <c r="F95" s="319" t="s">
        <v>119</v>
      </c>
      <c r="G95" s="320">
        <f>G92/(G85)</f>
        <v>283.833677898884</v>
      </c>
      <c r="H95" s="180"/>
      <c r="J95" s="319" t="s">
        <v>119</v>
      </c>
      <c r="K95" s="320" t="e">
        <f>K92/(K85)</f>
        <v>#VALUE!</v>
      </c>
      <c r="L95" s="250"/>
      <c r="M95" s="250"/>
      <c r="N95" s="291"/>
      <c r="O95" s="291"/>
      <c r="P95" s="291"/>
      <c r="Q95" s="180"/>
      <c r="S95" s="319" t="s">
        <v>119</v>
      </c>
      <c r="T95" s="320" t="e">
        <f>T92/(T85)</f>
        <v>#VALUE!</v>
      </c>
      <c r="U95" s="250"/>
      <c r="V95" s="250"/>
      <c r="W95" s="291"/>
      <c r="X95" s="291"/>
      <c r="Y95" s="291"/>
      <c r="Z95" s="180"/>
      <c r="AB95" s="319" t="s">
        <v>119</v>
      </c>
      <c r="AC95" s="320" t="e">
        <f>AC92/(AC59)</f>
        <v>#VALUE!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362.52314737308</v>
      </c>
      <c r="C96" s="250"/>
      <c r="D96" s="250"/>
      <c r="E96" s="291"/>
      <c r="F96" s="321" t="s">
        <v>120</v>
      </c>
      <c r="G96" s="322">
        <f>G94+G95</f>
        <v>283.833677898884</v>
      </c>
      <c r="H96" s="180"/>
      <c r="J96" s="321" t="s">
        <v>120</v>
      </c>
      <c r="K96" s="322" t="e">
        <f>(K94+K95)</f>
        <v>#VALUE!</v>
      </c>
      <c r="L96" s="250"/>
      <c r="M96" s="250"/>
      <c r="N96" s="291"/>
      <c r="O96" s="291"/>
      <c r="P96" s="291"/>
      <c r="Q96" s="180"/>
      <c r="S96" s="321" t="s">
        <v>120</v>
      </c>
      <c r="T96" s="322" t="e">
        <f>T94+T95</f>
        <v>#VALUE!</v>
      </c>
      <c r="U96" s="250"/>
      <c r="V96" s="250"/>
      <c r="W96" s="291"/>
      <c r="X96" s="291"/>
      <c r="Y96" s="291"/>
      <c r="Z96" s="180"/>
      <c r="AB96" s="321" t="s">
        <v>120</v>
      </c>
      <c r="AC96" s="322" t="e">
        <f>AC94+AC95</f>
        <v>#VALUE!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>
        <v>0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B9</f>
        <v>18000</v>
      </c>
      <c r="C121" s="336">
        <v>19791.67</v>
      </c>
      <c r="D121" s="335">
        <v>0</v>
      </c>
      <c r="E121" s="336">
        <f>D121</f>
        <v>0</v>
      </c>
      <c r="F121" s="335">
        <f>B11</f>
        <v>0</v>
      </c>
      <c r="G121" s="336">
        <f>F121</f>
        <v>0</v>
      </c>
      <c r="H121" s="337">
        <f>H3</f>
        <v>0</v>
      </c>
      <c r="J121" s="264" t="s">
        <v>151</v>
      </c>
      <c r="K121" s="335" t="str">
        <f>B3</f>
        <v> </v>
      </c>
      <c r="L121" s="336">
        <v>28629.17</v>
      </c>
      <c r="M121" s="335" t="str">
        <f>D3</f>
        <v> </v>
      </c>
      <c r="N121" s="336" t="str">
        <f>M121</f>
        <v> </v>
      </c>
      <c r="O121" s="335" t="str">
        <f>F3</f>
        <v> </v>
      </c>
      <c r="P121" s="336" t="str">
        <f>O121</f>
        <v> </v>
      </c>
      <c r="Q121" s="337">
        <f>H3</f>
        <v>0</v>
      </c>
      <c r="S121" s="264" t="s">
        <v>151</v>
      </c>
      <c r="T121" s="335" t="str">
        <f>B3</f>
        <v> </v>
      </c>
      <c r="U121" s="336" t="str">
        <f>T121</f>
        <v> </v>
      </c>
      <c r="V121" s="335" t="str">
        <f>D3</f>
        <v> </v>
      </c>
      <c r="W121" s="336" t="str">
        <f>V121</f>
        <v> </v>
      </c>
      <c r="X121" s="335" t="str">
        <f>F3</f>
        <v> </v>
      </c>
      <c r="Y121" s="336" t="str">
        <f>X121</f>
        <v> </v>
      </c>
      <c r="Z121" s="337">
        <f>H3</f>
        <v>0</v>
      </c>
      <c r="AB121" s="264" t="s">
        <v>151</v>
      </c>
      <c r="AC121" s="335" t="str">
        <f>B3</f>
        <v> </v>
      </c>
      <c r="AD121" s="336" t="str">
        <f>AC121</f>
        <v> </v>
      </c>
      <c r="AE121" s="335" t="str">
        <f>D3</f>
        <v> </v>
      </c>
      <c r="AF121" s="336" t="str">
        <f>AE121</f>
        <v> </v>
      </c>
      <c r="AG121" s="335" t="str">
        <f>F3</f>
        <v> </v>
      </c>
      <c r="AH121" s="336" t="str">
        <f>AG121</f>
        <v> </v>
      </c>
      <c r="AI121" s="337">
        <f>H3</f>
        <v>0</v>
      </c>
    </row>
    <row r="122" ht="19.5" spans="1:35">
      <c r="A122" s="245" t="s">
        <v>152</v>
      </c>
      <c r="B122" s="338">
        <v>0</v>
      </c>
      <c r="C122" s="248">
        <v>0</v>
      </c>
      <c r="D122" s="338">
        <v>0</v>
      </c>
      <c r="E122" s="248">
        <v>0</v>
      </c>
      <c r="F122" s="338">
        <v>0</v>
      </c>
      <c r="G122" s="339">
        <v>0</v>
      </c>
      <c r="H122" s="249"/>
      <c r="J122" s="245" t="s">
        <v>152</v>
      </c>
      <c r="K122" s="338">
        <f>B4</f>
        <v>21600</v>
      </c>
      <c r="L122" s="248">
        <v>0</v>
      </c>
      <c r="M122" s="338">
        <f>D4</f>
        <v>0</v>
      </c>
      <c r="N122" s="248">
        <f>M122</f>
        <v>0</v>
      </c>
      <c r="O122" s="338" t="str">
        <f>F4</f>
        <v> </v>
      </c>
      <c r="P122" s="339" t="str">
        <f>O122</f>
        <v> </v>
      </c>
      <c r="Q122" s="249"/>
      <c r="S122" s="245" t="s">
        <v>152</v>
      </c>
      <c r="T122" s="338">
        <f>B4</f>
        <v>21600</v>
      </c>
      <c r="U122" s="248">
        <v>0.25</v>
      </c>
      <c r="V122" s="338">
        <f>D4</f>
        <v>0</v>
      </c>
      <c r="W122" s="248">
        <f>V122</f>
        <v>0</v>
      </c>
      <c r="X122" s="338" t="str">
        <f>F4</f>
        <v> </v>
      </c>
      <c r="Y122" s="339" t="str">
        <f>X122</f>
        <v> </v>
      </c>
      <c r="Z122" s="249"/>
      <c r="AB122" s="245" t="s">
        <v>152</v>
      </c>
      <c r="AC122" s="338">
        <f>B4</f>
        <v>21600</v>
      </c>
      <c r="AD122" s="248">
        <v>0.25</v>
      </c>
      <c r="AE122" s="338">
        <f>D4</f>
        <v>0</v>
      </c>
      <c r="AF122" s="248">
        <f>AE122</f>
        <v>0</v>
      </c>
      <c r="AG122" s="338" t="str">
        <f>F4</f>
        <v> </v>
      </c>
      <c r="AH122" s="339" t="str">
        <f>AG122</f>
        <v> </v>
      </c>
      <c r="AI122" s="249"/>
    </row>
    <row r="123" ht="19.5" spans="1:35">
      <c r="A123" s="245" t="s">
        <v>153</v>
      </c>
      <c r="B123" s="340">
        <v>0</v>
      </c>
      <c r="C123" s="336">
        <v>0</v>
      </c>
      <c r="D123" s="340">
        <v>0</v>
      </c>
      <c r="E123" s="336">
        <v>0</v>
      </c>
      <c r="F123" s="340"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 t="str">
        <f>F5</f>
        <v> </v>
      </c>
      <c r="P123" s="336" t="str">
        <f>O123</f>
        <v> 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 t="str">
        <f>F5</f>
        <v> </v>
      </c>
      <c r="Y123" s="336" t="str">
        <f>X123</f>
        <v> 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 t="str">
        <f>F5</f>
        <v> </v>
      </c>
      <c r="AH123" s="336" t="str">
        <f>AG123</f>
        <v> 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 t="e">
        <f t="shared" ref="K124:P124" si="0">(K121*K122)+K123</f>
        <v>#VALUE!</v>
      </c>
      <c r="L124" s="95">
        <f t="shared" si="0"/>
        <v>0</v>
      </c>
      <c r="M124" s="340" t="e">
        <f t="shared" si="0"/>
        <v>#VALUE!</v>
      </c>
      <c r="N124" s="95" t="e">
        <f t="shared" si="0"/>
        <v>#VALUE!</v>
      </c>
      <c r="O124" s="340" t="e">
        <f t="shared" si="0"/>
        <v>#VALUE!</v>
      </c>
      <c r="P124" s="95" t="e">
        <f t="shared" si="0"/>
        <v>#VALUE!</v>
      </c>
      <c r="Q124" s="180"/>
      <c r="S124" s="245" t="s">
        <v>154</v>
      </c>
      <c r="T124" s="340" t="e">
        <f t="shared" ref="T124:Y124" si="1">(T121*T122)+T123</f>
        <v>#VALUE!</v>
      </c>
      <c r="U124" s="95" t="e">
        <f t="shared" si="1"/>
        <v>#VALUE!</v>
      </c>
      <c r="V124" s="340" t="e">
        <f t="shared" si="1"/>
        <v>#VALUE!</v>
      </c>
      <c r="W124" s="95" t="e">
        <f t="shared" si="1"/>
        <v>#VALUE!</v>
      </c>
      <c r="X124" s="340" t="e">
        <f t="shared" si="1"/>
        <v>#VALUE!</v>
      </c>
      <c r="Y124" s="95" t="e">
        <f t="shared" si="1"/>
        <v>#VALUE!</v>
      </c>
      <c r="Z124" s="180"/>
      <c r="AB124" s="245" t="s">
        <v>154</v>
      </c>
      <c r="AC124" s="340" t="e">
        <f t="shared" ref="AC124:AH124" si="2">(AC121*AC122)+AC123</f>
        <v>#VALUE!</v>
      </c>
      <c r="AD124" s="95" t="e">
        <f t="shared" si="2"/>
        <v>#VALUE!</v>
      </c>
      <c r="AE124" s="340" t="e">
        <f t="shared" si="2"/>
        <v>#VALUE!</v>
      </c>
      <c r="AF124" s="95" t="e">
        <f t="shared" si="2"/>
        <v>#VALUE!</v>
      </c>
      <c r="AG124" s="340" t="e">
        <f t="shared" si="2"/>
        <v>#VALUE!</v>
      </c>
      <c r="AH124" s="95" t="e">
        <f t="shared" si="2"/>
        <v>#VALUE!</v>
      </c>
      <c r="AI124" s="180"/>
    </row>
    <row r="125" ht="19.5" spans="1:35">
      <c r="A125" s="275" t="s">
        <v>155</v>
      </c>
      <c r="B125" s="341">
        <f t="shared" ref="B125:G125" si="3">B121-B124</f>
        <v>18000</v>
      </c>
      <c r="C125" s="80">
        <f t="shared" si="3"/>
        <v>19791.67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 t="e">
        <f t="shared" ref="K125:P125" si="4">K121-K124</f>
        <v>#VALUE!</v>
      </c>
      <c r="L125" s="80">
        <f t="shared" si="4"/>
        <v>28629.17</v>
      </c>
      <c r="M125" s="341" t="e">
        <f t="shared" si="4"/>
        <v>#VALUE!</v>
      </c>
      <c r="N125" s="80" t="e">
        <f t="shared" si="4"/>
        <v>#VALUE!</v>
      </c>
      <c r="O125" s="341" t="e">
        <f t="shared" si="4"/>
        <v>#VALUE!</v>
      </c>
      <c r="P125" s="80" t="e">
        <f t="shared" si="4"/>
        <v>#VALUE!</v>
      </c>
      <c r="Q125" s="281"/>
      <c r="S125" s="275" t="s">
        <v>155</v>
      </c>
      <c r="T125" s="341" t="e">
        <f t="shared" ref="T125:Y125" si="5">T121-T124</f>
        <v>#VALUE!</v>
      </c>
      <c r="U125" s="80" t="e">
        <f t="shared" si="5"/>
        <v>#VALUE!</v>
      </c>
      <c r="V125" s="341" t="e">
        <f t="shared" si="5"/>
        <v>#VALUE!</v>
      </c>
      <c r="W125" s="80" t="e">
        <f t="shared" si="5"/>
        <v>#VALUE!</v>
      </c>
      <c r="X125" s="341" t="e">
        <f t="shared" si="5"/>
        <v>#VALUE!</v>
      </c>
      <c r="Y125" s="80" t="e">
        <f t="shared" si="5"/>
        <v>#VALUE!</v>
      </c>
      <c r="Z125" s="281"/>
      <c r="AB125" s="275" t="s">
        <v>155</v>
      </c>
      <c r="AC125" s="341" t="e">
        <f t="shared" ref="AC125:AH125" si="6">AC121-AC124</f>
        <v>#VALUE!</v>
      </c>
      <c r="AD125" s="80" t="e">
        <f t="shared" si="6"/>
        <v>#VALUE!</v>
      </c>
      <c r="AE125" s="341" t="e">
        <f t="shared" si="6"/>
        <v>#VALUE!</v>
      </c>
      <c r="AF125" s="80" t="e">
        <f t="shared" si="6"/>
        <v>#VALUE!</v>
      </c>
      <c r="AG125" s="341" t="e">
        <f t="shared" si="6"/>
        <v>#VALUE!</v>
      </c>
      <c r="AH125" s="80" t="e">
        <f t="shared" si="6"/>
        <v>#VALUE!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>B121</f>
        <v>18000</v>
      </c>
      <c r="H135" s="354">
        <f>C125+E125+G125+H128</f>
        <v>19791.67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0</v>
      </c>
      <c r="Q135" s="354" t="e">
        <f>L125+N125+P125+Q128</f>
        <v>#VALUE!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0</v>
      </c>
      <c r="Z135" s="354" t="e">
        <f>U125+W125+Y125+Z128</f>
        <v>#VALUE!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0</v>
      </c>
      <c r="AI135" s="354" t="e">
        <f>AD125+AF125+AH125+AI128</f>
        <v>#VALUE!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>H10</f>
        <v>0</v>
      </c>
      <c r="H136" s="180">
        <f>G136</f>
        <v>0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0</v>
      </c>
      <c r="Q136" s="180">
        <f>P136</f>
        <v>0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0</v>
      </c>
      <c r="Z136" s="180">
        <f>Y136</f>
        <v>0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0</v>
      </c>
      <c r="AI136" s="180">
        <f>AH136</f>
        <v>0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180">
        <f>(G135+G136)*20%</f>
        <v>3600</v>
      </c>
      <c r="H137" s="180">
        <f>(H135+H136)*20%</f>
        <v>3958.334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0</v>
      </c>
      <c r="Q137" s="180" t="e">
        <f>(Q135+Q136)*20%</f>
        <v>#VALUE!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0</v>
      </c>
      <c r="Z137" s="180" t="e">
        <f>(Z135+Z136)*20%</f>
        <v>#VALUE!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0</v>
      </c>
      <c r="AI137" s="180" t="e">
        <f>(AI135+AI136)*20%</f>
        <v>#VALUE!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>H12</f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>H13</f>
        <v>0</v>
      </c>
      <c r="H139" s="180">
        <f>G139</f>
        <v>0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0</v>
      </c>
      <c r="Q139" s="180">
        <f>P139</f>
        <v>0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0</v>
      </c>
      <c r="Z139" s="180">
        <f>Y139</f>
        <v>0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0</v>
      </c>
      <c r="AI139" s="180">
        <f>AH139</f>
        <v>0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>H14</f>
        <v>0</v>
      </c>
      <c r="H140" s="180">
        <f>G140</f>
        <v>0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0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0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0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6">
        <f>(G135+G136+G139+G140+G137)-G138</f>
        <v>21600</v>
      </c>
      <c r="H141" s="356">
        <f>(H135+H136+H139+H140+H137)-H138</f>
        <v>23750.004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0</v>
      </c>
      <c r="Q141" s="356" t="e">
        <f>(Q135+Q136+Q139+Q140+Q137)-Q138</f>
        <v>#VALUE!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0</v>
      </c>
      <c r="Z141" s="356" t="e">
        <f>(Z135+Z136+Z139+Z140+Z137)-Z138</f>
        <v>#VALUE!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0</v>
      </c>
      <c r="AI141" s="356" t="e">
        <f>(AI135+AI136+AI139+AI140+AI137)-AI138</f>
        <v>#VALUE!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>H16</f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21600</v>
      </c>
      <c r="H147" s="359">
        <f>H141-((H144*1.2)+(H145*1.2)+(H146*1.2)+(H142*1.2))</f>
        <v>23750.004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0</v>
      </c>
      <c r="Q147" s="359" t="e">
        <f>Q141-((Q144*1.2)+(Q145*1.2)+(Q146*1.2)+(Q142*1.2))</f>
        <v>#VALUE!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0</v>
      </c>
      <c r="Z147" s="359" t="e">
        <f>Z141-((Z144*1.2)+(Z145*1.2)+(Z146*1.2)+(Z142*1.2))</f>
        <v>#VALUE!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0</v>
      </c>
      <c r="AI147" s="359" t="e">
        <f>AI141-((AI144*1.2)+(AI145*1.2)+(AI146*1.2)+(AI142*1.2))</f>
        <v>#VALUE!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1791.67</v>
      </c>
      <c r="I148" s="239">
        <f>(H148-G81)/1.2</f>
        <v>-16215.2783333333</v>
      </c>
      <c r="J148" s="254" t="s">
        <v>174</v>
      </c>
      <c r="K148" s="254"/>
      <c r="L148" s="254"/>
      <c r="M148" s="254"/>
      <c r="N148" s="254"/>
      <c r="O148" s="254"/>
      <c r="P148" s="35"/>
      <c r="Q148" s="268" t="e">
        <f>Q147-P147</f>
        <v>#VALUE!</v>
      </c>
      <c r="S148" s="254" t="s">
        <v>174</v>
      </c>
      <c r="T148" s="254"/>
      <c r="U148" s="254"/>
      <c r="V148" s="254"/>
      <c r="W148" s="254"/>
      <c r="X148" s="254"/>
      <c r="Y148" s="35"/>
      <c r="Z148" s="268" t="e">
        <f>Z147-Y147</f>
        <v>#VALUE!</v>
      </c>
      <c r="AB148" s="254" t="s">
        <v>174</v>
      </c>
      <c r="AC148" s="254"/>
      <c r="AD148" s="254"/>
      <c r="AE148" s="254"/>
      <c r="AF148" s="254"/>
      <c r="AG148" s="254"/>
      <c r="AH148" s="35"/>
      <c r="AI148" s="268" t="e">
        <f>AI147-AH147</f>
        <v>#VALUE!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21250.004</v>
      </c>
      <c r="H158" s="362"/>
      <c r="J158" s="361" t="s">
        <v>181</v>
      </c>
      <c r="K158" s="250"/>
      <c r="L158" s="250"/>
      <c r="M158" s="291"/>
      <c r="N158" s="250"/>
      <c r="O158" s="291"/>
      <c r="P158" s="362" t="e">
        <f>Q147-P154-P157</f>
        <v>#VALUE!</v>
      </c>
      <c r="Q158" s="362"/>
      <c r="S158" s="361" t="s">
        <v>181</v>
      </c>
      <c r="T158" s="250"/>
      <c r="U158" s="250"/>
      <c r="V158" s="291"/>
      <c r="W158" s="250"/>
      <c r="X158" s="291"/>
      <c r="Y158" s="362" t="e">
        <f>Z147-Y154-Y157</f>
        <v>#VALUE!</v>
      </c>
      <c r="Z158" s="362"/>
      <c r="AB158" s="361" t="s">
        <v>181</v>
      </c>
      <c r="AC158" s="250"/>
      <c r="AD158" s="250"/>
      <c r="AE158" s="291"/>
      <c r="AF158" s="250"/>
      <c r="AG158" s="291"/>
      <c r="AH158" s="362" t="e">
        <f>AI147-AH154-AH157</f>
        <v>#VALUE!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362.52314737308</v>
      </c>
      <c r="B167" s="126" t="str">
        <f>B94</f>
        <v>0</v>
      </c>
      <c r="C167" s="365"/>
      <c r="D167" s="365"/>
      <c r="E167" s="126">
        <f>B96</f>
        <v>362.52314737308</v>
      </c>
      <c r="F167" s="262"/>
      <c r="G167" s="262">
        <f>ROUND(G95,2)</f>
        <v>283.83</v>
      </c>
      <c r="H167" s="180"/>
      <c r="J167" s="366" t="e">
        <f>K95</f>
        <v>#VALUE!</v>
      </c>
      <c r="K167" s="126">
        <f>K94</f>
        <v>0</v>
      </c>
      <c r="L167" s="365"/>
      <c r="M167" s="365"/>
      <c r="N167" s="126" t="e">
        <f>K96</f>
        <v>#VALUE!</v>
      </c>
      <c r="O167" s="262"/>
      <c r="P167" s="262"/>
      <c r="Q167" s="180"/>
      <c r="S167" s="366" t="e">
        <f>T95</f>
        <v>#VALUE!</v>
      </c>
      <c r="T167" s="126">
        <f>T94</f>
        <v>0</v>
      </c>
      <c r="U167" s="365"/>
      <c r="V167" s="365"/>
      <c r="W167" s="126" t="e">
        <f>T96</f>
        <v>#VALUE!</v>
      </c>
      <c r="X167" s="262"/>
      <c r="Y167" s="262"/>
      <c r="Z167" s="180"/>
      <c r="AB167" s="366" t="e">
        <f>AC95</f>
        <v>#VALUE!</v>
      </c>
      <c r="AC167" s="126">
        <f>AC94</f>
        <v>0</v>
      </c>
      <c r="AD167" s="365"/>
      <c r="AE167" s="365"/>
      <c r="AF167" s="126" t="e">
        <f>AC96</f>
        <v>#VALUE!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36</v>
      </c>
      <c r="B170" s="40">
        <f>K30</f>
        <v>10000</v>
      </c>
      <c r="C170" s="367"/>
      <c r="D170" s="262"/>
      <c r="E170" s="274">
        <f>IF(A111="YES",A40,0)</f>
        <v>15150</v>
      </c>
      <c r="F170" s="262"/>
      <c r="G170" s="262"/>
      <c r="H170" s="180"/>
      <c r="J170" s="270">
        <f>K29</f>
        <v>36</v>
      </c>
      <c r="K170" s="42">
        <f>K30</f>
        <v>10000</v>
      </c>
      <c r="L170" s="367"/>
      <c r="M170" s="262"/>
      <c r="N170" s="274">
        <f>IF(A111="YES",A40,0)</f>
        <v>15150</v>
      </c>
      <c r="O170" s="262"/>
      <c r="P170" s="262"/>
      <c r="Q170" s="180"/>
      <c r="S170" s="270">
        <f>K29</f>
        <v>36</v>
      </c>
      <c r="T170" s="42">
        <f>K30</f>
        <v>10000</v>
      </c>
      <c r="U170" s="367"/>
      <c r="V170" s="262"/>
      <c r="W170" s="274">
        <f>IF(A111="YES",A40,0)</f>
        <v>15150</v>
      </c>
      <c r="X170" s="262"/>
      <c r="Y170" s="262"/>
      <c r="Z170" s="180"/>
      <c r="AB170" s="270">
        <f>K29</f>
        <v>36</v>
      </c>
      <c r="AC170" s="42">
        <f>K30</f>
        <v>10000</v>
      </c>
      <c r="AD170" s="367"/>
      <c r="AE170" s="262"/>
      <c r="AF170" s="274">
        <f>IF(A111="YES",A40,0)</f>
        <v>15150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19791.67</v>
      </c>
      <c r="B173" s="133">
        <f>H137</f>
        <v>3958.334</v>
      </c>
      <c r="C173" s="272"/>
      <c r="D173" s="262"/>
      <c r="E173" s="274">
        <f>H139+H140</f>
        <v>0</v>
      </c>
      <c r="F173" s="262"/>
      <c r="G173" s="262"/>
      <c r="H173" s="180"/>
      <c r="J173" s="132" t="e">
        <f>Q141-Q137-Q139-Q140</f>
        <v>#VALUE!</v>
      </c>
      <c r="K173" s="133" t="e">
        <f>Q137</f>
        <v>#VALUE!</v>
      </c>
      <c r="L173" s="272"/>
      <c r="M173" s="262"/>
      <c r="N173" s="274">
        <f>Q139+Q140</f>
        <v>55</v>
      </c>
      <c r="O173" s="262"/>
      <c r="P173" s="262"/>
      <c r="Q173" s="180"/>
      <c r="S173" s="132" t="e">
        <f>Z141-Z137-Z139-Z140</f>
        <v>#VALUE!</v>
      </c>
      <c r="T173" s="133" t="e">
        <f>Z137</f>
        <v>#VALUE!</v>
      </c>
      <c r="U173" s="272"/>
      <c r="V173" s="262"/>
      <c r="W173" s="274">
        <f>Z139+Z140</f>
        <v>55</v>
      </c>
      <c r="X173" s="262"/>
      <c r="Y173" s="262"/>
      <c r="Z173" s="180"/>
      <c r="AB173" s="132" t="e">
        <f>AI141-AI137-AI139-AI140</f>
        <v>#VALUE!</v>
      </c>
      <c r="AC173" s="133" t="e">
        <f>AI137</f>
        <v>#VALUE!</v>
      </c>
      <c r="AD173" s="272"/>
      <c r="AE173" s="262"/>
      <c r="AF173" s="274">
        <f>AI139+AI140</f>
        <v>55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23750.004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 t="e">
        <f>Q141</f>
        <v>#VALUE!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 t="e">
        <f>Z141</f>
        <v>#VALUE!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 t="e">
        <f>AI141</f>
        <v>#VALUE!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21250.004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 t="e">
        <f>J176-J179-K179</f>
        <v>#VALUE!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 t="e">
        <f>S176-S179-T179</f>
        <v>#VALUE!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 t="e">
        <f>AB176-AB179-AC179</f>
        <v>#VALUE!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6588.3061580578</v>
      </c>
      <c r="B182" s="133" t="str">
        <f>B114</f>
        <v>199.99</v>
      </c>
      <c r="C182" s="133"/>
      <c r="D182" s="262"/>
      <c r="E182" s="133">
        <f>E179+A182+(B182*1.2)+A185</f>
        <v>28088.2981580578</v>
      </c>
      <c r="F182" s="262"/>
      <c r="G182" s="262"/>
      <c r="H182" s="141"/>
      <c r="J182" s="134" t="e">
        <f>(J167*K59)+N185-N179-J185</f>
        <v>#VALUE!</v>
      </c>
      <c r="K182" s="133">
        <f>K114</f>
        <v>239.99</v>
      </c>
      <c r="L182" s="133"/>
      <c r="M182" s="262"/>
      <c r="N182" s="133" t="e">
        <f>N179+J182+K182+J185</f>
        <v>#VALUE!</v>
      </c>
      <c r="O182" s="262"/>
      <c r="P182" s="262"/>
      <c r="Q182" s="141"/>
      <c r="S182" s="134" t="e">
        <f>(S167*T59)+W185-W179-S185</f>
        <v>#VALUE!</v>
      </c>
      <c r="T182" s="133">
        <f>T114</f>
        <v>199.99</v>
      </c>
      <c r="U182" s="133"/>
      <c r="V182" s="262"/>
      <c r="W182" s="133" t="e">
        <f>W179+S182+T182+S185</f>
        <v>#VALUE!</v>
      </c>
      <c r="X182" s="262"/>
      <c r="Y182" s="262"/>
      <c r="Z182" s="141"/>
      <c r="AB182" s="134" t="e">
        <f>(AB167*AC59)+AF185-AF179-AB185</f>
        <v>#VALUE!</v>
      </c>
      <c r="AC182" s="133">
        <f>AC114</f>
        <v>239.99</v>
      </c>
      <c r="AD182" s="133"/>
      <c r="AE182" s="262"/>
      <c r="AF182" s="133" t="e">
        <f>AF179+AB182+AC182+AB185</f>
        <v>#VALUE!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A179+(B182*1.2)</f>
        <v>2239.988</v>
      </c>
      <c r="C185" s="133"/>
      <c r="D185" s="262"/>
      <c r="E185" s="133">
        <f>IF(A40=0,(E167+A185),(E170+A185))</f>
        <v>15160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15170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15160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15160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IF(E105="YES",B61*0.000002,0)*100</f>
        <v>0</v>
      </c>
      <c r="B188" s="133">
        <f>(G158*B67)/1.2</f>
        <v>177.083366666667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</v>
      </c>
      <c r="K188" s="133" t="e">
        <f>(P158*K67)/1.2</f>
        <v>#VALUE!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 t="e">
        <f>(Y158*T67)/1.2</f>
        <v>#VALUE!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 t="e">
        <f>(AH158*AC67)/1.2</f>
        <v>#VALUE!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277.073366666667</v>
      </c>
      <c r="C191" s="250"/>
      <c r="D191" s="250"/>
      <c r="E191" s="133">
        <f>H148</f>
        <v>1791.67</v>
      </c>
      <c r="F191" s="262"/>
      <c r="G191" s="262"/>
      <c r="H191" s="180"/>
      <c r="J191" s="134">
        <f>K185-100</f>
        <v>1139.99</v>
      </c>
      <c r="K191" s="133" t="e">
        <f>K188+N188+J191</f>
        <v>#VALUE!</v>
      </c>
      <c r="L191" s="250"/>
      <c r="M191" s="250"/>
      <c r="N191" s="133" t="e">
        <f>Q148</f>
        <v>#VALUE!</v>
      </c>
      <c r="O191" s="262"/>
      <c r="P191" s="262"/>
      <c r="Q191" s="180"/>
      <c r="S191" s="134">
        <f>T185-100</f>
        <v>1099.99</v>
      </c>
      <c r="T191" s="133" t="e">
        <f>T188+W188+S191</f>
        <v>#VALUE!</v>
      </c>
      <c r="U191" s="250"/>
      <c r="V191" s="250"/>
      <c r="W191" s="133" t="e">
        <f>Z148</f>
        <v>#VALUE!</v>
      </c>
      <c r="X191" s="368"/>
      <c r="Y191" s="368"/>
      <c r="Z191" s="180"/>
      <c r="AB191" s="134">
        <f>AC185-100</f>
        <v>1139.99</v>
      </c>
      <c r="AC191" s="133" t="e">
        <f>AC188+AF188+AB191</f>
        <v>#VALUE!</v>
      </c>
      <c r="AD191" s="250"/>
      <c r="AE191" s="250"/>
      <c r="AF191" s="133" t="e">
        <f>AI148</f>
        <v>#VALUE!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10000</v>
      </c>
      <c r="C196" s="288"/>
      <c r="D196" s="288"/>
      <c r="E196" s="262"/>
      <c r="F196" s="262"/>
      <c r="G196" s="262"/>
      <c r="H196" s="180"/>
      <c r="J196" s="286"/>
      <c r="K196" s="288">
        <f>K30</f>
        <v>10000</v>
      </c>
      <c r="L196" s="288"/>
      <c r="M196" s="288"/>
      <c r="N196" s="262"/>
      <c r="O196" s="262"/>
      <c r="P196" s="262"/>
      <c r="Q196" s="180"/>
      <c r="S196" s="286"/>
      <c r="T196" s="288">
        <f>K30</f>
        <v>10000</v>
      </c>
      <c r="U196" s="288"/>
      <c r="V196" s="288"/>
      <c r="W196" s="262"/>
      <c r="X196" s="262"/>
      <c r="Y196" s="262"/>
      <c r="Z196" s="180"/>
      <c r="AB196" s="286"/>
      <c r="AC196" s="288">
        <f>K30</f>
        <v>10000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36</v>
      </c>
      <c r="B197" s="71">
        <f>B96</f>
        <v>362.52314737308</v>
      </c>
      <c r="C197" s="71"/>
      <c r="D197" s="71"/>
      <c r="E197" s="262"/>
      <c r="F197" s="262"/>
      <c r="G197" s="262"/>
      <c r="H197" s="180"/>
      <c r="J197" s="289">
        <f>K29</f>
        <v>36</v>
      </c>
      <c r="K197" s="71" t="e">
        <f>K96</f>
        <v>#VALUE!</v>
      </c>
      <c r="L197" s="71"/>
      <c r="M197" s="71"/>
      <c r="N197" s="262"/>
      <c r="O197" s="262"/>
      <c r="P197" s="262"/>
      <c r="Q197" s="180"/>
      <c r="S197" s="289">
        <f>K29</f>
        <v>36</v>
      </c>
      <c r="T197" s="71" t="e">
        <f>T96</f>
        <v>#VALUE!</v>
      </c>
      <c r="U197" s="71"/>
      <c r="V197" s="71"/>
      <c r="W197" s="262"/>
      <c r="X197" s="262"/>
      <c r="Y197" s="262"/>
      <c r="Z197" s="180"/>
      <c r="AB197" s="289">
        <f>K29</f>
        <v>36</v>
      </c>
      <c r="AC197" s="71" t="e">
        <f>AC96</f>
        <v>#VALUE!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3834.046</v>
      </c>
      <c r="B201" s="272">
        <f>E179+A201+(B182*1.2)+A185</f>
        <v>25334.038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36</v>
      </c>
      <c r="C209" s="365"/>
      <c r="D209" s="365"/>
      <c r="E209" s="365">
        <f>B196</f>
        <v>10000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362.52314737308</v>
      </c>
      <c r="B212" s="126" t="str">
        <f>B167</f>
        <v>0</v>
      </c>
      <c r="C212" s="365"/>
      <c r="D212" s="365"/>
      <c r="E212" s="126">
        <f>E167</f>
        <v>362.52314737308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19791.67</v>
      </c>
      <c r="B215" s="133">
        <f>B173</f>
        <v>3958.334</v>
      </c>
      <c r="C215" s="272"/>
      <c r="D215" s="291"/>
      <c r="E215" s="274">
        <f>E173</f>
        <v>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23750.004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21250.004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6588.3061580578</v>
      </c>
      <c r="B224" s="133" t="str">
        <f>B182</f>
        <v>199.99</v>
      </c>
      <c r="C224" s="133"/>
      <c r="D224" s="291"/>
      <c r="E224" s="133">
        <f>E182</f>
        <v>28088.2981580578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35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362.52314737308</v>
      </c>
      <c r="B230" s="133" t="str">
        <f>B167</f>
        <v>0</v>
      </c>
      <c r="C230" s="272"/>
      <c r="D230" s="272"/>
      <c r="E230" s="133">
        <f>E167</f>
        <v>362.52314737308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15150</v>
      </c>
      <c r="B233" s="133">
        <f>E185</f>
        <v>15160</v>
      </c>
      <c r="C233" s="250"/>
      <c r="D233" s="250"/>
      <c r="E233" s="133">
        <f>A188</f>
        <v>0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1791.67</v>
      </c>
      <c r="B240" s="133">
        <f>B68</f>
        <v>177.083366666667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2068.74336666666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2764.2601580578</v>
      </c>
      <c r="C254" s="376"/>
      <c r="D254" s="377" t="s">
        <v>218</v>
      </c>
      <c r="E254" s="377"/>
      <c r="F254" s="378">
        <f>F261+F267+F269+B270+B271</f>
        <v>212.50004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2651.7501180578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2764.2601580578</v>
      </c>
      <c r="G260" s="262"/>
      <c r="H260" s="180"/>
    </row>
    <row r="261" ht="19.5" spans="1:8">
      <c r="A261" s="245" t="s">
        <v>223</v>
      </c>
      <c r="B261" s="387">
        <f>B67</f>
        <v>0.01</v>
      </c>
      <c r="C261" s="368"/>
      <c r="D261" s="105" t="s">
        <v>223</v>
      </c>
      <c r="E261" s="105"/>
      <c r="F261" s="144">
        <f>B68*1.2</f>
        <v>212.50004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2651.7501180578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60">
    <mergeCell ref="A1:F1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  <mergeCell ref="D7:E18"/>
    <mergeCell ref="A16:C18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topLeftCell="A124" workbookViewId="0">
      <selection activeCell="D149" sqref="D149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207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>
        <f>IF(B38="YES",D38+A41,D38)</f>
        <v>500</v>
      </c>
      <c r="C41" s="55"/>
      <c r="D41" s="48">
        <v>12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</v>
      </c>
      <c r="B44" s="48">
        <v>0</v>
      </c>
      <c r="C44" s="48"/>
      <c r="D44" s="59">
        <f>A44+B44</f>
        <v>1</v>
      </c>
      <c r="E44" s="59"/>
      <c r="F44" s="2"/>
      <c r="G44" s="2" t="s">
        <v>257</v>
      </c>
      <c r="H44" s="50">
        <f>((A41*(B35-1))+D32)/B35</f>
        <v>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501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9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3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276</v>
      </c>
      <c r="B60" s="13">
        <f>E19</f>
        <v>21600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37405</v>
      </c>
      <c r="C61" s="13"/>
      <c r="D61" s="13"/>
      <c r="E61" s="14"/>
      <c r="F61" s="2"/>
      <c r="G61" s="6" t="s">
        <v>14</v>
      </c>
      <c r="H61" s="12">
        <f>G18</f>
        <v>37405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1512</v>
      </c>
      <c r="C64" s="13">
        <v>10000</v>
      </c>
      <c r="D64" s="12">
        <f>B64</f>
        <v>1512</v>
      </c>
      <c r="E64" s="14"/>
      <c r="F64" s="2"/>
      <c r="G64" s="72" t="s">
        <v>91</v>
      </c>
      <c r="H64" s="80">
        <f>H61*H63</f>
        <v>2618.35</v>
      </c>
      <c r="I64" s="13"/>
      <c r="J64" s="12">
        <f>H64</f>
        <v>2618.35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216</v>
      </c>
      <c r="C67" s="13"/>
      <c r="D67" s="12"/>
      <c r="E67" s="14"/>
      <c r="F67" s="2"/>
      <c r="G67" s="72" t="s">
        <v>94</v>
      </c>
      <c r="H67" s="80">
        <f>H61*H66</f>
        <v>187.025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>
        <f>IF(G18&gt;40000,325,0)</f>
        <v>0</v>
      </c>
      <c r="D75" s="13"/>
      <c r="E75" s="14"/>
      <c r="F75" s="2"/>
      <c r="G75" s="3" t="s">
        <v>280</v>
      </c>
      <c r="H75" s="88">
        <f>IF(G18&gt;40000,325,0)</f>
        <v>0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12.5</v>
      </c>
      <c r="I76" s="13"/>
      <c r="J76" s="12">
        <f>H76</f>
        <v>12.5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2838.66666666667</v>
      </c>
      <c r="C81" s="13"/>
      <c r="D81" s="13"/>
      <c r="E81" s="14"/>
      <c r="F81" s="2"/>
      <c r="G81" s="91" t="s">
        <v>103</v>
      </c>
      <c r="H81" s="92">
        <f>SUM(J64:J80)</f>
        <v>4244.85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236.555555555556</v>
      </c>
      <c r="C82" s="13"/>
      <c r="D82" s="13"/>
      <c r="E82" s="14"/>
      <c r="F82" s="2"/>
      <c r="G82" s="6" t="s">
        <v>104</v>
      </c>
      <c r="H82" s="11">
        <f>H81/H29</f>
        <v>353.7375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((B83*(H29)+B81))*1.2</f>
        <v>10620.8</v>
      </c>
      <c r="C85" s="13"/>
      <c r="D85" s="13"/>
      <c r="E85" s="14"/>
      <c r="F85" s="2"/>
      <c r="G85" s="75" t="s">
        <v>115</v>
      </c>
      <c r="H85" s="95">
        <f>((H83*(H27+H28))+H81)*1.2</f>
        <v>12308.22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(((B83*(H29))+B81)/(1-B70))*B70</f>
        <v>74.9753933037515</v>
      </c>
      <c r="C86" s="13"/>
      <c r="D86" s="13"/>
      <c r="E86" s="14"/>
      <c r="F86" s="2"/>
      <c r="G86" s="6" t="s">
        <v>116</v>
      </c>
      <c r="H86" s="11">
        <f>(((H83*(H27+H28))+H81)/(1-H70))*H70</f>
        <v>86.8873941105285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10695.7753933038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12295.1173941105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IF(B99=Z102,(((H44*B35)+(H44*B35)*(B105/100))/(B58))*1.2,(((H44*B35)+(H44*B35)*(B105/100))/(B57+B58))*1.2)</f>
        <v>0</v>
      </c>
      <c r="C89" s="13"/>
      <c r="D89" s="13"/>
      <c r="E89" s="14"/>
      <c r="F89" s="2"/>
      <c r="G89" s="91" t="s">
        <v>118</v>
      </c>
      <c r="H89" s="92">
        <f>(A41+(A41*H105))*1.2</f>
        <v>0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891.314616108646</v>
      </c>
      <c r="C90" s="13"/>
      <c r="D90" s="13"/>
      <c r="E90" s="14"/>
      <c r="F90" s="2"/>
      <c r="G90" s="97" t="s">
        <v>119</v>
      </c>
      <c r="H90" s="98">
        <f>IF(H99=AE98,(H87-J105)/(H58),H87/(H57+H58))</f>
        <v>1024.59311617588</v>
      </c>
      <c r="I90" s="13"/>
      <c r="J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891.314616108646</v>
      </c>
      <c r="C91" s="13"/>
      <c r="D91" s="13"/>
      <c r="E91" s="14"/>
      <c r="F91" s="2"/>
      <c r="G91" s="99" t="s">
        <v>120</v>
      </c>
      <c r="H91" s="100">
        <f>IF(G105="YES",H90+H89,H90)</f>
        <v>1024.59311617588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284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351</v>
      </c>
      <c r="C99" s="101"/>
      <c r="D99" s="102">
        <v>1000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>
        <f>199.99*1.2</f>
        <v>239.988</v>
      </c>
      <c r="B102" s="102">
        <v>400</v>
      </c>
      <c r="C102" s="102"/>
      <c r="D102" s="102">
        <v>200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19</v>
      </c>
      <c r="B105" s="101">
        <v>0</v>
      </c>
      <c r="C105" s="101"/>
      <c r="D105" s="102" t="s">
        <v>352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>
        <v>0</v>
      </c>
      <c r="C108" s="27"/>
      <c r="D108" s="27">
        <v>0</v>
      </c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>
        <v>10000</v>
      </c>
      <c r="E112" s="102">
        <v>6000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8000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4000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239.988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(E118+E117)-D115</f>
        <v>-2760.012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891.314616108646</v>
      </c>
      <c r="B128" s="113">
        <f>IF(A105="YES",B89,0)</f>
        <v>0</v>
      </c>
      <c r="C128" s="119"/>
      <c r="D128" s="113">
        <f>B91</f>
        <v>891.314616108646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1024.59311617588</v>
      </c>
      <c r="H130" s="126">
        <f>IF(G105="YES",H89*H57,0)</f>
        <v>0</v>
      </c>
      <c r="I130" s="126"/>
      <c r="J130" s="167">
        <f>H91</f>
        <v>1024.59311617588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Terminal pause with 9 down </v>
      </c>
      <c r="B131" s="127">
        <f>B90*B57</f>
        <v>8021.83154497781</v>
      </c>
      <c r="C131" s="109"/>
      <c r="D131" s="127">
        <f>IF(A105="YES",B89*B57,0)</f>
        <v>0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1024.59311617588</v>
      </c>
      <c r="H133" s="133">
        <f>IF(G105="YES",H89*H57,0)</f>
        <v>0</v>
      </c>
      <c r="I133" s="31"/>
      <c r="J133" s="53">
        <f>H91*H57</f>
        <v>1024.59311617588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8021.83154497781</v>
      </c>
      <c r="B134" s="127">
        <f>E114</f>
        <v>4000</v>
      </c>
      <c r="C134" s="109"/>
      <c r="D134" s="135">
        <f>B58</f>
        <v>3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891.314616108646</v>
      </c>
      <c r="B137" s="127">
        <f>IF(A105="YES",B89,0)</f>
        <v>0</v>
      </c>
      <c r="C137" s="109"/>
      <c r="D137" s="127">
        <f>B91</f>
        <v>891.314616108646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187.025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26.9316</v>
      </c>
      <c r="B140" s="143">
        <f>G18*0.000002*1.2*100</f>
        <v>8.9772</v>
      </c>
      <c r="C140" s="109"/>
      <c r="D140" s="143">
        <f>A140+B140</f>
        <v>35.9088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0</v>
      </c>
      <c r="H142" s="133">
        <f>G102-100</f>
        <v>139.988</v>
      </c>
      <c r="I142" s="133"/>
      <c r="J142" s="133">
        <f>(H139+J139+G142+H142)-H145</f>
        <v>1407.013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239.988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216</v>
      </c>
      <c r="B148" s="127">
        <f>B102</f>
        <v>400</v>
      </c>
      <c r="C148" s="127"/>
      <c r="D148" s="127">
        <f>IF(A105="YES",(A41*B105)*B125,0)*0.001</f>
        <v>0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(E118/1.2)-100</f>
        <v>99.99</v>
      </c>
      <c r="B151" s="127">
        <f>(A148+B148+D148+A151)*(A143/B64)</f>
        <v>0</v>
      </c>
      <c r="C151" s="127"/>
      <c r="D151" s="127">
        <f>(A148+B148+D148+A151)-B151</f>
        <v>715.99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1024.59311617588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891.314616108646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891.314616108646</v>
      </c>
      <c r="B171" s="156">
        <f>IF(A105="YES",B89,0)</f>
        <v>0</v>
      </c>
      <c r="C171" s="159"/>
      <c r="D171" s="156">
        <f>B91</f>
        <v>891.314616108646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Terminal pause with 9 down </v>
      </c>
      <c r="B174" s="133">
        <f>B90*B57</f>
        <v>8021.83154497781</v>
      </c>
      <c r="C174" s="154"/>
      <c r="D174" s="133">
        <f>IF(A105="YES",B89*B57,0)</f>
        <v>0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8021.83154497781</v>
      </c>
      <c r="B177" s="133">
        <f>E114</f>
        <v>4000</v>
      </c>
      <c r="C177" s="154"/>
      <c r="D177" s="162">
        <f>B58</f>
        <v>3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891.314616108646</v>
      </c>
      <c r="B180" s="133">
        <f>IF(A105="YES",B89,0)</f>
        <v>0</v>
      </c>
      <c r="C180" s="154"/>
      <c r="D180" s="133">
        <f>B91</f>
        <v>891.314616108646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26.9316</v>
      </c>
      <c r="B183" s="166">
        <f>G18*0.000002*1.2*100</f>
        <v>8.9772</v>
      </c>
      <c r="C183" s="154"/>
      <c r="D183" s="166">
        <f>A183+B183</f>
        <v>35.9088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239.988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216</v>
      </c>
      <c r="B191" s="133">
        <f>B102</f>
        <v>400</v>
      </c>
      <c r="C191" s="133"/>
      <c r="D191" s="133">
        <f>IF(A105="YES",(A38/100*B105)*B125,0)*0.001</f>
        <v>0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(E118/1.2)-100</f>
        <v>99.99</v>
      </c>
      <c r="B194" s="133">
        <f>(A148+B148+D148+A151)*(A143/B64)</f>
        <v>0</v>
      </c>
      <c r="C194" s="133"/>
      <c r="D194" s="133">
        <f>(A148+B148+D148+A151)-B151</f>
        <v>715.99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B209</f>
        <v>0.065</v>
      </c>
      <c r="C203" s="113" t="s">
        <v>217</v>
      </c>
      <c r="D203" s="173">
        <f>D64</f>
        <v>1512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216</v>
      </c>
      <c r="C205" s="112" t="s">
        <v>219</v>
      </c>
      <c r="D205" s="173">
        <f>B219+E215+B215+B217</f>
        <v>339.99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1635.99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1512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216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1635.99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74.9753933037515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  <mergeCell ref="D7:E18"/>
    <mergeCell ref="A16:C18"/>
  </mergeCells>
  <dataValidations count="4">
    <dataValidation type="list" allowBlank="1" showErrorMessage="1" sqref="A32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</dataValidation>
    <dataValidation type="list" allowBlank="1" showErrorMessage="1" sqref="B38 A105 B110">
      <formula1>"NO,YES"</formula1>
    </dataValidation>
    <dataValidation type="list" allowBlank="1" showErrorMessage="1" sqref="B99">
      <formula1>'BCH (Formula 3) - PCH'!$Z$101:$Z$109</formula1>
    </dataValidation>
    <dataValidation type="list" allowBlank="1" showErrorMessage="1" sqref="H99 N99:O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topLeftCell="A169" workbookViewId="0">
      <selection activeCell="D149" sqref="D149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7.8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426"/>
      <c r="B8" s="2"/>
      <c r="C8" s="2"/>
      <c r="D8" s="425"/>
      <c r="E8" s="425"/>
      <c r="F8" s="2"/>
      <c r="G8" s="2"/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f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207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50</v>
      </c>
      <c r="E32" s="37"/>
      <c r="F32" s="2"/>
      <c r="G32" s="38" t="s">
        <v>243</v>
      </c>
      <c r="H32" s="36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54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50</v>
      </c>
      <c r="B41" s="55">
        <f>IF(B38="YES",D38+A41,D38)</f>
        <v>550</v>
      </c>
      <c r="C41" s="55"/>
      <c r="D41" s="48">
        <v>12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</v>
      </c>
      <c r="B44" s="48">
        <v>1</v>
      </c>
      <c r="C44" s="48"/>
      <c r="D44" s="59">
        <f>A44+B44</f>
        <v>2</v>
      </c>
      <c r="E44" s="59"/>
      <c r="F44" s="2"/>
      <c r="G44" s="2" t="s">
        <v>257</v>
      </c>
      <c r="H44" s="50">
        <f>((A41*(B35-1))+D32)/B35</f>
        <v>50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>
        <f>(A41*(B58+B57))</f>
        <v>600</v>
      </c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551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9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3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276</v>
      </c>
      <c r="B60" s="13">
        <f>E19</f>
        <v>21600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37405</v>
      </c>
      <c r="C61" s="13"/>
      <c r="D61" s="13"/>
      <c r="E61" s="14"/>
      <c r="F61" s="2"/>
      <c r="G61" s="6" t="s">
        <v>14</v>
      </c>
      <c r="H61" s="12">
        <f>G18</f>
        <v>37405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B60*B63</f>
        <v>1512</v>
      </c>
      <c r="C64" s="13">
        <v>10000</v>
      </c>
      <c r="D64" s="12">
        <f>B64</f>
        <v>1512</v>
      </c>
      <c r="E64" s="14"/>
      <c r="F64" s="2"/>
      <c r="G64" s="72" t="s">
        <v>91</v>
      </c>
      <c r="H64" s="80">
        <f>H61*H63</f>
        <v>2618.35</v>
      </c>
      <c r="I64" s="13"/>
      <c r="J64" s="12">
        <f>H64</f>
        <v>2618.35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216</v>
      </c>
      <c r="C67" s="13"/>
      <c r="D67" s="12"/>
      <c r="E67" s="14"/>
      <c r="F67" s="2"/>
      <c r="G67" s="72" t="s">
        <v>94</v>
      </c>
      <c r="H67" s="80">
        <f>H61*H66</f>
        <v>187.025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f>IF(G18&gt;40000,325,0)</f>
        <v>0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12.5</v>
      </c>
      <c r="I76" s="13"/>
      <c r="J76" s="12">
        <f>H76</f>
        <v>12.5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2838.66666666667</v>
      </c>
      <c r="C81" s="13"/>
      <c r="D81" s="13"/>
      <c r="E81" s="14"/>
      <c r="F81" s="2"/>
      <c r="G81" s="91" t="s">
        <v>103</v>
      </c>
      <c r="H81" s="92">
        <f>SUM(J64:J80)</f>
        <v>4244.85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236.555555555556</v>
      </c>
      <c r="C82" s="13"/>
      <c r="D82" s="13"/>
      <c r="E82" s="14"/>
      <c r="F82" s="2"/>
      <c r="G82" s="6" t="s">
        <v>104</v>
      </c>
      <c r="H82" s="11">
        <f>H81/H29</f>
        <v>353.7375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</f>
        <v>8850.66666666667</v>
      </c>
      <c r="C85" s="13"/>
      <c r="D85" s="13"/>
      <c r="E85" s="14"/>
      <c r="F85" s="2"/>
      <c r="G85" s="75" t="s">
        <v>115</v>
      </c>
      <c r="H85" s="95">
        <f>((H83*(H27+H28))+H81)*1.2</f>
        <v>12308.22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(B85/(1-B70))*B70</f>
        <v>74.9753933037515</v>
      </c>
      <c r="C86" s="13"/>
      <c r="D86" s="13"/>
      <c r="E86" s="14"/>
      <c r="F86" s="2"/>
      <c r="G86" s="6" t="s">
        <v>116</v>
      </c>
      <c r="H86" s="11">
        <f>(((H83*(H27+H28))+H81)/(1-H70))*H70</f>
        <v>86.8873941105285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8925.64205997042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12295.1173941105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IF(B99=Z102,(((H44*B35)+(H44*B35)*(B105/100))/(B58)),(((H44*B35)+(H44*B35)*(B105/100))/(B57+B58)))</f>
        <v>65</v>
      </c>
      <c r="C89" s="13" t="s">
        <v>4</v>
      </c>
      <c r="D89" s="13"/>
      <c r="E89" s="14"/>
      <c r="F89" s="2"/>
      <c r="G89" s="91" t="s">
        <v>118</v>
      </c>
      <c r="H89" s="92">
        <f>(A41+(A41*H105))*1.2</f>
        <v>72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743.803504997535</v>
      </c>
      <c r="C90" s="13"/>
      <c r="D90" s="13"/>
      <c r="E90" s="14"/>
      <c r="F90" s="2"/>
      <c r="G90" s="97" t="s">
        <v>119</v>
      </c>
      <c r="H90" s="98">
        <f>IF(H99=AE98,(H87-J105)/(H58),H87/(H57+H58))</f>
        <v>1024.59311617588</v>
      </c>
      <c r="I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808.803504997535</v>
      </c>
      <c r="C91" s="13"/>
      <c r="D91" s="13"/>
      <c r="E91" s="14"/>
      <c r="F91" s="2"/>
      <c r="G91" s="99" t="s">
        <v>120</v>
      </c>
      <c r="H91" s="100">
        <f>IF(G105="YES",H90+H89,H90)</f>
        <v>1096.59311617588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351</v>
      </c>
      <c r="C99" s="101"/>
      <c r="D99" s="102">
        <v>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>
        <v>199.99</v>
      </c>
      <c r="B102" s="102">
        <v>400</v>
      </c>
      <c r="C102" s="102"/>
      <c r="D102" s="102">
        <v>200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18</v>
      </c>
      <c r="B105" s="101">
        <v>30</v>
      </c>
      <c r="C105" s="101"/>
      <c r="D105" s="102" t="s">
        <v>352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>
        <v>0</v>
      </c>
      <c r="C108" s="27"/>
      <c r="D108" s="27">
        <v>0</v>
      </c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199.99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((E118*1.2)+E117)-E114</f>
        <v>-3760.012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743.803504997535</v>
      </c>
      <c r="B128" s="113">
        <f>IF(A105="YES",B89,0)</f>
        <v>65</v>
      </c>
      <c r="C128" s="119"/>
      <c r="D128" s="113">
        <f>B91</f>
        <v>808.803504997535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1024.59311617588</v>
      </c>
      <c r="H130" s="126">
        <f>IF(G105="YES",H89*H57,0)</f>
        <v>72</v>
      </c>
      <c r="I130" s="126"/>
      <c r="J130" s="167">
        <f>H91</f>
        <v>1096.59311617588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Terminal pause with 9 down </v>
      </c>
      <c r="B131" s="127">
        <f>B90*B57</f>
        <v>6694.23154497782</v>
      </c>
      <c r="C131" s="109"/>
      <c r="D131" s="127">
        <f>IF(A105="YES",B89*B57,0)</f>
        <v>585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1024.59311617588</v>
      </c>
      <c r="H133" s="133">
        <f>IF(G105="YES",H89*H57,0)</f>
        <v>72</v>
      </c>
      <c r="I133" s="31"/>
      <c r="J133" s="53">
        <f>H91*H57</f>
        <v>1096.59311617588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7279.23154497782</v>
      </c>
      <c r="B134" s="127">
        <f>E114</f>
        <v>4000</v>
      </c>
      <c r="C134" s="109"/>
      <c r="D134" s="135">
        <f>B58</f>
        <v>3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743.803504997535</v>
      </c>
      <c r="B137" s="127">
        <f>IF(A105="YES",B89,0)</f>
        <v>65</v>
      </c>
      <c r="C137" s="109"/>
      <c r="D137" s="127">
        <f>B91</f>
        <v>808.803504997535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187.025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26.9316</v>
      </c>
      <c r="B140" s="143">
        <f>G18*0.000002*1.2*100</f>
        <v>8.9772</v>
      </c>
      <c r="C140" s="109"/>
      <c r="D140" s="143">
        <f>A140+B140</f>
        <v>35.9088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7.2</v>
      </c>
      <c r="H142" s="133">
        <f>G102-100</f>
        <v>139.988</v>
      </c>
      <c r="I142" s="133"/>
      <c r="J142" s="133">
        <f>(H139+J139+G142+H142)-H145</f>
        <v>1414.213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216</v>
      </c>
      <c r="B148" s="127">
        <f>B102</f>
        <v>400</v>
      </c>
      <c r="C148" s="127"/>
      <c r="D148" s="127">
        <f>IF(A105="YES",(A41*B105)*B125,0)*0.001</f>
        <v>18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733.99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1096.59311617588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808.803504997535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743.803504997535</v>
      </c>
      <c r="B171" s="156">
        <f>IF(A105="YES",B89,0)</f>
        <v>65</v>
      </c>
      <c r="C171" s="159"/>
      <c r="D171" s="156">
        <f>B91</f>
        <v>808.803504997535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Terminal pause with 9 down </v>
      </c>
      <c r="B174" s="133">
        <f>B90*B57</f>
        <v>6694.23154497782</v>
      </c>
      <c r="C174" s="154"/>
      <c r="D174" s="133">
        <f>IF(A105="YES",B89*B57,0)</f>
        <v>585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7279.23154497782</v>
      </c>
      <c r="B177" s="133">
        <f>E114</f>
        <v>4000</v>
      </c>
      <c r="C177" s="154"/>
      <c r="D177" s="162">
        <f>B58</f>
        <v>3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743.803504997535</v>
      </c>
      <c r="B180" s="133">
        <f>IF(A105="YES",B89,0)</f>
        <v>65</v>
      </c>
      <c r="C180" s="154"/>
      <c r="D180" s="133">
        <f>B91</f>
        <v>808.803504997535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26.9316</v>
      </c>
      <c r="B183" s="166">
        <f>G18*0.000002*1.2*100</f>
        <v>8.9772</v>
      </c>
      <c r="C183" s="154"/>
      <c r="D183" s="166">
        <f>A183+B183</f>
        <v>35.9088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199.99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216</v>
      </c>
      <c r="B191" s="133">
        <f>B102</f>
        <v>400</v>
      </c>
      <c r="C191" s="133"/>
      <c r="D191" s="133">
        <f>IF(A105="YES",(A38/100*B105)*B125,0)*0.001</f>
        <v>18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E118-100</f>
        <v>99.99</v>
      </c>
      <c r="B194" s="133">
        <f>(A148+B148+D148+A151)*(A143/B64)</f>
        <v>0</v>
      </c>
      <c r="C194" s="133"/>
      <c r="D194" s="133">
        <f>(A148+B148+D148+A151)-B151</f>
        <v>733.99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H29</f>
        <v>12</v>
      </c>
      <c r="C203" s="113" t="s">
        <v>217</v>
      </c>
      <c r="D203" s="173">
        <f>D64</f>
        <v>1512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216</v>
      </c>
      <c r="C205" s="112" t="s">
        <v>219</v>
      </c>
      <c r="D205" s="173">
        <f>B219+E215+B215+B217</f>
        <v>519.99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1815.99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1512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216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1815.99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180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74.9753933037515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A1:F1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  <mergeCell ref="D7:E18"/>
    <mergeCell ref="A16:C18"/>
  </mergeCells>
  <dataValidations count="3">
    <dataValidation type="list" allowBlank="1" showErrorMessage="1" sqref="A32 B99">
      <formula1>'BCH (Formula 3) - BCH'!$Z$101:$Z$109</formula1>
    </dataValidation>
    <dataValidation type="list" allowBlank="1" showErrorMessage="1" sqref="B38 A105 B110">
      <formula1>"NO,YES"</formula1>
    </dataValidation>
    <dataValidation type="list" allowBlank="1" showErrorMessage="1" sqref="H99 N99:O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97" workbookViewId="0">
      <selection activeCell="E119" sqref="E119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36</v>
      </c>
      <c r="I29" s="54"/>
      <c r="J29" s="2"/>
      <c r="K29" s="2">
        <v>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10000</v>
      </c>
      <c r="I30" s="2"/>
      <c r="J30" s="2"/>
      <c r="K30" s="2">
        <v>10000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66666.6666666667</v>
      </c>
      <c r="I31" s="2"/>
      <c r="J31" s="2"/>
      <c r="K31" s="2">
        <v>66666.6666666667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6000</v>
      </c>
      <c r="J32" s="2"/>
      <c r="K32" s="2">
        <v>6000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36</v>
      </c>
      <c r="B33" s="40">
        <v>10000</v>
      </c>
      <c r="C33" s="41"/>
      <c r="D33" s="216">
        <f>H48</f>
        <v>190.81237436313</v>
      </c>
      <c r="E33" s="14"/>
      <c r="F33" s="2"/>
      <c r="G33" s="29" t="s">
        <v>355</v>
      </c>
      <c r="H33" s="217">
        <f>E21-E11</f>
        <v>18000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36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0.07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140.81237436313</v>
      </c>
      <c r="B36" s="133">
        <f>IF(B26="YES",H42,"")</f>
        <v>50</v>
      </c>
      <c r="C36" s="31"/>
      <c r="D36" s="53">
        <f>H31</f>
        <v>66666.6666666667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18000</v>
      </c>
      <c r="I39" s="50">
        <f>(I48*H46)+H44</f>
        <v>57161.3120530432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20000</v>
      </c>
      <c r="B40" s="102">
        <f>IF(B26="YES",H42,"0")</f>
        <v>50</v>
      </c>
      <c r="C40" s="102"/>
      <c r="D40" s="53">
        <f>I32</f>
        <v>6000</v>
      </c>
      <c r="E40" s="14"/>
      <c r="F40" s="2"/>
      <c r="G40" s="2" t="s">
        <v>107</v>
      </c>
      <c r="H40" s="50">
        <f>A40/1.2</f>
        <v>16666.6666666667</v>
      </c>
      <c r="I40" s="50">
        <f>H39-I39</f>
        <v>-39161.3120530432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0.00583333333333333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50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13439.5850433384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30</v>
      </c>
      <c r="B45" s="13"/>
      <c r="C45" s="220">
        <v>30</v>
      </c>
      <c r="D45" s="220"/>
      <c r="E45" s="14"/>
      <c r="F45" s="2"/>
      <c r="G45" s="2" t="s">
        <v>373</v>
      </c>
      <c r="H45" s="50">
        <f>(H39-H44)</f>
        <v>4560.41495666159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32.3864644516332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140.81237436313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190.81237436313</v>
      </c>
      <c r="I48" s="50">
        <f>I49-H42</f>
        <v>1350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10000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36</v>
      </c>
      <c r="B52" s="71">
        <f>H48</f>
        <v>190.81237436313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35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35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35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21600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37404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0.105</v>
      </c>
      <c r="C63" s="13"/>
      <c r="D63" s="13"/>
      <c r="E63" s="14"/>
      <c r="F63" s="2"/>
      <c r="G63" s="6" t="s">
        <v>278</v>
      </c>
      <c r="H63" s="10">
        <f>H62+(H62*0.25*(H29/12-1))</f>
        <v>0.105</v>
      </c>
      <c r="I63" s="13"/>
      <c r="J63" s="13"/>
      <c r="K63" s="14"/>
      <c r="L63" s="2"/>
      <c r="M63" s="6" t="s">
        <v>278</v>
      </c>
      <c r="N63" s="10">
        <f>N62+(N62*0.25*(H29/12-1))</f>
        <v>0.105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C64</f>
        <v>10000</v>
      </c>
      <c r="C64" s="222">
        <v>10000</v>
      </c>
      <c r="D64" s="12">
        <f>B64</f>
        <v>10000</v>
      </c>
      <c r="E64" s="223">
        <f>D64/(B58+B57)</f>
        <v>277.777777777778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0.02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0.02</v>
      </c>
      <c r="I66" s="13"/>
      <c r="J66" s="13"/>
      <c r="K66" s="14"/>
      <c r="L66" s="2"/>
      <c r="M66" s="6" t="s">
        <v>93</v>
      </c>
      <c r="N66" s="10">
        <f>N65+(N65*0.5*(H29/12-1))</f>
        <v>0.02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432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180</v>
      </c>
      <c r="C73" s="13"/>
      <c r="D73" s="228">
        <f>B73+B71</f>
        <v>380</v>
      </c>
      <c r="E73" s="14" t="s">
        <v>229</v>
      </c>
      <c r="F73" s="2"/>
      <c r="G73" s="72" t="s">
        <v>100</v>
      </c>
      <c r="H73" s="80">
        <f>H72*H29</f>
        <v>162</v>
      </c>
      <c r="I73" s="13"/>
      <c r="J73" s="12">
        <f>H73+H71</f>
        <v>322</v>
      </c>
      <c r="K73" s="14"/>
      <c r="L73" s="2"/>
      <c r="M73" s="72" t="s">
        <v>100</v>
      </c>
      <c r="N73" s="80">
        <f>N72*H29</f>
        <v>162</v>
      </c>
      <c r="O73" s="13"/>
      <c r="P73" s="12">
        <f>N73+N71</f>
        <v>322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343.75</v>
      </c>
      <c r="I76" s="13"/>
      <c r="J76" s="12">
        <f>H76</f>
        <v>343.75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0</v>
      </c>
      <c r="C77" s="229"/>
      <c r="D77" s="12">
        <f>B77</f>
        <v>0</v>
      </c>
      <c r="E77" s="223">
        <f>D77/(B58+B57)</f>
        <v>0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229"/>
      <c r="D78" s="12">
        <f>B78</f>
        <v>0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21.6666666666667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10780</v>
      </c>
      <c r="C81" s="229"/>
      <c r="D81" s="230"/>
      <c r="E81" s="223"/>
      <c r="F81" s="2"/>
      <c r="G81" s="91" t="s">
        <v>103</v>
      </c>
      <c r="H81" s="92">
        <f>SUM(J64:J80)</f>
        <v>1065.75</v>
      </c>
      <c r="I81" s="13"/>
      <c r="J81" s="13"/>
      <c r="K81" s="14"/>
      <c r="L81" s="2"/>
      <c r="M81" s="91" t="s">
        <v>103</v>
      </c>
      <c r="N81" s="92">
        <f>SUM(P64:P80)</f>
        <v>722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299.444444444444</v>
      </c>
      <c r="C82" s="229"/>
      <c r="D82" s="13"/>
      <c r="E82" s="223"/>
      <c r="F82" s="2"/>
      <c r="G82" s="6" t="s">
        <v>104</v>
      </c>
      <c r="H82" s="11">
        <f>H81/H29</f>
        <v>29.6041666666667</v>
      </c>
      <c r="I82" s="13"/>
      <c r="J82" s="13"/>
      <c r="K82" s="14"/>
      <c r="L82" s="2"/>
      <c r="M82" s="6" t="s">
        <v>104</v>
      </c>
      <c r="N82" s="11">
        <f>N81/H29</f>
        <v>20.0555555555556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140.81237436313</v>
      </c>
      <c r="C83" s="229"/>
      <c r="D83" s="13"/>
      <c r="E83" s="223">
        <f>B83+E80+E77+E64</f>
        <v>440.256818807575</v>
      </c>
      <c r="F83" s="2"/>
      <c r="G83" s="93" t="s">
        <v>105</v>
      </c>
      <c r="H83" s="94">
        <f>H47</f>
        <v>140.81237436313</v>
      </c>
      <c r="I83" s="13"/>
      <c r="J83" s="13"/>
      <c r="K83" s="14"/>
      <c r="L83" s="2"/>
      <c r="M83" s="93" t="s">
        <v>105</v>
      </c>
      <c r="N83" s="94">
        <f>H47</f>
        <v>140.81237436313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15849.2454770727</v>
      </c>
      <c r="C85" s="229"/>
      <c r="D85" s="229"/>
      <c r="E85" s="223">
        <f>B85/(B58+B57)</f>
        <v>440.256818807575</v>
      </c>
      <c r="F85" s="2"/>
      <c r="G85" s="75" t="s">
        <v>115</v>
      </c>
      <c r="H85" s="95">
        <f>((H83*H29)+H81)*1.2</f>
        <v>7361.99457248723</v>
      </c>
      <c r="I85" s="13"/>
      <c r="J85" s="13"/>
      <c r="K85" s="14"/>
      <c r="L85" s="2"/>
      <c r="M85" s="75" t="s">
        <v>115</v>
      </c>
      <c r="N85" s="95">
        <f>((N83*H29)+N81)</f>
        <v>5791.24547707269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134.261458256767</v>
      </c>
      <c r="C86" s="229" t="s">
        <v>232</v>
      </c>
      <c r="D86" s="13"/>
      <c r="E86" s="223">
        <f>B86/(B58+B57)</f>
        <v>3.72948495157687</v>
      </c>
      <c r="F86" s="2"/>
      <c r="G86" s="6" t="s">
        <v>116</v>
      </c>
      <c r="H86" s="11">
        <f>((((H83*H29)+H81))/(1-H70))*H70</f>
        <v>51.9705143277638</v>
      </c>
      <c r="I86" s="13"/>
      <c r="J86" s="13"/>
      <c r="K86" s="14"/>
      <c r="L86" s="2"/>
      <c r="M86" s="6" t="s">
        <v>116</v>
      </c>
      <c r="N86" s="11">
        <f>(N85/(1-N70))*N70</f>
        <v>49.0585538598332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15983.5069353295</v>
      </c>
      <c r="C87" s="229"/>
      <c r="D87" s="231"/>
      <c r="E87" s="223">
        <f>E86+E85</f>
        <v>443.986303759152</v>
      </c>
      <c r="F87" s="2"/>
      <c r="G87" s="72" t="s">
        <v>117</v>
      </c>
      <c r="H87" s="80">
        <f>IF(H110="YES",((H85+H86)-K114),(H85+H86))</f>
        <v>7413.965086815</v>
      </c>
      <c r="I87" s="13"/>
      <c r="J87" s="13"/>
      <c r="K87" s="14"/>
      <c r="L87" s="2"/>
      <c r="M87" s="72" t="s">
        <v>117</v>
      </c>
      <c r="N87" s="80">
        <f>IF(N110="YES",((N85+N86)-Q114),(N85+N86))</f>
        <v>5840.30403093253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</f>
        <v>65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210.731707317073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175.609756097561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443.986303759152</v>
      </c>
      <c r="C90" s="229"/>
      <c r="D90" s="13"/>
      <c r="E90" s="232"/>
      <c r="F90" s="2"/>
      <c r="G90" s="97" t="s">
        <v>119</v>
      </c>
      <c r="H90" s="98">
        <f>IF(H99=Y98,(H87-J105)/(H58),H87/(H57+H58))</f>
        <v>180.828416751585</v>
      </c>
      <c r="I90" s="13"/>
      <c r="J90" s="13"/>
      <c r="K90" s="14"/>
      <c r="L90" s="2"/>
      <c r="M90" s="97" t="s">
        <v>119</v>
      </c>
      <c r="N90" s="98">
        <f>IF(N99=Y98,(N87-P105)/(N58),N87/(N57+N58))</f>
        <v>142.446439778842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508.986303759152</v>
      </c>
      <c r="C91" s="229"/>
      <c r="D91" s="233"/>
      <c r="E91" s="194"/>
      <c r="F91" s="2"/>
      <c r="G91" s="99" t="s">
        <v>120</v>
      </c>
      <c r="H91" s="100">
        <f>IF(G105="YES",H90+H89,H90)</f>
        <v>391.560124068658</v>
      </c>
      <c r="I91" s="13"/>
      <c r="J91" s="13"/>
      <c r="K91" s="14"/>
      <c r="L91" s="2"/>
      <c r="M91" s="99" t="s">
        <v>120</v>
      </c>
      <c r="N91" s="100">
        <f>IF(M105="YES",N90+N89,N90)</f>
        <v>318.056195876403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199.99</v>
      </c>
      <c r="B102" s="102">
        <v>0</v>
      </c>
      <c r="C102" s="102"/>
      <c r="D102" s="102">
        <v>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0.3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((E118*1.2)+E117)-E114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36</v>
      </c>
      <c r="C125" s="118"/>
      <c r="D125" s="117">
        <f>B160</f>
        <v>10000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180.828416751585</v>
      </c>
      <c r="H127" s="126">
        <f>IF(G105="YES",H89*H57,0)</f>
        <v>1264.39024390244</v>
      </c>
      <c r="I127" s="126"/>
      <c r="J127" s="167">
        <f>H91</f>
        <v>391.560124068658</v>
      </c>
      <c r="K127" s="14"/>
      <c r="L127" s="2"/>
      <c r="M127" s="125">
        <f>N90</f>
        <v>142.446439778842</v>
      </c>
      <c r="N127" s="126">
        <f>IF(M105="YES",N89*N57,0)</f>
        <v>1053.65853658537</v>
      </c>
      <c r="O127" s="126"/>
      <c r="P127" s="126">
        <f>N91</f>
        <v>318.056195876403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443.986303759152</v>
      </c>
      <c r="B128" s="113">
        <f>IF(A105="YES",B89,0)</f>
        <v>65</v>
      </c>
      <c r="C128" s="118"/>
      <c r="D128" s="113">
        <f>B91</f>
        <v>508.986303759152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36</v>
      </c>
      <c r="H130" s="40">
        <f>B151</f>
        <v>0</v>
      </c>
      <c r="I130" s="41"/>
      <c r="J130" s="40">
        <f>B58</f>
        <v>35</v>
      </c>
      <c r="K130" s="14"/>
      <c r="L130" s="2"/>
      <c r="M130" s="39">
        <f>M155</f>
        <v>36</v>
      </c>
      <c r="N130" s="40">
        <f>B151</f>
        <v>0</v>
      </c>
      <c r="O130" s="41"/>
      <c r="P130" s="40">
        <f>B58</f>
        <v>35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443.986303759152</v>
      </c>
      <c r="C131" s="109"/>
      <c r="D131" s="127">
        <f>IF(A105="YES",B89*B57,0)</f>
        <v>65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1084.97050050951</v>
      </c>
      <c r="H133" s="133">
        <f>IF(G105="YES",H89*H57,0)</f>
        <v>1264.39024390244</v>
      </c>
      <c r="I133" s="31"/>
      <c r="J133" s="53">
        <f>H91*H57</f>
        <v>2349.36074441195</v>
      </c>
      <c r="K133" s="14"/>
      <c r="L133" s="2"/>
      <c r="M133" s="132">
        <f>N90*N57</f>
        <v>854.678638673053</v>
      </c>
      <c r="N133" s="133">
        <f>IF(M105="YES",N89*N57,0)</f>
        <v>1053.65853658537</v>
      </c>
      <c r="O133" s="31"/>
      <c r="P133" s="53">
        <f>N91*N57</f>
        <v>1908.33717525842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508.986303759152</v>
      </c>
      <c r="B134" s="127">
        <f>E114</f>
        <v>4000</v>
      </c>
      <c r="C134" s="109"/>
      <c r="D134" s="135">
        <f>B58</f>
        <v>35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443.986303759152</v>
      </c>
      <c r="B137" s="127">
        <f>IF(A105="YES",B89,0)</f>
        <v>65</v>
      </c>
      <c r="C137" s="109"/>
      <c r="D137" s="127">
        <f>B91</f>
        <v>508.986303759152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26.93088</v>
      </c>
      <c r="B140" s="143">
        <f>IF(A105="YES",B61*0.000002,0)*1.2*100</f>
        <v>8.97696</v>
      </c>
      <c r="C140" s="109"/>
      <c r="D140" s="143">
        <f>A140+B140</f>
        <v>35.90784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36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36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432</v>
      </c>
      <c r="B148" s="133">
        <f>B102</f>
        <v>0</v>
      </c>
      <c r="C148" s="127"/>
      <c r="D148" s="127">
        <f>IF(A105="YES",(B40*B105)*B125,0)*0.1</f>
        <v>54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585.99</v>
      </c>
      <c r="E151" s="141"/>
      <c r="F151" s="2"/>
      <c r="G151" s="67"/>
      <c r="H151" s="69">
        <f>B51</f>
        <v>10000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36</v>
      </c>
      <c r="H152" s="71">
        <f>H91</f>
        <v>391.560124068658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10000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36</v>
      </c>
      <c r="N155" s="71">
        <f>N91</f>
        <v>318.056195876403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10000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36</v>
      </c>
      <c r="B161" s="71">
        <f>B91</f>
        <v>508.986303759152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36</v>
      </c>
      <c r="C174" s="158"/>
      <c r="D174" s="117">
        <f>D125</f>
        <v>10000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443.986303759152</v>
      </c>
      <c r="B177" s="156">
        <f>IF(A105="YES",B89,0)</f>
        <v>65</v>
      </c>
      <c r="C177" s="158"/>
      <c r="D177" s="156">
        <f>B91</f>
        <v>508.986303759152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443.986303759152</v>
      </c>
      <c r="C180" s="154"/>
      <c r="D180" s="133">
        <f>IF(A105="YES",B89*B57,0)</f>
        <v>65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508.986303759152</v>
      </c>
      <c r="B183" s="133">
        <f>E114</f>
        <v>4000</v>
      </c>
      <c r="C183" s="154"/>
      <c r="D183" s="162">
        <f>B58</f>
        <v>35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443.986303759152</v>
      </c>
      <c r="B186" s="133">
        <f>IF(A105="YES",B89,0)</f>
        <v>65</v>
      </c>
      <c r="C186" s="154"/>
      <c r="D186" s="133">
        <f>B91</f>
        <v>508.986303759152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26.93088</v>
      </c>
      <c r="B189" s="166">
        <f>B140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432</v>
      </c>
      <c r="B197" s="133">
        <f>B102</f>
        <v>0</v>
      </c>
      <c r="C197" s="133"/>
      <c r="D197" s="133">
        <f>IF(A105="YES",(B40*B105)*B125,0)*0.1</f>
        <v>54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585.99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0.07</v>
      </c>
      <c r="C209" s="113" t="s">
        <v>217</v>
      </c>
      <c r="D209" s="173">
        <f>D64</f>
        <v>10000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432</v>
      </c>
      <c r="C211" s="112" t="s">
        <v>219</v>
      </c>
      <c r="D211" s="173">
        <f>B225+E221+B221+B223</f>
        <v>639.99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10207.99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10000</v>
      </c>
      <c r="C217" s="177" t="s">
        <v>223</v>
      </c>
      <c r="D217" s="109"/>
      <c r="E217" s="178">
        <f>B66</f>
        <v>0.02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432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10207.99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540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380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134.261458256767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181" workbookViewId="0">
      <selection activeCell="A152" sqref="A152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36</v>
      </c>
      <c r="I29" s="54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10000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20000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36</v>
      </c>
      <c r="B33" s="40">
        <v>10000</v>
      </c>
      <c r="C33" s="41"/>
      <c r="D33" s="216">
        <f>H48</f>
        <v>133.408761933113</v>
      </c>
      <c r="E33" s="14"/>
      <c r="F33" s="2"/>
      <c r="G33" s="29" t="s">
        <v>355</v>
      </c>
      <c r="H33" s="217">
        <f>E21-E11</f>
        <v>18000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36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133.408761933113</v>
      </c>
      <c r="B36" s="133">
        <f>IF(B26="YES",H42,"")</f>
        <v>0</v>
      </c>
      <c r="C36" s="31"/>
      <c r="D36" s="53">
        <f>H31</f>
        <v>20000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18000</v>
      </c>
      <c r="I39" s="50">
        <f>(I48*H46)+H44</f>
        <v>59325.6915133649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20000</v>
      </c>
      <c r="B40" s="102">
        <f>IF(B26="YES",H42,"0")</f>
        <v>0</v>
      </c>
      <c r="C40" s="102"/>
      <c r="D40" s="53">
        <f>I32</f>
        <v>0</v>
      </c>
      <c r="E40" s="14"/>
      <c r="F40" s="2"/>
      <c r="G40" s="2" t="s">
        <v>107</v>
      </c>
      <c r="H40" s="50">
        <f>A40/1.2</f>
        <v>16666.6666666667</v>
      </c>
      <c r="I40" s="50">
        <f>H39-I39</f>
        <v>-41325.6915133649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0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13647.2071058677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100</v>
      </c>
      <c r="B45" s="13"/>
      <c r="C45" s="220">
        <v>100</v>
      </c>
      <c r="D45" s="220"/>
      <c r="E45" s="14"/>
      <c r="F45" s="2"/>
      <c r="G45" s="2" t="s">
        <v>373</v>
      </c>
      <c r="H45" s="50">
        <f>(H39-H44)</f>
        <v>4352.7928941323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32.627488862498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133.408761933113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133.408761933113</v>
      </c>
      <c r="I48" s="50">
        <f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10000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36</v>
      </c>
      <c r="B52" s="71">
        <f>H48</f>
        <v>133.408761933113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35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35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35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21600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37404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0.105</v>
      </c>
      <c r="C63" s="13"/>
      <c r="D63" s="13"/>
      <c r="E63" s="14"/>
      <c r="F63" s="2"/>
      <c r="G63" s="6" t="s">
        <v>278</v>
      </c>
      <c r="H63" s="10">
        <f>H62+(H62*0.25*(H29/12-1))</f>
        <v>0.105</v>
      </c>
      <c r="I63" s="13"/>
      <c r="J63" s="13"/>
      <c r="K63" s="14"/>
      <c r="L63" s="2"/>
      <c r="M63" s="6" t="s">
        <v>278</v>
      </c>
      <c r="N63" s="10">
        <f>N62+(N62*0.25*(H29/12-1))</f>
        <v>0.105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C64</f>
        <v>10000</v>
      </c>
      <c r="C64" s="222">
        <v>10000</v>
      </c>
      <c r="D64" s="12">
        <f>B64</f>
        <v>10000</v>
      </c>
      <c r="E64" s="223">
        <f>D64/(B58+B57)</f>
        <v>277.777777777778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0.02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0.02</v>
      </c>
      <c r="I66" s="13"/>
      <c r="J66" s="13"/>
      <c r="K66" s="14"/>
      <c r="L66" s="2"/>
      <c r="M66" s="6" t="s">
        <v>93</v>
      </c>
      <c r="N66" s="10">
        <f>N65+(N65*0.5*(H29/12-1))</f>
        <v>0.02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432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180</v>
      </c>
      <c r="C73" s="13"/>
      <c r="D73" s="228">
        <f>B73+B71</f>
        <v>380</v>
      </c>
      <c r="E73" s="14" t="s">
        <v>229</v>
      </c>
      <c r="F73" s="2"/>
      <c r="G73" s="72" t="s">
        <v>100</v>
      </c>
      <c r="H73" s="80">
        <f>H72*H29</f>
        <v>162</v>
      </c>
      <c r="I73" s="13"/>
      <c r="J73" s="12">
        <f>H73+H71</f>
        <v>322</v>
      </c>
      <c r="K73" s="14"/>
      <c r="L73" s="2"/>
      <c r="M73" s="72" t="s">
        <v>100</v>
      </c>
      <c r="N73" s="80">
        <f>N72*H29</f>
        <v>162</v>
      </c>
      <c r="O73" s="13"/>
      <c r="P73" s="12">
        <f>N73+N71</f>
        <v>322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165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508.75</v>
      </c>
      <c r="C76" s="13"/>
      <c r="D76" s="12">
        <f>B76</f>
        <v>508.75</v>
      </c>
      <c r="E76" s="14"/>
      <c r="F76" s="2"/>
      <c r="G76" s="72" t="s">
        <v>281</v>
      </c>
      <c r="H76" s="80">
        <f>((H74+H75)/12)*(H29-11)</f>
        <v>343.75</v>
      </c>
      <c r="I76" s="13"/>
      <c r="J76" s="12">
        <f>H76</f>
        <v>343.75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0</v>
      </c>
      <c r="C77" s="229"/>
      <c r="D77" s="12">
        <f>B77</f>
        <v>0</v>
      </c>
      <c r="E77" s="223">
        <f>D77/(B58+B57)</f>
        <v>0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229"/>
      <c r="D78" s="12">
        <f>B78</f>
        <v>0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35.7986111111111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11288.75</v>
      </c>
      <c r="C81" s="229"/>
      <c r="D81" s="230"/>
      <c r="E81" s="223"/>
      <c r="F81" s="2"/>
      <c r="G81" s="91" t="s">
        <v>103</v>
      </c>
      <c r="H81" s="92">
        <f>SUM(J64:J80)</f>
        <v>1065.75</v>
      </c>
      <c r="I81" s="13"/>
      <c r="J81" s="13"/>
      <c r="K81" s="14"/>
      <c r="L81" s="2"/>
      <c r="M81" s="91" t="s">
        <v>103</v>
      </c>
      <c r="N81" s="92">
        <f>SUM(P64:P80)</f>
        <v>722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313.576388888889</v>
      </c>
      <c r="C82" s="229"/>
      <c r="D82" s="13"/>
      <c r="E82" s="223"/>
      <c r="F82" s="2"/>
      <c r="G82" s="6" t="s">
        <v>104</v>
      </c>
      <c r="H82" s="11">
        <f>H81/H29</f>
        <v>29.6041666666667</v>
      </c>
      <c r="I82" s="13"/>
      <c r="J82" s="13"/>
      <c r="K82" s="14"/>
      <c r="L82" s="2"/>
      <c r="M82" s="6" t="s">
        <v>104</v>
      </c>
      <c r="N82" s="11">
        <f>N81/H29</f>
        <v>20.0555555555556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133.408761933113</v>
      </c>
      <c r="C83" s="229"/>
      <c r="D83" s="13"/>
      <c r="E83" s="223">
        <f>B83+E80+E77+E64</f>
        <v>446.985150822002</v>
      </c>
      <c r="F83" s="2"/>
      <c r="G83" s="93" t="s">
        <v>105</v>
      </c>
      <c r="H83" s="94">
        <f>H47</f>
        <v>133.408761933113</v>
      </c>
      <c r="I83" s="13"/>
      <c r="J83" s="13"/>
      <c r="K83" s="14"/>
      <c r="L83" s="2"/>
      <c r="M83" s="93" t="s">
        <v>105</v>
      </c>
      <c r="N83" s="94">
        <f>H47</f>
        <v>133.408761933113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((B83*H29)+B81)*1.2</f>
        <v>19309.7585155105</v>
      </c>
      <c r="C85" s="229"/>
      <c r="D85" s="229"/>
      <c r="E85" s="223">
        <f>B85/(B58+B57)</f>
        <v>536.382180986402</v>
      </c>
      <c r="F85" s="2"/>
      <c r="G85" s="75" t="s">
        <v>115</v>
      </c>
      <c r="H85" s="95">
        <f>((H83*H29)+H81)*1.2</f>
        <v>7042.15851551049</v>
      </c>
      <c r="I85" s="13"/>
      <c r="J85" s="13"/>
      <c r="K85" s="14"/>
      <c r="L85" s="2"/>
      <c r="M85" s="75" t="s">
        <v>115</v>
      </c>
      <c r="N85" s="95">
        <f>((N83*H29)+N81)</f>
        <v>5524.71542959207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136.313341678674</v>
      </c>
      <c r="C86" s="229" t="s">
        <v>232</v>
      </c>
      <c r="D86" s="13"/>
      <c r="E86" s="223">
        <f>B86/(B58+B57)</f>
        <v>3.78648171329651</v>
      </c>
      <c r="F86" s="2"/>
      <c r="G86" s="6" t="s">
        <v>116</v>
      </c>
      <c r="H86" s="11">
        <f>((((H83*H29)+H81))/(1-H70))*H70</f>
        <v>49.7126962571333</v>
      </c>
      <c r="I86" s="13"/>
      <c r="J86" s="13"/>
      <c r="K86" s="14"/>
      <c r="L86" s="2"/>
      <c r="M86" s="6" t="s">
        <v>116</v>
      </c>
      <c r="N86" s="11">
        <f>(N85/(1-N70))*N70</f>
        <v>46.8007357892027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19446.0718571892</v>
      </c>
      <c r="C87" s="229"/>
      <c r="D87" s="231"/>
      <c r="E87" s="223">
        <f>E86+E85</f>
        <v>540.168662699699</v>
      </c>
      <c r="F87" s="2"/>
      <c r="G87" s="72" t="s">
        <v>117</v>
      </c>
      <c r="H87" s="80">
        <f>IF(H110="YES",((H85+H86)-K114),(H85+H86))</f>
        <v>7091.87121176762</v>
      </c>
      <c r="I87" s="13"/>
      <c r="J87" s="13"/>
      <c r="K87" s="14"/>
      <c r="L87" s="2"/>
      <c r="M87" s="72" t="s">
        <v>117</v>
      </c>
      <c r="N87" s="80">
        <f>IF(N110="YES",((N85+N86)-Q114),(N85+N86))</f>
        <v>5571.51616538127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IF(B99=Y98,(I32+(I32*B105))/(B58),(I32+(I32*B105))/(B57+B58))*(C45/100)*1.2</f>
        <v>0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0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0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540.168662699699</v>
      </c>
      <c r="C90" s="229"/>
      <c r="D90" s="13"/>
      <c r="E90" s="232"/>
      <c r="F90" s="2"/>
      <c r="G90" s="97" t="s">
        <v>119</v>
      </c>
      <c r="H90" s="98">
        <f>IF(H99=Y98,(H87-J105)/(H58),H87/(H57+H58))</f>
        <v>172.972468579698</v>
      </c>
      <c r="I90" s="13"/>
      <c r="J90" s="13"/>
      <c r="K90" s="14"/>
      <c r="L90" s="2"/>
      <c r="M90" s="97" t="s">
        <v>119</v>
      </c>
      <c r="N90" s="98">
        <f>IF(N99=Y98,(N87-P105)/(N58),N87/(N57+N58))</f>
        <v>135.890638180031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540.168662699699</v>
      </c>
      <c r="C91" s="229"/>
      <c r="D91" s="233"/>
      <c r="E91" s="194"/>
      <c r="F91" s="2"/>
      <c r="G91" s="99" t="s">
        <v>120</v>
      </c>
      <c r="H91" s="100">
        <f>IF(G105="YES",H90+H89,H90)</f>
        <v>172.972468579698</v>
      </c>
      <c r="I91" s="13"/>
      <c r="J91" s="13"/>
      <c r="K91" s="14"/>
      <c r="L91" s="2"/>
      <c r="M91" s="99" t="s">
        <v>120</v>
      </c>
      <c r="N91" s="100">
        <f>IF(M105="YES",N90+N89,N90)</f>
        <v>135.890638180031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239.99</v>
      </c>
      <c r="B102" s="102">
        <v>0</v>
      </c>
      <c r="C102" s="102"/>
      <c r="D102" s="102">
        <v>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0.3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((E118)+E117)-E114</f>
        <v>-2760.01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36</v>
      </c>
      <c r="C125" s="118"/>
      <c r="D125" s="117">
        <f>B160</f>
        <v>10000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172.972468579698</v>
      </c>
      <c r="H127" s="126">
        <f>IF(G105="YES",H89*H57,0)</f>
        <v>0</v>
      </c>
      <c r="I127" s="126"/>
      <c r="J127" s="167">
        <f>H91</f>
        <v>172.972468579698</v>
      </c>
      <c r="K127" s="14"/>
      <c r="L127" s="2"/>
      <c r="M127" s="125">
        <f>N90</f>
        <v>135.890638180031</v>
      </c>
      <c r="N127" s="126">
        <f>IF(M105="YES",N89*N57,0)</f>
        <v>0</v>
      </c>
      <c r="O127" s="126"/>
      <c r="P127" s="126">
        <f>N91</f>
        <v>135.890638180031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540.168662699699</v>
      </c>
      <c r="B128" s="113">
        <f>IF(A105="YES",B89,0)</f>
        <v>0</v>
      </c>
      <c r="C128" s="118"/>
      <c r="D128" s="113">
        <f>B91</f>
        <v>540.168662699699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36</v>
      </c>
      <c r="H130" s="40">
        <f>B151</f>
        <v>0</v>
      </c>
      <c r="I130" s="41"/>
      <c r="J130" s="40">
        <f>B58</f>
        <v>35</v>
      </c>
      <c r="K130" s="14"/>
      <c r="L130" s="2"/>
      <c r="M130" s="39">
        <f>M155</f>
        <v>36</v>
      </c>
      <c r="N130" s="40">
        <f>B151</f>
        <v>0</v>
      </c>
      <c r="O130" s="41"/>
      <c r="P130" s="40">
        <f>B58</f>
        <v>35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540.168662699699</v>
      </c>
      <c r="C131" s="109"/>
      <c r="D131" s="127">
        <f>IF(A105="YES",B89*B57,0)</f>
        <v>0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1037.83481147819</v>
      </c>
      <c r="H133" s="133">
        <f>IF(G105="YES",H89*H57,0)</f>
        <v>0</v>
      </c>
      <c r="I133" s="31"/>
      <c r="J133" s="53">
        <f>H91*H57</f>
        <v>1037.83481147819</v>
      </c>
      <c r="K133" s="14"/>
      <c r="L133" s="2"/>
      <c r="M133" s="132">
        <f>N90*N57</f>
        <v>815.343829080187</v>
      </c>
      <c r="N133" s="133">
        <f>IF(M105="YES",N89*N57,0)</f>
        <v>0</v>
      </c>
      <c r="O133" s="31"/>
      <c r="P133" s="53">
        <f>N91*N57</f>
        <v>815.343829080187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540.168662699699</v>
      </c>
      <c r="B134" s="127">
        <f>E114</f>
        <v>4000</v>
      </c>
      <c r="C134" s="109"/>
      <c r="D134" s="135">
        <f>B58</f>
        <v>35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540.168662699699</v>
      </c>
      <c r="B137" s="127">
        <f>IF(A105="YES",B89,0)</f>
        <v>0</v>
      </c>
      <c r="C137" s="109"/>
      <c r="D137" s="127">
        <f>B91</f>
        <v>540.168662699699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26.93088</v>
      </c>
      <c r="B140" s="143">
        <f>IF(A105="YES",B61*0.000002,0)*1.2*100</f>
        <v>8.97696</v>
      </c>
      <c r="C140" s="109"/>
      <c r="D140" s="143">
        <f>A140+B140</f>
        <v>35.90784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0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0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432</v>
      </c>
      <c r="B148" s="133">
        <f>B102</f>
        <v>0</v>
      </c>
      <c r="C148" s="127"/>
      <c r="D148" s="127">
        <f>IF(A105="YES",(B40*B105)*B125,0)*0.1</f>
        <v>0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(E118/1.2)-100</f>
        <v>99.9916666666667</v>
      </c>
      <c r="B151" s="127">
        <f>(A148+B148+D148+A151)*(A143/B64)</f>
        <v>0</v>
      </c>
      <c r="C151" s="127"/>
      <c r="D151" s="127">
        <f>(A148+B148+D148+A151)-B151</f>
        <v>531.991666666667</v>
      </c>
      <c r="E151" s="141"/>
      <c r="F151" s="2"/>
      <c r="G151" s="67"/>
      <c r="H151" s="69">
        <f>B51</f>
        <v>10000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36</v>
      </c>
      <c r="H152" s="71">
        <f>H91</f>
        <v>172.972468579698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10000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36</v>
      </c>
      <c r="N155" s="71">
        <f>N91</f>
        <v>135.890638180031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10000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36</v>
      </c>
      <c r="B161" s="71">
        <f>B91</f>
        <v>540.168662699699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36</v>
      </c>
      <c r="C174" s="158"/>
      <c r="D174" s="117">
        <f>D125</f>
        <v>10000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540.168662699699</v>
      </c>
      <c r="B177" s="156">
        <f>IF(A105="YES",B89,0)</f>
        <v>0</v>
      </c>
      <c r="C177" s="158"/>
      <c r="D177" s="156">
        <f>B91</f>
        <v>540.168662699699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540.168662699699</v>
      </c>
      <c r="C180" s="154"/>
      <c r="D180" s="133">
        <f>IF(A105="YES",B89*B57,0)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540.168662699699</v>
      </c>
      <c r="B183" s="133">
        <f>E114</f>
        <v>4000</v>
      </c>
      <c r="C183" s="154"/>
      <c r="D183" s="162">
        <f>B58</f>
        <v>35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540.168662699699</v>
      </c>
      <c r="B186" s="133">
        <f>IF(A105="YES",B89,0)</f>
        <v>0</v>
      </c>
      <c r="C186" s="154"/>
      <c r="D186" s="133">
        <f>B91</f>
        <v>540.168662699699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26.93088</v>
      </c>
      <c r="B189" s="166">
        <f>B140</f>
        <v>8.97696</v>
      </c>
      <c r="C189" s="154"/>
      <c r="D189" s="166">
        <f>A189+B189</f>
        <v>35.90784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239.99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432</v>
      </c>
      <c r="B197" s="133">
        <f>B102</f>
        <v>0</v>
      </c>
      <c r="C197" s="133"/>
      <c r="D197" s="133">
        <f>IF(A105="YES",(B40*B105)*B125,0)*0.1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E118/1.2-100</f>
        <v>99.9916666666667</v>
      </c>
      <c r="B200" s="133">
        <f>(A148+B148+D148+A151)*(A143/B64)</f>
        <v>0</v>
      </c>
      <c r="C200" s="133"/>
      <c r="D200" s="133">
        <f>(A148+B148+D148+A151)-B151</f>
        <v>531.991666666667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10000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432</v>
      </c>
      <c r="C211" s="112" t="s">
        <v>219</v>
      </c>
      <c r="D211" s="173">
        <f>B225+E221+B221+B223</f>
        <v>99.9916666666667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9667.99166666667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10000</v>
      </c>
      <c r="C217" s="177" t="s">
        <v>223</v>
      </c>
      <c r="D217" s="109"/>
      <c r="E217" s="178">
        <f>B66</f>
        <v>0.02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432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9667.99166666667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380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136.313341678674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3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62"/>
      <c r="B2" s="463" t="s">
        <v>145</v>
      </c>
      <c r="C2" s="463" t="s">
        <v>146</v>
      </c>
      <c r="D2" s="463" t="s">
        <v>147</v>
      </c>
      <c r="E2" s="5" t="s">
        <v>148</v>
      </c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108" t="s">
        <v>151</v>
      </c>
      <c r="B3" s="464">
        <v>16745</v>
      </c>
      <c r="C3" s="464">
        <v>0</v>
      </c>
      <c r="D3" s="464">
        <v>0</v>
      </c>
      <c r="E3" s="247">
        <v>0</v>
      </c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108" t="s">
        <v>152</v>
      </c>
      <c r="B4" s="465">
        <v>0</v>
      </c>
      <c r="C4" s="465">
        <v>0</v>
      </c>
      <c r="D4" s="465">
        <v>0</v>
      </c>
      <c r="E4" s="178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108" t="s">
        <v>153</v>
      </c>
      <c r="B5" s="464">
        <v>0</v>
      </c>
      <c r="C5" s="464">
        <v>0</v>
      </c>
      <c r="D5" s="464">
        <v>0</v>
      </c>
      <c r="E5" s="180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108" t="s">
        <v>154</v>
      </c>
      <c r="B6" s="368">
        <f>(B3*B4/100)+B5</f>
        <v>0</v>
      </c>
      <c r="C6" s="368">
        <f>(C3*C4/100)+C5</f>
        <v>0</v>
      </c>
      <c r="D6" s="368">
        <f>(D3*D4/100)+D5</f>
        <v>0</v>
      </c>
      <c r="E6" s="180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108" t="s">
        <v>155</v>
      </c>
      <c r="B7" s="368">
        <f>B3-B6</f>
        <v>16745</v>
      </c>
      <c r="C7" s="368">
        <f>C3-C6</f>
        <v>0</v>
      </c>
      <c r="D7" s="368">
        <f>D3-D6</f>
        <v>0</v>
      </c>
      <c r="E7" s="180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108"/>
      <c r="B8" s="109"/>
      <c r="C8" s="109"/>
      <c r="D8" s="109"/>
      <c r="E8" s="110"/>
      <c r="F8" s="237"/>
      <c r="G8" s="237"/>
      <c r="H8" s="237"/>
      <c r="I8" s="81" t="s">
        <v>3</v>
      </c>
      <c r="J8" s="82">
        <f>E13+E14</f>
        <v>340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15" t="s">
        <v>163</v>
      </c>
      <c r="B9" s="15"/>
      <c r="C9" s="15"/>
      <c r="D9" s="15"/>
      <c r="E9" s="466">
        <f>B7+C7+D7+E3</f>
        <v>16745</v>
      </c>
      <c r="F9" s="237"/>
      <c r="G9" s="237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17" t="s">
        <v>164</v>
      </c>
      <c r="B10" s="17"/>
      <c r="C10" s="17"/>
      <c r="D10" s="17"/>
      <c r="E10" s="247">
        <v>695</v>
      </c>
      <c r="F10" s="237"/>
      <c r="G10" s="237"/>
      <c r="H10" s="237"/>
      <c r="I10" s="83" t="s">
        <v>1</v>
      </c>
      <c r="J10" s="82">
        <f>E15-E11-J8</f>
        <v>17440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17" t="s">
        <v>165</v>
      </c>
      <c r="B11" s="17"/>
      <c r="C11" s="17"/>
      <c r="D11" s="17"/>
      <c r="E11" s="180">
        <f>(E9+E10)*20%</f>
        <v>3488</v>
      </c>
      <c r="F11" s="237"/>
      <c r="G11" s="237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17" t="s">
        <v>166</v>
      </c>
      <c r="B12" s="17"/>
      <c r="C12" s="17"/>
      <c r="D12" s="17"/>
      <c r="E12" s="247">
        <v>0</v>
      </c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17" t="s">
        <v>167</v>
      </c>
      <c r="B13" s="17"/>
      <c r="C13" s="17"/>
      <c r="D13" s="17"/>
      <c r="E13" s="247">
        <v>275</v>
      </c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17" t="s">
        <v>168</v>
      </c>
      <c r="B14" s="17"/>
      <c r="C14" s="17"/>
      <c r="D14" s="17"/>
      <c r="E14" s="247">
        <v>65</v>
      </c>
      <c r="F14" s="237"/>
      <c r="G14" s="237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17" t="s">
        <v>169</v>
      </c>
      <c r="B15" s="17"/>
      <c r="C15" s="17"/>
      <c r="D15" s="17"/>
      <c r="E15" s="255">
        <f>(E9+E10+E13+E14+E11)-E12</f>
        <v>21268</v>
      </c>
      <c r="F15" s="237"/>
      <c r="G15" s="299">
        <f>E15</f>
        <v>21268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17" t="s">
        <v>170</v>
      </c>
      <c r="B16" s="17"/>
      <c r="C16" s="17"/>
      <c r="D16" s="17"/>
      <c r="E16" s="247">
        <v>0</v>
      </c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20" t="s">
        <v>171</v>
      </c>
      <c r="B17" s="20"/>
      <c r="C17" s="20"/>
      <c r="D17" s="20"/>
      <c r="E17" s="110"/>
      <c r="F17" s="237"/>
      <c r="G17" s="237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21" t="s">
        <v>13</v>
      </c>
      <c r="B18" s="22" t="s">
        <v>172</v>
      </c>
      <c r="C18" s="22"/>
      <c r="D18" s="22"/>
      <c r="E18" s="258">
        <v>0</v>
      </c>
      <c r="F18" s="237"/>
      <c r="G18" s="299">
        <f>(B3+C3+D3+E3+E10)*1.2</f>
        <v>20928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21" t="s">
        <v>15</v>
      </c>
      <c r="B19" s="22" t="s">
        <v>172</v>
      </c>
      <c r="C19" s="22"/>
      <c r="D19" s="22"/>
      <c r="E19" s="258">
        <v>0</v>
      </c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58">
        <v>0</v>
      </c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24" t="s">
        <v>173</v>
      </c>
      <c r="B21" s="24"/>
      <c r="C21" s="24"/>
      <c r="D21" s="24"/>
      <c r="E21" s="261">
        <f>E15-((E18*1.2)+(E19*1.2)+(E20*1.2)+(E16*1.2))</f>
        <v>21268</v>
      </c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/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600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42</v>
      </c>
      <c r="B34" s="43" t="s">
        <v>48</v>
      </c>
      <c r="C34" s="41" t="s">
        <v>43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E15</f>
        <v>21268</v>
      </c>
      <c r="B35" s="33" t="s">
        <v>45</v>
      </c>
      <c r="C35" s="33"/>
      <c r="D35" s="59">
        <f>A35-B35</f>
        <v>20268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45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57</v>
      </c>
      <c r="G40" s="240" t="s">
        <v>58</v>
      </c>
      <c r="H40" s="240">
        <f>E11</f>
        <v>3488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 t="str">
        <f>IF(D41="Yes",A44,0)</f>
        <v>50</v>
      </c>
      <c r="I41" s="240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335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 t="s">
        <v>70</v>
      </c>
      <c r="B44" s="48" t="s">
        <v>336</v>
      </c>
      <c r="C44" s="48"/>
      <c r="D44" s="48" t="s">
        <v>336</v>
      </c>
      <c r="E44" s="48"/>
      <c r="F44" s="237"/>
      <c r="G44" s="240" t="s">
        <v>65</v>
      </c>
      <c r="H44" s="240">
        <f>((H40-(((H42/(1.2))*0.2)))/(H43))</f>
        <v>207.333333333333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342.666666666667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345.333333333333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67" t="s">
        <v>83</v>
      </c>
      <c r="B50" s="68" t="s">
        <v>84</v>
      </c>
      <c r="C50" s="68"/>
      <c r="D50" s="41"/>
      <c r="E50" s="57"/>
      <c r="F50" s="237"/>
      <c r="G50" s="240" t="s">
        <v>339</v>
      </c>
      <c r="H50" s="240">
        <f>H49-H41</f>
        <v>295.333333333333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67"/>
      <c r="B51" s="69">
        <f>H30</f>
        <v>5000</v>
      </c>
      <c r="C51" s="69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>
        <f>H29</f>
        <v>12</v>
      </c>
      <c r="B52" s="71">
        <f>H49</f>
        <v>345.333333333333</v>
      </c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345.333333333333</v>
      </c>
      <c r="C58" s="71"/>
      <c r="D58" s="154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1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11</v>
      </c>
      <c r="C64" s="109"/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108"/>
      <c r="B66" s="109"/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108" t="s">
        <v>14</v>
      </c>
      <c r="B67" s="368">
        <f>G18</f>
        <v>20928</v>
      </c>
      <c r="C67" s="109"/>
      <c r="D67" s="109"/>
      <c r="E67" s="110"/>
      <c r="F67" s="237"/>
      <c r="G67" s="108" t="s">
        <v>14</v>
      </c>
      <c r="H67" s="368">
        <f>G18</f>
        <v>20928</v>
      </c>
      <c r="I67" s="109"/>
      <c r="J67" s="109"/>
      <c r="K67" s="110"/>
      <c r="L67" s="237"/>
      <c r="M67" s="108" t="s">
        <v>14</v>
      </c>
      <c r="N67" s="368">
        <f>G18</f>
        <v>20928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477" t="s">
        <v>277</v>
      </c>
      <c r="B68" s="478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108" t="s">
        <v>278</v>
      </c>
      <c r="B69" s="178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169" t="s">
        <v>91</v>
      </c>
      <c r="B70" s="281">
        <f>B67*B69</f>
        <v>1464.96</v>
      </c>
      <c r="C70" s="109">
        <v>10000</v>
      </c>
      <c r="D70" s="368">
        <f>B70-A149</f>
        <v>1464.96</v>
      </c>
      <c r="E70" s="110">
        <f>D70/12</f>
        <v>122.08</v>
      </c>
      <c r="F70" s="237"/>
      <c r="G70" s="169" t="s">
        <v>91</v>
      </c>
      <c r="H70" s="281">
        <f>H67*H69</f>
        <v>1464.96</v>
      </c>
      <c r="I70" s="109"/>
      <c r="J70" s="368">
        <f>H70-G151</f>
        <v>1464.96</v>
      </c>
      <c r="K70" s="110"/>
      <c r="L70" s="237"/>
      <c r="M70" s="169" t="s">
        <v>91</v>
      </c>
      <c r="N70" s="281">
        <f>N67*N69</f>
        <v>1464.96</v>
      </c>
      <c r="O70" s="109"/>
      <c r="P70" s="368">
        <f>N70-M151</f>
        <v>1464.96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477" t="s">
        <v>92</v>
      </c>
      <c r="B71" s="478">
        <v>0.01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108" t="s">
        <v>93</v>
      </c>
      <c r="B72" s="178">
        <f>B71+(B71*0.5*(H29/12-1))</f>
        <v>0.01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169" t="s">
        <v>94</v>
      </c>
      <c r="B73" s="281">
        <f>B67*B72</f>
        <v>209.28</v>
      </c>
      <c r="C73" s="109"/>
      <c r="D73" s="368"/>
      <c r="E73" s="110"/>
      <c r="F73" s="237"/>
      <c r="G73" s="169" t="s">
        <v>94</v>
      </c>
      <c r="H73" s="281">
        <f>H67*H72</f>
        <v>104.64</v>
      </c>
      <c r="I73" s="109"/>
      <c r="J73" s="368"/>
      <c r="K73" s="110"/>
      <c r="L73" s="237"/>
      <c r="M73" s="169" t="s">
        <v>94</v>
      </c>
      <c r="N73" s="281">
        <f>N67*N72</f>
        <v>104.64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200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60</v>
      </c>
      <c r="C79" s="109"/>
      <c r="D79" s="368">
        <f>B79+B77</f>
        <v>260</v>
      </c>
      <c r="E79" s="481">
        <f>D79+D85+D86</f>
        <v>660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0</v>
      </c>
      <c r="C80" s="109"/>
      <c r="D80" s="109"/>
      <c r="E80" s="481">
        <f>E79+D82</f>
        <v>660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55</v>
      </c>
      <c r="F81" s="237"/>
      <c r="G81" s="462" t="s">
        <v>280</v>
      </c>
      <c r="H81" s="293">
        <f>IF(G18&gt;40000,325,0)</f>
        <v>0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((B80+B81)/12)*(H29-11)</f>
        <v>0</v>
      </c>
      <c r="C82" s="109"/>
      <c r="D82" s="368">
        <f>IF(A50="YES",0,B82)</f>
        <v>0</v>
      </c>
      <c r="E82" s="110"/>
      <c r="F82" s="237"/>
      <c r="G82" s="169" t="s">
        <v>281</v>
      </c>
      <c r="H82" s="281">
        <f>((H80+H81)/12)*(H29-11)</f>
        <v>12.5</v>
      </c>
      <c r="I82" s="109"/>
      <c r="J82" s="368">
        <f>IF(A50="YES",0,H82)</f>
        <v>12.5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200</v>
      </c>
      <c r="C85" s="109"/>
      <c r="D85" s="368">
        <f>B85</f>
        <v>200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200</v>
      </c>
      <c r="C86" s="109"/>
      <c r="D86" s="368">
        <f>B86</f>
        <v>200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2791.62666666667</v>
      </c>
      <c r="C87" s="109"/>
      <c r="D87" s="109"/>
      <c r="E87" s="110"/>
      <c r="F87" s="237"/>
      <c r="G87" s="483" t="s">
        <v>103</v>
      </c>
      <c r="H87" s="484">
        <f>SUM(J70:J86)</f>
        <v>4591.46</v>
      </c>
      <c r="I87" s="109"/>
      <c r="J87" s="109"/>
      <c r="K87" s="110"/>
      <c r="L87" s="237"/>
      <c r="M87" s="483" t="s">
        <v>103</v>
      </c>
      <c r="N87" s="484">
        <f>SUM(P70:P86)</f>
        <v>4578.96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232.635555555556</v>
      </c>
      <c r="C88" s="109"/>
      <c r="D88" s="109"/>
      <c r="E88" s="110"/>
      <c r="F88" s="237"/>
      <c r="G88" s="108" t="s">
        <v>104</v>
      </c>
      <c r="H88" s="180">
        <f>H87/H29</f>
        <v>382.621666666667</v>
      </c>
      <c r="I88" s="109"/>
      <c r="J88" s="109"/>
      <c r="K88" s="110"/>
      <c r="L88" s="237"/>
      <c r="M88" s="108" t="s">
        <v>104</v>
      </c>
      <c r="N88" s="180">
        <f>N87/H29</f>
        <v>381.58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295.333333333333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((B89*H29)+B87)*1.2</f>
        <v>7602.752</v>
      </c>
      <c r="C91" s="109"/>
      <c r="D91" s="109"/>
      <c r="E91" s="110"/>
      <c r="F91" s="237"/>
      <c r="G91" s="474" t="s">
        <v>115</v>
      </c>
      <c r="H91" s="266">
        <f>((H89*H29)+H87)*1.2</f>
        <v>5509.752</v>
      </c>
      <c r="I91" s="109"/>
      <c r="J91" s="109"/>
      <c r="K91" s="110"/>
      <c r="L91" s="237"/>
      <c r="M91" s="474" t="s">
        <v>115</v>
      </c>
      <c r="N91" s="266">
        <f>((N89*H29)+N87)</f>
        <v>4578.96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53.6700927793465</v>
      </c>
      <c r="C92" s="109"/>
      <c r="D92" s="109"/>
      <c r="E92" s="486"/>
      <c r="F92" s="237"/>
      <c r="G92" s="108" t="s">
        <v>116</v>
      </c>
      <c r="H92" s="180">
        <f>(((H89*H29)+H87)/(1-H76))*H76</f>
        <v>38.8949818475192</v>
      </c>
      <c r="I92" s="109"/>
      <c r="J92" s="109"/>
      <c r="K92" s="110"/>
      <c r="L92" s="237"/>
      <c r="M92" s="108" t="s">
        <v>116</v>
      </c>
      <c r="N92" s="180">
        <f>(N91/(1-N76))*N76</f>
        <v>38.789092375958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7656.42209277935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7548.64698184752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6617.74909237596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IF(B105=Z104,(((H41*A32)+(H41*A32)*(B111/100))/(B64)),(((H41*A32)+(H41*A32)*(B111/100))/(B63+B64)))*1.2</f>
        <v>78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638.035174398279</v>
      </c>
      <c r="C96" s="109"/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716.035174398279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130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18</v>
      </c>
      <c r="B111" s="101">
        <v>30</v>
      </c>
      <c r="C111" s="101"/>
      <c r="D111" s="102">
        <v>200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239.99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(E124+E123)-E120</f>
        <v>-2760.01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11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11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638.035174398279</v>
      </c>
      <c r="B134" s="113">
        <f>IF(A111="YES",B95,0)</f>
        <v>78</v>
      </c>
      <c r="C134" s="118"/>
      <c r="D134" s="113">
        <f>B97</f>
        <v>716.035174398279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Monthly in advance </v>
      </c>
      <c r="B137" s="127">
        <f>B96*B63</f>
        <v>638.035174398279</v>
      </c>
      <c r="C137" s="109"/>
      <c r="D137" s="127">
        <f>IF(A111="YES",B95*B63,0)</f>
        <v>78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716.035174398279</v>
      </c>
      <c r="B140" s="127">
        <f>E120</f>
        <v>4000</v>
      </c>
      <c r="C140" s="109"/>
      <c r="D140" s="135">
        <f>B64</f>
        <v>11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0.127608</v>
      </c>
      <c r="H142" s="127">
        <f>IF(G111="YES",E15*0.000002,0)</f>
        <v>0.042536</v>
      </c>
      <c r="I142" s="127"/>
      <c r="J142" s="127">
        <f>G142+H142</f>
        <v>0.170144</v>
      </c>
      <c r="K142" s="141"/>
      <c r="L142" s="237"/>
      <c r="M142" s="134">
        <f>E15*0.000006</f>
        <v>0.127608</v>
      </c>
      <c r="N142" s="127">
        <f>IF(M111="YES",E15*0.000002,0)</f>
        <v>0.042536</v>
      </c>
      <c r="O142" s="127"/>
      <c r="P142" s="127">
        <f>M142+N142</f>
        <v>0.170144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638.035174398279</v>
      </c>
      <c r="B143" s="127">
        <f>IF(A111="YES",B95,0)</f>
        <v>78</v>
      </c>
      <c r="C143" s="109"/>
      <c r="D143" s="127">
        <f>B97</f>
        <v>716.035174398279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87.2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87.2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2747.188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2707.19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IF(A111="YES",(A44/100*B111)*B131,0)*0.1</f>
        <v>18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3488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727.271666666667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716.035174398279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638.035174398279</v>
      </c>
      <c r="B177" s="156">
        <f>IF(A111="YES",B95,0)</f>
        <v>78</v>
      </c>
      <c r="C177" s="158"/>
      <c r="D177" s="156">
        <f>A177+B177</f>
        <v>716.035174398279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Monthly in advance </v>
      </c>
      <c r="B180" s="133">
        <f>B96*B63</f>
        <v>638.035174398279</v>
      </c>
      <c r="C180" s="154"/>
      <c r="D180" s="133">
        <f>IF(A111="YES",B95*B63,0)</f>
        <v>78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716.035174398279</v>
      </c>
      <c r="B183" s="133">
        <f>E120</f>
        <v>4000</v>
      </c>
      <c r="C183" s="154"/>
      <c r="D183" s="162">
        <f>B64</f>
        <v>11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638.035174398279</v>
      </c>
      <c r="B186" s="133">
        <f>IF(A111="YES",B95,0)</f>
        <v>78</v>
      </c>
      <c r="C186" s="154"/>
      <c r="D186" s="133">
        <f>B97</f>
        <v>716.035174398279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IF(A111="YES",(A44/100*B111)*B131,0)*0.1</f>
        <v>18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727.271666666667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G201" s="237"/>
      <c r="H201" s="237"/>
      <c r="I201" s="237"/>
      <c r="J201" s="237"/>
      <c r="K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G202" s="237"/>
      <c r="H202" s="237"/>
      <c r="I202" s="237"/>
      <c r="J202" s="237"/>
      <c r="K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G203" s="237"/>
      <c r="H203" s="237"/>
      <c r="I203" s="237"/>
      <c r="J203" s="237"/>
      <c r="K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G204" s="237"/>
      <c r="H204" s="237"/>
      <c r="I204" s="237"/>
      <c r="J204" s="237"/>
      <c r="K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G206" s="237"/>
      <c r="H206" s="237"/>
      <c r="I206" s="237"/>
      <c r="J206" s="237"/>
      <c r="K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G207" s="237"/>
      <c r="H207" s="237"/>
      <c r="I207" s="237"/>
      <c r="J207" s="237"/>
      <c r="K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G208" s="237"/>
      <c r="H208" s="237"/>
      <c r="I208" s="237"/>
      <c r="J208" s="237"/>
      <c r="K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1464.96</v>
      </c>
      <c r="E209" s="114"/>
      <c r="F209" s="237"/>
      <c r="G209" s="237"/>
      <c r="H209" s="237"/>
      <c r="I209" s="237"/>
      <c r="J209" s="237"/>
      <c r="K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G210" s="237"/>
      <c r="H210" s="237"/>
      <c r="I210" s="237"/>
      <c r="J210" s="237"/>
      <c r="K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519.991666666667</v>
      </c>
      <c r="E211" s="114"/>
      <c r="F211" s="237"/>
      <c r="G211" s="237"/>
      <c r="H211" s="237"/>
      <c r="I211" s="237"/>
      <c r="J211" s="237"/>
      <c r="K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G212" s="237"/>
      <c r="H212" s="237"/>
      <c r="I212" s="237"/>
      <c r="J212" s="237"/>
      <c r="K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1775.67166666667</v>
      </c>
      <c r="C213" s="118"/>
      <c r="D213" s="113"/>
      <c r="E213" s="114"/>
      <c r="F213" s="237"/>
      <c r="G213" s="237"/>
      <c r="H213" s="237"/>
      <c r="I213" s="237"/>
      <c r="J213" s="237"/>
      <c r="K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G214" s="237"/>
      <c r="H214" s="237"/>
      <c r="I214" s="237"/>
      <c r="J214" s="237"/>
      <c r="K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G216" s="237"/>
      <c r="H216" s="237"/>
      <c r="I216" s="237"/>
      <c r="J216" s="237"/>
      <c r="K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37"/>
      <c r="G217" s="237"/>
      <c r="H217" s="237"/>
      <c r="I217" s="237"/>
      <c r="J217" s="237"/>
      <c r="K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G218" s="237"/>
      <c r="H218" s="237"/>
      <c r="I218" s="237"/>
      <c r="J218" s="237"/>
      <c r="K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37"/>
      <c r="G219" s="237"/>
      <c r="H219" s="237"/>
      <c r="I219" s="237"/>
      <c r="J219" s="237"/>
      <c r="K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G220" s="237"/>
      <c r="H220" s="237"/>
      <c r="I220" s="237"/>
      <c r="J220" s="237"/>
      <c r="K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37"/>
      <c r="G221" s="237"/>
      <c r="H221" s="237"/>
      <c r="I221" s="237"/>
      <c r="J221" s="237"/>
      <c r="K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G222" s="237"/>
      <c r="H222" s="237"/>
      <c r="I222" s="237"/>
      <c r="J222" s="237"/>
      <c r="K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1775.67166666667</v>
      </c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G224" s="237"/>
      <c r="H224" s="237"/>
      <c r="I224" s="237"/>
      <c r="J224" s="237"/>
      <c r="K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180</v>
      </c>
      <c r="C225" s="127"/>
      <c r="D225" s="140"/>
      <c r="E225" s="106"/>
      <c r="F225" s="237"/>
      <c r="G225" s="237"/>
      <c r="H225" s="237"/>
      <c r="I225" s="237"/>
      <c r="J225" s="237"/>
      <c r="K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G226" s="237"/>
      <c r="H226" s="237"/>
      <c r="I226" s="237"/>
      <c r="J226" s="237"/>
      <c r="K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G227" s="237"/>
      <c r="H227" s="237"/>
      <c r="I227" s="237"/>
      <c r="J227" s="237"/>
      <c r="K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G228" s="237"/>
      <c r="H228" s="237"/>
      <c r="I228" s="237"/>
      <c r="J228" s="237"/>
      <c r="K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37"/>
      <c r="G229" s="237"/>
      <c r="H229" s="237"/>
      <c r="I229" s="237"/>
      <c r="J229" s="237"/>
      <c r="K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37"/>
      <c r="G230" s="237"/>
      <c r="H230" s="237"/>
      <c r="I230" s="237"/>
      <c r="J230" s="237"/>
      <c r="K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G231" s="237"/>
      <c r="H231" s="237"/>
      <c r="I231" s="237"/>
      <c r="J231" s="237"/>
      <c r="K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53.6700927793465</v>
      </c>
      <c r="F232" s="237"/>
      <c r="G232" s="237"/>
      <c r="H232" s="237"/>
      <c r="I232" s="237"/>
      <c r="J232" s="237"/>
      <c r="K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37"/>
      <c r="G233" s="237"/>
      <c r="H233" s="237"/>
      <c r="I233" s="237"/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37"/>
      <c r="G235" s="237"/>
      <c r="H235" s="237"/>
      <c r="I235" s="237"/>
      <c r="J235" s="237"/>
      <c r="K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G236" s="237"/>
      <c r="H236" s="237"/>
      <c r="I236" s="237"/>
      <c r="J236" s="237"/>
      <c r="K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G237" s="237"/>
      <c r="H237" s="237"/>
      <c r="I237" s="237"/>
      <c r="J237" s="237"/>
      <c r="K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G238" s="237"/>
      <c r="H238" s="237"/>
      <c r="I238" s="237"/>
      <c r="J238" s="237"/>
      <c r="K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G239" s="237"/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G240" s="237"/>
      <c r="H240" s="237"/>
      <c r="I240" s="237"/>
      <c r="J240" s="237"/>
      <c r="K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G241" s="237"/>
      <c r="H241" s="237"/>
      <c r="I241" s="237"/>
      <c r="J241" s="237"/>
      <c r="K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G242" s="237"/>
      <c r="H242" s="237"/>
      <c r="I242" s="237"/>
      <c r="J242" s="237"/>
      <c r="K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237"/>
      <c r="B243" s="237"/>
      <c r="C243" s="237"/>
      <c r="D243" s="237"/>
      <c r="E243" s="237"/>
      <c r="F243" s="237"/>
      <c r="G243" s="237"/>
      <c r="H243" s="237"/>
      <c r="I243" s="237"/>
      <c r="J243" s="237"/>
      <c r="K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237"/>
      <c r="B244" s="237"/>
      <c r="C244" s="237"/>
      <c r="D244" s="237"/>
      <c r="E244" s="237"/>
      <c r="F244" s="237"/>
      <c r="G244" s="237"/>
      <c r="H244" s="237"/>
      <c r="I244" s="237"/>
      <c r="J244" s="237"/>
      <c r="K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237"/>
      <c r="B245" s="237"/>
      <c r="C245" s="237"/>
      <c r="D245" s="237"/>
      <c r="E245" s="237"/>
      <c r="F245" s="237"/>
      <c r="G245" s="237"/>
      <c r="H245" s="237"/>
      <c r="I245" s="237"/>
      <c r="J245" s="237"/>
      <c r="K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237"/>
      <c r="B246" s="237"/>
      <c r="C246" s="237"/>
      <c r="D246" s="237"/>
      <c r="E246" s="237"/>
      <c r="F246" s="237"/>
      <c r="G246" s="237"/>
      <c r="H246" s="237"/>
      <c r="I246" s="237"/>
      <c r="J246" s="237"/>
      <c r="K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237"/>
      <c r="B247" s="237"/>
      <c r="C247" s="237"/>
      <c r="D247" s="237"/>
      <c r="E247" s="237"/>
      <c r="F247" s="237"/>
      <c r="G247" s="237"/>
      <c r="H247" s="237"/>
      <c r="I247" s="237"/>
      <c r="J247" s="237"/>
      <c r="K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237"/>
      <c r="B248" s="237"/>
      <c r="C248" s="237"/>
      <c r="D248" s="237"/>
      <c r="E248" s="237"/>
      <c r="F248" s="237"/>
      <c r="G248" s="237"/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0:C50"/>
    <mergeCell ref="B51:C51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0:A51"/>
    <mergeCell ref="A56:A57"/>
    <mergeCell ref="A165:A166"/>
    <mergeCell ref="G156:G157"/>
    <mergeCell ref="M159:M160"/>
  </mergeCells>
  <dataValidations count="4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3" workbookViewId="0">
      <selection activeCell="A36" sqref="A3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</row>
    <row r="2" ht="18.75" customHeight="1" spans="1:26">
      <c r="A2" s="462"/>
      <c r="B2" s="463" t="s">
        <v>145</v>
      </c>
      <c r="C2" s="463" t="s">
        <v>146</v>
      </c>
      <c r="D2" s="463" t="s">
        <v>147</v>
      </c>
      <c r="E2" s="5" t="s">
        <v>148</v>
      </c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</row>
    <row r="3" ht="18.75" customHeight="1" spans="1:26">
      <c r="A3" s="108" t="s">
        <v>151</v>
      </c>
      <c r="B3" s="464">
        <v>16745</v>
      </c>
      <c r="C3" s="464">
        <v>0</v>
      </c>
      <c r="D3" s="464">
        <v>0</v>
      </c>
      <c r="E3" s="247">
        <v>0</v>
      </c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</row>
    <row r="4" ht="18.75" customHeight="1" spans="1:26">
      <c r="A4" s="108" t="s">
        <v>152</v>
      </c>
      <c r="B4" s="465">
        <v>0</v>
      </c>
      <c r="C4" s="465">
        <v>0</v>
      </c>
      <c r="D4" s="465">
        <v>0</v>
      </c>
      <c r="E4" s="178"/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</row>
    <row r="5" ht="18.75" customHeight="1" spans="1:26">
      <c r="A5" s="108" t="s">
        <v>153</v>
      </c>
      <c r="B5" s="464">
        <v>0</v>
      </c>
      <c r="C5" s="464">
        <v>0</v>
      </c>
      <c r="D5" s="464">
        <v>0</v>
      </c>
      <c r="E5" s="180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</row>
    <row r="6" ht="18.75" customHeight="1" spans="1:26">
      <c r="A6" s="108" t="s">
        <v>154</v>
      </c>
      <c r="B6" s="368">
        <f>(B3*B4/100)+B5</f>
        <v>0</v>
      </c>
      <c r="C6" s="368">
        <f>(C3*C4/100)+C5</f>
        <v>0</v>
      </c>
      <c r="D6" s="368">
        <f>(D3*D4/100)+D5</f>
        <v>0</v>
      </c>
      <c r="E6" s="180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237"/>
      <c r="S6" s="237"/>
      <c r="T6" s="237"/>
      <c r="U6" s="237"/>
      <c r="V6" s="237"/>
      <c r="W6" s="237"/>
      <c r="X6" s="237"/>
      <c r="Y6" s="237"/>
      <c r="Z6" s="237"/>
    </row>
    <row r="7" ht="18.75" customHeight="1" spans="1:26">
      <c r="A7" s="108" t="s">
        <v>155</v>
      </c>
      <c r="B7" s="368">
        <f>B3-B6</f>
        <v>16745</v>
      </c>
      <c r="C7" s="368">
        <f>C3-C6</f>
        <v>0</v>
      </c>
      <c r="D7" s="368">
        <f>D3-D6</f>
        <v>0</v>
      </c>
      <c r="E7" s="180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</row>
    <row r="8" ht="18.75" customHeight="1" spans="1:26">
      <c r="A8" s="108"/>
      <c r="B8" s="109"/>
      <c r="C8" s="109"/>
      <c r="D8" s="109"/>
      <c r="E8" s="110"/>
      <c r="F8" s="237"/>
      <c r="G8" s="237"/>
      <c r="H8" s="237"/>
      <c r="I8" s="81" t="s">
        <v>3</v>
      </c>
      <c r="J8" s="82">
        <f>E13+E14</f>
        <v>340</v>
      </c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</row>
    <row r="9" ht="18.75" customHeight="1" spans="1:26">
      <c r="A9" s="15" t="s">
        <v>163</v>
      </c>
      <c r="B9" s="15"/>
      <c r="C9" s="15"/>
      <c r="D9" s="15"/>
      <c r="E9" s="466">
        <f>B7+C7+D7+E3</f>
        <v>16745</v>
      </c>
      <c r="F9" s="237"/>
      <c r="G9" s="237"/>
      <c r="H9" s="237"/>
      <c r="I9" s="82"/>
      <c r="J9" s="82"/>
      <c r="K9" s="237"/>
      <c r="L9" s="237"/>
      <c r="M9" s="237"/>
      <c r="N9" s="237"/>
      <c r="O9" s="237"/>
      <c r="P9" s="237"/>
      <c r="Q9" s="237"/>
      <c r="R9" s="237"/>
      <c r="S9" s="237"/>
      <c r="T9" s="237"/>
      <c r="U9" s="237"/>
      <c r="V9" s="237"/>
      <c r="W9" s="237"/>
      <c r="X9" s="237"/>
      <c r="Y9" s="237"/>
      <c r="Z9" s="237"/>
    </row>
    <row r="10" ht="18.75" customHeight="1" spans="1:26">
      <c r="A10" s="17" t="s">
        <v>164</v>
      </c>
      <c r="B10" s="17"/>
      <c r="C10" s="17"/>
      <c r="D10" s="17"/>
      <c r="E10" s="247">
        <v>695</v>
      </c>
      <c r="F10" s="237"/>
      <c r="G10" s="237"/>
      <c r="H10" s="237"/>
      <c r="I10" s="83" t="s">
        <v>1</v>
      </c>
      <c r="J10" s="82">
        <f>E15-E11-J8</f>
        <v>17440</v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237"/>
      <c r="V10" s="237"/>
      <c r="W10" s="237"/>
      <c r="X10" s="237"/>
      <c r="Y10" s="237"/>
      <c r="Z10" s="237"/>
    </row>
    <row r="11" ht="18.75" customHeight="1" spans="1:26">
      <c r="A11" s="17" t="s">
        <v>165</v>
      </c>
      <c r="B11" s="17"/>
      <c r="C11" s="17"/>
      <c r="D11" s="17"/>
      <c r="E11" s="180">
        <f>(E9+E10)*20%</f>
        <v>3488</v>
      </c>
      <c r="F11" s="237"/>
      <c r="G11" s="237"/>
      <c r="H11" s="237"/>
      <c r="I11" s="82"/>
      <c r="J11" s="82"/>
      <c r="K11" s="237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</row>
    <row r="12" ht="18.75" customHeight="1" spans="1:26">
      <c r="A12" s="17" t="s">
        <v>166</v>
      </c>
      <c r="B12" s="17"/>
      <c r="C12" s="17"/>
      <c r="D12" s="17"/>
      <c r="E12" s="247">
        <v>0</v>
      </c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7"/>
      <c r="Q12" s="237"/>
      <c r="R12" s="237"/>
      <c r="S12" s="237"/>
      <c r="T12" s="237"/>
      <c r="U12" s="237"/>
      <c r="V12" s="237"/>
      <c r="W12" s="237"/>
      <c r="X12" s="237"/>
      <c r="Y12" s="237"/>
      <c r="Z12" s="237"/>
    </row>
    <row r="13" ht="18.75" customHeight="1" spans="1:26">
      <c r="A13" s="17" t="s">
        <v>167</v>
      </c>
      <c r="B13" s="17"/>
      <c r="C13" s="17"/>
      <c r="D13" s="17"/>
      <c r="E13" s="247">
        <v>275</v>
      </c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</row>
    <row r="14" ht="18.75" customHeight="1" spans="1:26">
      <c r="A14" s="17" t="s">
        <v>168</v>
      </c>
      <c r="B14" s="17"/>
      <c r="C14" s="17"/>
      <c r="D14" s="17"/>
      <c r="E14" s="247">
        <v>65</v>
      </c>
      <c r="F14" s="237"/>
      <c r="G14" s="237" t="s">
        <v>11</v>
      </c>
      <c r="H14" s="237"/>
      <c r="I14" s="237"/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8.75" customHeight="1" spans="1:26">
      <c r="A15" s="17" t="s">
        <v>169</v>
      </c>
      <c r="B15" s="17"/>
      <c r="C15" s="17"/>
      <c r="D15" s="17"/>
      <c r="E15" s="255">
        <f>(E9+E10+E13+E14+E11)-E12</f>
        <v>21268</v>
      </c>
      <c r="F15" s="237"/>
      <c r="G15" s="299">
        <f>E15</f>
        <v>21268</v>
      </c>
      <c r="H15" s="237"/>
      <c r="I15" s="237"/>
      <c r="J15" s="237"/>
      <c r="K15" s="237"/>
      <c r="L15" s="237"/>
      <c r="M15" s="237"/>
      <c r="N15" s="237"/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8.75" customHeight="1" spans="1:26">
      <c r="A16" s="17" t="s">
        <v>170</v>
      </c>
      <c r="B16" s="17"/>
      <c r="C16" s="17"/>
      <c r="D16" s="17"/>
      <c r="E16" s="247">
        <v>0</v>
      </c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84" t="s">
        <v>13</v>
      </c>
      <c r="Z16" s="237"/>
    </row>
    <row r="17" ht="18.75" customHeight="1" spans="1:26">
      <c r="A17" s="20" t="s">
        <v>171</v>
      </c>
      <c r="B17" s="20"/>
      <c r="C17" s="20"/>
      <c r="D17" s="20"/>
      <c r="E17" s="110"/>
      <c r="F17" s="237"/>
      <c r="G17" s="237" t="s">
        <v>14</v>
      </c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84" t="s">
        <v>15</v>
      </c>
      <c r="Z17" s="237"/>
    </row>
    <row r="18" ht="18.75" customHeight="1" spans="1:26">
      <c r="A18" s="21" t="s">
        <v>13</v>
      </c>
      <c r="B18" s="22" t="s">
        <v>172</v>
      </c>
      <c r="C18" s="22"/>
      <c r="D18" s="22"/>
      <c r="E18" s="258">
        <v>0</v>
      </c>
      <c r="F18" s="237"/>
      <c r="G18" s="299">
        <f>(B3+C3+D3+E3+E10)*1.2</f>
        <v>20928</v>
      </c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237"/>
      <c r="U18" s="237"/>
      <c r="V18" s="237"/>
      <c r="W18" s="237"/>
      <c r="X18" s="237"/>
      <c r="Y18" s="84" t="s">
        <v>16</v>
      </c>
      <c r="Z18" s="237"/>
    </row>
    <row r="19" ht="18.75" customHeight="1" spans="1:26">
      <c r="A19" s="21" t="s">
        <v>15</v>
      </c>
      <c r="B19" s="22" t="s">
        <v>172</v>
      </c>
      <c r="C19" s="22"/>
      <c r="D19" s="22"/>
      <c r="E19" s="258">
        <v>0</v>
      </c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37"/>
      <c r="Q19" s="237"/>
      <c r="R19" s="237"/>
      <c r="S19" s="237"/>
      <c r="T19" s="237"/>
      <c r="U19" s="237"/>
      <c r="V19" s="237"/>
      <c r="W19" s="237"/>
      <c r="X19" s="237"/>
      <c r="Y19" s="237"/>
      <c r="Z19" s="237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58">
        <v>0</v>
      </c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  <c r="Q20" s="237"/>
      <c r="R20" s="237"/>
      <c r="S20" s="237"/>
      <c r="T20" s="237"/>
      <c r="U20" s="237"/>
      <c r="V20" s="237"/>
      <c r="W20" s="237"/>
      <c r="X20" s="237"/>
      <c r="Y20" s="237"/>
      <c r="Z20" s="237" t="s">
        <v>19</v>
      </c>
    </row>
    <row r="21" ht="18.75" customHeight="1" spans="1:26">
      <c r="A21" s="24" t="s">
        <v>173</v>
      </c>
      <c r="B21" s="24"/>
      <c r="C21" s="24"/>
      <c r="D21" s="24"/>
      <c r="E21" s="261">
        <f>E15-((E18*1.2)+(E19*1.2)+(E20*1.2)+(E16*1.2))</f>
        <v>21268</v>
      </c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</row>
    <row r="22" ht="18.75" customHeight="1" spans="1:26">
      <c r="A22" s="109"/>
      <c r="B22" s="109"/>
      <c r="C22" s="109"/>
      <c r="D22" s="109"/>
      <c r="E22" s="109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</row>
    <row r="23" ht="19.5" spans="1:26">
      <c r="A23" s="109"/>
      <c r="B23" s="109"/>
      <c r="C23" s="109"/>
      <c r="D23" s="109"/>
      <c r="E23" s="109"/>
      <c r="F23" s="237"/>
      <c r="G23" s="237"/>
      <c r="H23" s="237"/>
      <c r="I23" s="237"/>
      <c r="J23" s="237"/>
      <c r="K23" s="237"/>
      <c r="L23" s="237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</row>
    <row r="24" ht="56.65" customHeight="1" spans="1:26">
      <c r="A24" s="26" t="s">
        <v>236</v>
      </c>
      <c r="B24" s="26"/>
      <c r="C24" s="26"/>
      <c r="D24" s="26"/>
      <c r="E24" s="26"/>
      <c r="F24" s="237"/>
      <c r="G24" s="237"/>
      <c r="H24" s="237"/>
      <c r="I24" s="237"/>
      <c r="J24" s="237"/>
      <c r="K24" s="237"/>
      <c r="L24" s="237"/>
      <c r="M24" s="237"/>
      <c r="N24" s="237"/>
      <c r="O24" s="237"/>
      <c r="P24" s="237"/>
      <c r="Q24" s="237"/>
      <c r="R24" s="237"/>
      <c r="S24" s="237"/>
      <c r="T24" s="237"/>
      <c r="U24" s="237"/>
      <c r="V24" s="237"/>
      <c r="W24" s="237"/>
      <c r="X24" s="237"/>
      <c r="Y24" s="237"/>
      <c r="Z24" s="237"/>
    </row>
    <row r="25" ht="18.75" customHeight="1" spans="1:26">
      <c r="A25" s="108"/>
      <c r="B25" s="154"/>
      <c r="C25" s="154"/>
      <c r="D25" s="154"/>
      <c r="E25" s="110"/>
      <c r="F25" s="237"/>
      <c r="G25" s="237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</row>
    <row r="26" ht="18.75" customHeight="1" spans="1:26">
      <c r="A26" s="27" t="s">
        <v>237</v>
      </c>
      <c r="B26" s="27"/>
      <c r="C26" s="27"/>
      <c r="D26" s="27"/>
      <c r="E26" s="27"/>
      <c r="F26" s="237"/>
      <c r="G26" s="300" t="s">
        <v>23</v>
      </c>
      <c r="H26" s="301" t="s">
        <v>24</v>
      </c>
      <c r="I26" s="237"/>
      <c r="J26" s="237"/>
      <c r="K26" s="237"/>
      <c r="L26" s="237"/>
      <c r="M26" s="237"/>
      <c r="N26" s="237"/>
      <c r="O26" s="237"/>
      <c r="P26" s="237"/>
      <c r="Q26" s="237"/>
      <c r="R26" s="237"/>
      <c r="S26" s="237"/>
      <c r="T26" s="237"/>
      <c r="U26" s="237"/>
      <c r="V26" s="237"/>
      <c r="W26" s="237"/>
      <c r="X26" s="237"/>
      <c r="Y26" s="237"/>
      <c r="Z26" s="237"/>
    </row>
    <row r="27" ht="18.75" customHeight="1" spans="1:26">
      <c r="A27" s="108"/>
      <c r="B27" s="154"/>
      <c r="C27" s="154"/>
      <c r="D27" s="154"/>
      <c r="E27" s="110"/>
      <c r="F27" s="237"/>
      <c r="G27" s="302" t="s">
        <v>25</v>
      </c>
      <c r="H27" s="303">
        <v>1</v>
      </c>
      <c r="I27" s="237"/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237"/>
      <c r="U27" s="237"/>
      <c r="V27" s="237"/>
      <c r="W27" s="237"/>
      <c r="X27" s="237"/>
      <c r="Y27" s="237"/>
      <c r="Z27" s="237"/>
    </row>
    <row r="28" ht="18.75" customHeight="1" spans="1:26">
      <c r="A28" s="176" t="s">
        <v>29</v>
      </c>
      <c r="B28" s="161" t="s">
        <v>30</v>
      </c>
      <c r="C28" s="154"/>
      <c r="D28" s="161" t="s">
        <v>238</v>
      </c>
      <c r="E28" s="110"/>
      <c r="F28" s="237"/>
      <c r="G28" s="302" t="s">
        <v>27</v>
      </c>
      <c r="H28" s="303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</row>
    <row r="29" ht="18.75" customHeight="1" spans="1:26">
      <c r="A29" s="467" t="s">
        <v>239</v>
      </c>
      <c r="B29" s="33">
        <v>12345</v>
      </c>
      <c r="C29" s="33"/>
      <c r="D29" s="468">
        <f ca="1">TODAY()+1</f>
        <v>45358</v>
      </c>
      <c r="E29" s="468"/>
      <c r="F29" s="237"/>
      <c r="G29" s="300" t="s">
        <v>28</v>
      </c>
      <c r="H29" s="305">
        <f>A32</f>
        <v>12</v>
      </c>
      <c r="I29" s="237" t="b">
        <f>ISNUMBER(I31)</f>
        <v>0</v>
      </c>
      <c r="J29" s="237"/>
      <c r="K29" s="237"/>
      <c r="L29" s="237"/>
      <c r="M29" s="237"/>
      <c r="N29" s="237"/>
      <c r="O29" s="237"/>
      <c r="P29" s="237"/>
      <c r="Q29" s="237"/>
      <c r="R29" s="237"/>
      <c r="S29" s="237"/>
      <c r="T29" s="237"/>
      <c r="U29" s="237"/>
      <c r="V29" s="237"/>
      <c r="W29" s="237"/>
      <c r="X29" s="237"/>
      <c r="Y29" s="237"/>
      <c r="Z29" s="237"/>
    </row>
    <row r="30" ht="18.75" customHeight="1" spans="1:26">
      <c r="A30" s="108"/>
      <c r="B30" s="35"/>
      <c r="C30" s="35"/>
      <c r="D30" s="154"/>
      <c r="E30" s="110"/>
      <c r="F30" s="237"/>
      <c r="G30" s="300" t="s">
        <v>32</v>
      </c>
      <c r="H30" s="305">
        <f>B32</f>
        <v>5000</v>
      </c>
      <c r="I30" s="237"/>
      <c r="J30" s="237"/>
      <c r="K30" s="237"/>
      <c r="L30" s="237"/>
      <c r="M30" s="237"/>
      <c r="N30" s="237"/>
      <c r="O30" s="237"/>
      <c r="P30" s="237"/>
      <c r="Q30" s="237"/>
      <c r="R30" s="237"/>
      <c r="S30" s="237"/>
      <c r="T30" s="237"/>
      <c r="U30" s="237"/>
      <c r="V30" s="237"/>
      <c r="W30" s="237"/>
      <c r="X30" s="237"/>
      <c r="Y30" s="237"/>
      <c r="Z30" s="237"/>
    </row>
    <row r="31" ht="18.75" customHeight="1" spans="1:26">
      <c r="A31" s="176" t="s">
        <v>39</v>
      </c>
      <c r="B31" s="161" t="s">
        <v>40</v>
      </c>
      <c r="C31" s="154"/>
      <c r="D31" s="161" t="s">
        <v>41</v>
      </c>
      <c r="E31" s="110"/>
      <c r="F31" s="237"/>
      <c r="G31" s="300" t="s">
        <v>35</v>
      </c>
      <c r="H31" s="442" t="str">
        <f>A41</f>
        <v>6000</v>
      </c>
      <c r="I31" s="237"/>
      <c r="J31" s="237"/>
      <c r="K31" s="237"/>
      <c r="L31" s="237"/>
      <c r="M31" s="237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</row>
    <row r="32" ht="18.75" customHeight="1" spans="1:26">
      <c r="A32" s="48">
        <v>12</v>
      </c>
      <c r="B32" s="33">
        <v>5000</v>
      </c>
      <c r="C32" s="33"/>
      <c r="D32" s="48">
        <f>(A32/12)*B32</f>
        <v>5000</v>
      </c>
      <c r="E32" s="48"/>
      <c r="F32" s="237"/>
      <c r="G32" s="300" t="s">
        <v>36</v>
      </c>
      <c r="H32" s="442">
        <f>A44*A32</f>
        <v>600</v>
      </c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</row>
    <row r="33" ht="18.75" customHeight="1" spans="1:26">
      <c r="A33" s="39"/>
      <c r="B33" s="469"/>
      <c r="C33" s="41"/>
      <c r="D33" s="470"/>
      <c r="E33" s="110"/>
      <c r="F33" s="237"/>
      <c r="G33" s="302"/>
      <c r="H33" s="306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</row>
    <row r="34" ht="18.75" customHeight="1" spans="1:26">
      <c r="A34" s="39" t="s">
        <v>337</v>
      </c>
      <c r="B34" s="43" t="s">
        <v>48</v>
      </c>
      <c r="C34" s="41" t="s">
        <v>4</v>
      </c>
      <c r="D34" s="44" t="s">
        <v>49</v>
      </c>
      <c r="E34" s="110"/>
      <c r="F34" s="237"/>
      <c r="G34" s="240"/>
      <c r="H34" s="240"/>
      <c r="I34" s="237"/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237"/>
      <c r="U34" s="237"/>
      <c r="V34" s="237"/>
      <c r="W34" s="237"/>
      <c r="X34" s="237"/>
      <c r="Y34" s="237"/>
      <c r="Z34" s="237"/>
    </row>
    <row r="35" ht="18.75" customHeight="1" spans="1:26">
      <c r="A35" s="128">
        <f>E15</f>
        <v>21268</v>
      </c>
      <c r="B35" s="33" t="s">
        <v>45</v>
      </c>
      <c r="C35" s="33"/>
      <c r="D35" s="59">
        <f>A35-B35</f>
        <v>20268</v>
      </c>
      <c r="E35" s="59"/>
      <c r="F35" s="237"/>
      <c r="G35" s="307" t="s">
        <v>46</v>
      </c>
      <c r="H35" s="471">
        <v>0.065</v>
      </c>
      <c r="I35" s="237"/>
      <c r="J35" s="237"/>
      <c r="K35" s="237"/>
      <c r="L35" s="237"/>
      <c r="M35" s="237"/>
      <c r="N35" s="237"/>
      <c r="O35" s="237"/>
      <c r="P35" s="237"/>
      <c r="Q35" s="237"/>
      <c r="R35" s="237"/>
      <c r="S35" s="237"/>
      <c r="T35" s="237"/>
      <c r="U35" s="237"/>
      <c r="V35" s="237"/>
      <c r="W35" s="237"/>
      <c r="X35" s="237"/>
      <c r="Y35" s="237"/>
      <c r="Z35" s="237"/>
    </row>
    <row r="36" ht="18.75" customHeight="1" spans="1:26">
      <c r="A36" s="108"/>
      <c r="B36" s="154"/>
      <c r="C36" s="154"/>
      <c r="D36" s="154"/>
      <c r="E36" s="110"/>
      <c r="F36" s="237"/>
      <c r="G36" s="240" t="s">
        <v>50</v>
      </c>
      <c r="H36" s="240">
        <f>B38</f>
        <v>11</v>
      </c>
      <c r="I36" s="237"/>
      <c r="J36" s="237"/>
      <c r="K36" s="237"/>
      <c r="L36" s="237"/>
      <c r="M36" s="237"/>
      <c r="N36" s="237"/>
      <c r="O36" s="237"/>
      <c r="P36" s="237"/>
      <c r="Q36" s="237"/>
      <c r="R36" s="237"/>
      <c r="S36" s="237"/>
      <c r="T36" s="237"/>
      <c r="U36" s="237"/>
      <c r="V36" s="237"/>
      <c r="W36" s="237"/>
      <c r="X36" s="237"/>
      <c r="Y36" s="237"/>
      <c r="Z36" s="237"/>
    </row>
    <row r="37" ht="18.75" customHeight="1" spans="1:26">
      <c r="A37" s="176" t="s">
        <v>53</v>
      </c>
      <c r="B37" s="161" t="s">
        <v>54</v>
      </c>
      <c r="C37" s="154" t="s">
        <v>4</v>
      </c>
      <c r="D37" s="161" t="s">
        <v>55</v>
      </c>
      <c r="E37" s="110"/>
      <c r="F37" s="237"/>
      <c r="G37" s="240"/>
      <c r="H37" s="240"/>
      <c r="I37" s="237"/>
      <c r="J37" s="237"/>
      <c r="K37" s="237"/>
      <c r="L37" s="237"/>
      <c r="M37" s="237"/>
      <c r="N37" s="237"/>
      <c r="O37" s="237"/>
      <c r="P37" s="237"/>
      <c r="Q37" s="237"/>
      <c r="R37" s="237"/>
      <c r="S37" s="237"/>
      <c r="T37" s="237"/>
      <c r="U37" s="237"/>
      <c r="V37" s="237"/>
      <c r="W37" s="237"/>
      <c r="X37" s="237"/>
      <c r="Y37" s="237"/>
      <c r="Z37" s="237"/>
    </row>
    <row r="38" ht="18.75" customHeight="1" spans="1:26">
      <c r="A38" s="33" t="s">
        <v>42</v>
      </c>
      <c r="B38" s="55">
        <f>A32-1</f>
        <v>11</v>
      </c>
      <c r="C38" s="55"/>
      <c r="D38" s="48" t="s">
        <v>57</v>
      </c>
      <c r="E38" s="48"/>
      <c r="F38" s="237"/>
      <c r="G38" s="308" t="s">
        <v>52</v>
      </c>
      <c r="H38" s="308"/>
      <c r="I38" s="240"/>
      <c r="J38" s="237"/>
      <c r="K38" s="237"/>
      <c r="L38" s="237"/>
      <c r="M38" s="237"/>
      <c r="N38" s="237"/>
      <c r="O38" s="237"/>
      <c r="P38" s="237"/>
      <c r="Q38" s="237"/>
      <c r="R38" s="237"/>
      <c r="S38" s="237"/>
      <c r="T38" s="237"/>
      <c r="U38" s="237"/>
      <c r="V38" s="237"/>
      <c r="W38" s="237"/>
      <c r="X38" s="237"/>
      <c r="Y38" s="237"/>
      <c r="Z38" s="237"/>
    </row>
    <row r="39" ht="18.75" customHeight="1" spans="1:26">
      <c r="A39" s="49"/>
      <c r="B39" s="41"/>
      <c r="C39" s="41"/>
      <c r="D39" s="154"/>
      <c r="E39" s="110"/>
      <c r="F39" s="237"/>
      <c r="G39" s="240" t="s">
        <v>56</v>
      </c>
      <c r="H39" s="240" t="str">
        <f>D38</f>
        <v>500</v>
      </c>
      <c r="I39" s="240"/>
      <c r="J39" s="240"/>
      <c r="K39" s="237"/>
      <c r="L39" s="237"/>
      <c r="M39" s="237"/>
      <c r="N39" s="237"/>
      <c r="O39" s="237"/>
      <c r="P39" s="237"/>
      <c r="Q39" s="237"/>
      <c r="R39" s="237"/>
      <c r="S39" s="237"/>
      <c r="T39" s="237"/>
      <c r="U39" s="237"/>
      <c r="V39" s="237"/>
      <c r="W39" s="237"/>
      <c r="X39" s="237"/>
      <c r="Y39" s="237"/>
      <c r="Z39" s="237"/>
    </row>
    <row r="40" ht="18.75" customHeight="1" spans="1:26">
      <c r="A40" s="51" t="s">
        <v>63</v>
      </c>
      <c r="B40" s="52" t="s">
        <v>61</v>
      </c>
      <c r="C40" s="41"/>
      <c r="D40" s="274" t="s">
        <v>62</v>
      </c>
      <c r="E40" s="110"/>
      <c r="F40" s="237" t="s">
        <v>4</v>
      </c>
      <c r="G40" s="240" t="s">
        <v>58</v>
      </c>
      <c r="H40" s="240">
        <f>E11</f>
        <v>3488</v>
      </c>
      <c r="I40" s="240"/>
      <c r="J40" s="237"/>
      <c r="K40" s="237"/>
      <c r="L40" s="237"/>
      <c r="M40" s="237"/>
      <c r="N40" s="237"/>
      <c r="O40" s="237"/>
      <c r="P40" s="237"/>
      <c r="Q40" s="237"/>
      <c r="R40" s="237"/>
      <c r="S40" s="237"/>
      <c r="T40" s="237"/>
      <c r="U40" s="237"/>
      <c r="V40" s="237"/>
      <c r="W40" s="237"/>
      <c r="X40" s="237"/>
      <c r="Y40" s="237"/>
      <c r="Z40" s="237"/>
    </row>
    <row r="41" ht="18.75" customHeight="1" spans="1:26">
      <c r="A41" s="48" t="s">
        <v>334</v>
      </c>
      <c r="B41" s="48" t="s">
        <v>335</v>
      </c>
      <c r="C41" s="48"/>
      <c r="D41" s="33" t="s">
        <v>18</v>
      </c>
      <c r="E41" s="33"/>
      <c r="F41" s="237"/>
      <c r="G41" s="240" t="s">
        <v>59</v>
      </c>
      <c r="H41" s="240" t="str">
        <f>IF(D41="Yes",A44,0)</f>
        <v>50</v>
      </c>
      <c r="I41" s="240" t="s">
        <v>4</v>
      </c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  <c r="V41" s="237"/>
      <c r="W41" s="237"/>
      <c r="X41" s="237"/>
      <c r="Y41" s="237"/>
      <c r="Z41" s="237"/>
    </row>
    <row r="42" ht="18.75" customHeight="1" spans="1:26">
      <c r="A42" s="49"/>
      <c r="B42" s="41"/>
      <c r="C42" s="41"/>
      <c r="D42" s="41"/>
      <c r="E42" s="57"/>
      <c r="F42" s="237"/>
      <c r="G42" s="240" t="s">
        <v>63</v>
      </c>
      <c r="H42" s="240" t="str">
        <f>A41</f>
        <v>6000</v>
      </c>
      <c r="I42" s="240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</row>
    <row r="43" ht="18.75" customHeight="1" spans="1:26">
      <c r="A43" s="161" t="s">
        <v>118</v>
      </c>
      <c r="B43" s="52" t="s">
        <v>67</v>
      </c>
      <c r="C43" s="41" t="s">
        <v>4</v>
      </c>
      <c r="D43" s="52" t="s">
        <v>211</v>
      </c>
      <c r="E43" s="57"/>
      <c r="F43" s="237"/>
      <c r="G43" s="240" t="s">
        <v>64</v>
      </c>
      <c r="H43" s="240">
        <f>A32</f>
        <v>12</v>
      </c>
      <c r="I43" s="240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</row>
    <row r="44" ht="18.75" customHeight="1" spans="1:26">
      <c r="A44" s="48" t="s">
        <v>70</v>
      </c>
      <c r="B44" s="48" t="s">
        <v>336</v>
      </c>
      <c r="C44" s="48"/>
      <c r="D44" s="48" t="s">
        <v>336</v>
      </c>
      <c r="E44" s="48"/>
      <c r="F44" s="237"/>
      <c r="G44" s="240" t="s">
        <v>65</v>
      </c>
      <c r="H44" s="240">
        <f>((H40-(((H42/(1.2))*0.2)))/(H43))</f>
        <v>207.333333333333</v>
      </c>
      <c r="I44" s="193">
        <f>((A41*(B35-1))+D32)/B35</f>
        <v>5999</v>
      </c>
      <c r="J44" s="237"/>
      <c r="K44" s="237"/>
      <c r="L44" s="237"/>
      <c r="M44" s="237"/>
      <c r="N44" s="237"/>
      <c r="O44" s="237"/>
      <c r="P44" s="237"/>
      <c r="Q44" s="237"/>
      <c r="R44" s="237"/>
      <c r="S44" s="237"/>
      <c r="T44" s="237"/>
      <c r="U44" s="237"/>
      <c r="V44" s="237"/>
      <c r="W44" s="237"/>
      <c r="X44" s="237"/>
      <c r="Y44" s="237"/>
      <c r="Z44" s="237"/>
    </row>
    <row r="45" ht="18.75" customHeight="1" spans="1:26">
      <c r="A45" s="49"/>
      <c r="B45" s="41"/>
      <c r="C45" s="41"/>
      <c r="D45" s="41"/>
      <c r="E45" s="57"/>
      <c r="F45" s="237"/>
      <c r="G45" s="240" t="s">
        <v>69</v>
      </c>
      <c r="H45" s="240">
        <f>(H39-H44)+H41</f>
        <v>342.666666666667</v>
      </c>
      <c r="I45" s="240"/>
      <c r="J45" s="237"/>
      <c r="K45" s="237"/>
      <c r="L45" s="237"/>
      <c r="M45" s="237"/>
      <c r="N45" s="237"/>
      <c r="O45" s="237"/>
      <c r="P45" s="237"/>
      <c r="Q45" s="237"/>
      <c r="R45" s="237"/>
      <c r="S45" s="237"/>
      <c r="T45" s="237"/>
      <c r="U45" s="237"/>
      <c r="V45" s="237"/>
      <c r="W45" s="237"/>
      <c r="X45" s="237"/>
      <c r="Y45" s="237"/>
      <c r="Z45" s="237"/>
    </row>
    <row r="46" ht="18.75" customHeight="1" spans="1:26">
      <c r="A46" s="51" t="s">
        <v>337</v>
      </c>
      <c r="B46" s="41" t="s">
        <v>338</v>
      </c>
      <c r="C46" s="41" t="s">
        <v>4</v>
      </c>
      <c r="D46" s="41"/>
      <c r="E46" s="57"/>
      <c r="F46" s="237">
        <v>0</v>
      </c>
      <c r="G46" s="240" t="s">
        <v>71</v>
      </c>
      <c r="H46" s="240">
        <v>0</v>
      </c>
      <c r="I46" s="240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</row>
    <row r="47" ht="18.75" customHeight="1" spans="1:26">
      <c r="A47" s="128" t="s">
        <v>337</v>
      </c>
      <c r="B47" s="41"/>
      <c r="C47" s="41"/>
      <c r="D47" s="41"/>
      <c r="E47" s="57"/>
      <c r="F47" s="237"/>
      <c r="G47" s="240" t="s">
        <v>72</v>
      </c>
      <c r="H47" s="240">
        <f>A38/H29</f>
        <v>1</v>
      </c>
      <c r="I47" s="240"/>
      <c r="J47" s="237"/>
      <c r="K47" s="237"/>
      <c r="L47" s="237"/>
      <c r="M47" s="237"/>
      <c r="N47" s="237"/>
      <c r="O47" s="237"/>
      <c r="P47" s="237"/>
      <c r="Q47" s="237"/>
      <c r="R47" s="237"/>
      <c r="S47" s="237"/>
      <c r="T47" s="237"/>
      <c r="U47" s="237"/>
      <c r="V47" s="237"/>
      <c r="W47" s="237"/>
      <c r="X47" s="237"/>
      <c r="Y47" s="237"/>
      <c r="Z47" s="237"/>
    </row>
    <row r="48" ht="18.75" customHeight="1" spans="1:26">
      <c r="A48" s="49"/>
      <c r="B48" s="41"/>
      <c r="C48" s="41"/>
      <c r="D48" s="41"/>
      <c r="E48" s="57"/>
      <c r="F48" s="237"/>
      <c r="G48" s="309" t="s">
        <v>74</v>
      </c>
      <c r="H48" s="240">
        <f>B41/H29</f>
        <v>1.66666666666667</v>
      </c>
      <c r="I48" s="240"/>
      <c r="J48" s="237"/>
      <c r="K48" s="237"/>
      <c r="L48" s="237"/>
      <c r="M48" s="237"/>
      <c r="N48" s="237"/>
      <c r="O48" s="237"/>
      <c r="P48" s="237"/>
      <c r="Q48" s="237"/>
      <c r="R48" s="237"/>
      <c r="S48" s="237"/>
      <c r="T48" s="237"/>
      <c r="U48" s="237"/>
      <c r="V48" s="237"/>
      <c r="W48" s="237"/>
      <c r="X48" s="237"/>
      <c r="Y48" s="237"/>
      <c r="Z48" s="237"/>
    </row>
    <row r="49" ht="18.75" customHeight="1" spans="1:26">
      <c r="A49" s="49"/>
      <c r="B49" s="41"/>
      <c r="C49" s="41"/>
      <c r="D49" s="41"/>
      <c r="E49" s="57"/>
      <c r="F49" s="237"/>
      <c r="G49" s="309" t="s">
        <v>75</v>
      </c>
      <c r="H49" s="240">
        <f>H45+H48+H47</f>
        <v>345.333333333333</v>
      </c>
      <c r="I49" s="240"/>
      <c r="J49" s="237"/>
      <c r="K49" s="237"/>
      <c r="L49" s="237"/>
      <c r="M49" s="237"/>
      <c r="N49" s="237"/>
      <c r="O49" s="237"/>
      <c r="P49" s="237"/>
      <c r="Q49" s="237"/>
      <c r="R49" s="237"/>
      <c r="S49" s="237"/>
      <c r="T49" s="237"/>
      <c r="U49" s="237"/>
      <c r="V49" s="237"/>
      <c r="W49" s="237"/>
      <c r="X49" s="237"/>
      <c r="Y49" s="237"/>
      <c r="Z49" s="237"/>
    </row>
    <row r="50" ht="18.75" customHeight="1" spans="1:26">
      <c r="A50" s="128"/>
      <c r="B50" s="41"/>
      <c r="C50" s="41"/>
      <c r="D50" s="41"/>
      <c r="E50" s="57"/>
      <c r="F50" s="237"/>
      <c r="G50" s="240" t="s">
        <v>339</v>
      </c>
      <c r="H50" s="240">
        <f>H49-H41</f>
        <v>295.333333333333</v>
      </c>
      <c r="I50" s="240"/>
      <c r="J50" s="237"/>
      <c r="K50" s="237"/>
      <c r="L50" s="237"/>
      <c r="M50" s="237"/>
      <c r="N50" s="237"/>
      <c r="O50" s="237"/>
      <c r="P50" s="237"/>
      <c r="Q50" s="237"/>
      <c r="R50" s="237"/>
      <c r="S50" s="237"/>
      <c r="T50" s="237"/>
      <c r="U50" s="237"/>
      <c r="V50" s="237"/>
      <c r="W50" s="237"/>
      <c r="X50" s="237"/>
      <c r="Y50" s="237"/>
      <c r="Z50" s="237"/>
    </row>
    <row r="51" ht="18.75" customHeight="1" spans="1:26">
      <c r="A51" s="49"/>
      <c r="B51" s="41"/>
      <c r="C51" s="41"/>
      <c r="D51" s="41"/>
      <c r="E51" s="57"/>
      <c r="F51" s="237"/>
      <c r="G51" s="237"/>
      <c r="H51" s="240"/>
      <c r="I51" s="240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</row>
    <row r="52" ht="18.75" customHeight="1" spans="1:26">
      <c r="A52" s="70"/>
      <c r="B52" s="71"/>
      <c r="C52" s="71"/>
      <c r="D52" s="41"/>
      <c r="E52" s="57"/>
      <c r="F52" s="237"/>
      <c r="G52" s="237"/>
      <c r="H52" s="240"/>
      <c r="I52" s="240"/>
      <c r="J52" s="237"/>
      <c r="K52" s="237"/>
      <c r="L52" s="237"/>
      <c r="M52" s="237"/>
      <c r="N52" s="237"/>
      <c r="O52" s="237"/>
      <c r="P52" s="237"/>
      <c r="Q52" s="237"/>
      <c r="R52" s="237"/>
      <c r="S52" s="237"/>
      <c r="T52" s="237"/>
      <c r="U52" s="237"/>
      <c r="V52" s="237"/>
      <c r="W52" s="237"/>
      <c r="X52" s="237"/>
      <c r="Y52" s="237"/>
      <c r="Z52" s="237"/>
    </row>
    <row r="53" ht="18.75" customHeight="1" spans="1:26">
      <c r="A53" s="49"/>
      <c r="B53" s="41"/>
      <c r="C53" s="41"/>
      <c r="D53" s="41"/>
      <c r="E53" s="57"/>
      <c r="F53" s="237"/>
      <c r="G53" s="237"/>
      <c r="H53" s="240"/>
      <c r="I53" s="240"/>
      <c r="J53" s="237"/>
      <c r="K53" s="237"/>
      <c r="L53" s="237"/>
      <c r="M53" s="237"/>
      <c r="N53" s="237"/>
      <c r="O53" s="237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</row>
    <row r="54" ht="18.75" customHeight="1" spans="1:26">
      <c r="A54" s="149" t="s">
        <v>337</v>
      </c>
      <c r="B54" s="154"/>
      <c r="C54" s="154"/>
      <c r="D54" s="150"/>
      <c r="E54" s="151"/>
      <c r="F54" s="237"/>
      <c r="G54" s="237"/>
      <c r="H54" s="240"/>
      <c r="I54" s="240"/>
      <c r="J54" s="237"/>
      <c r="K54" s="237"/>
      <c r="L54" s="237"/>
      <c r="M54" s="237"/>
      <c r="N54" s="237"/>
      <c r="O54" s="237"/>
      <c r="P54" s="237"/>
      <c r="Q54" s="237"/>
      <c r="R54" s="237"/>
      <c r="S54" s="237"/>
      <c r="T54" s="237"/>
      <c r="U54" s="237"/>
      <c r="V54" s="237"/>
      <c r="W54" s="237"/>
      <c r="X54" s="237"/>
      <c r="Y54" s="237"/>
      <c r="Z54" s="237"/>
    </row>
    <row r="55" ht="18.75" customHeight="1" spans="1:26">
      <c r="A55" s="108"/>
      <c r="B55" s="152"/>
      <c r="C55" s="152"/>
      <c r="D55" s="154"/>
      <c r="E55" s="110"/>
      <c r="F55" s="237"/>
      <c r="G55" s="237"/>
      <c r="H55" s="472"/>
      <c r="I55" s="240"/>
      <c r="J55" s="237"/>
      <c r="K55" s="237"/>
      <c r="L55" s="237"/>
      <c r="M55" s="237"/>
      <c r="N55" s="237"/>
      <c r="O55" s="237"/>
      <c r="P55" s="237"/>
      <c r="Q55" s="237"/>
      <c r="R55" s="237"/>
      <c r="S55" s="237"/>
      <c r="T55" s="237"/>
      <c r="U55" s="237"/>
      <c r="V55" s="237"/>
      <c r="W55" s="237"/>
      <c r="X55" s="237"/>
      <c r="Y55" s="237"/>
      <c r="Z55" s="237"/>
    </row>
    <row r="56" ht="18.75" customHeight="1" spans="1:26">
      <c r="A56" s="67" t="s">
        <v>83</v>
      </c>
      <c r="B56" s="68" t="s">
        <v>84</v>
      </c>
      <c r="C56" s="68"/>
      <c r="D56" s="154"/>
      <c r="E56" s="110"/>
      <c r="F56" s="237"/>
      <c r="G56" s="237"/>
      <c r="H56" s="237"/>
      <c r="I56" s="240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</row>
    <row r="57" ht="18.75" customHeight="1" spans="1:26">
      <c r="A57" s="67"/>
      <c r="B57" s="69">
        <f>H30</f>
        <v>5000</v>
      </c>
      <c r="C57" s="69"/>
      <c r="D57" s="154"/>
      <c r="E57" s="110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</row>
    <row r="58" ht="18.75" customHeight="1" spans="1:26">
      <c r="A58" s="70">
        <f>H29</f>
        <v>12</v>
      </c>
      <c r="B58" s="71">
        <f>H49</f>
        <v>345.333333333333</v>
      </c>
      <c r="C58" s="71"/>
      <c r="D58" s="473"/>
      <c r="E58" s="110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</row>
    <row r="59" ht="18.75" customHeight="1" spans="1:26">
      <c r="A59" s="108"/>
      <c r="B59" s="154"/>
      <c r="C59" s="154"/>
      <c r="D59" s="154"/>
      <c r="E59" s="110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</row>
    <row r="60" ht="18.75" customHeight="1" spans="1:26">
      <c r="A60" s="169"/>
      <c r="B60" s="170"/>
      <c r="C60" s="170"/>
      <c r="D60" s="170"/>
      <c r="E60" s="171"/>
      <c r="F60" s="237"/>
      <c r="G60" s="237"/>
      <c r="H60" s="237"/>
      <c r="I60" s="237"/>
      <c r="J60" s="237"/>
      <c r="K60" s="237"/>
      <c r="L60" s="237"/>
      <c r="M60" s="237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</row>
    <row r="61" ht="18.75" customHeight="1" spans="1:26">
      <c r="A61" s="109"/>
      <c r="B61" s="109"/>
      <c r="C61" s="109"/>
      <c r="D61" s="109"/>
      <c r="E61" s="109"/>
      <c r="F61" s="237"/>
      <c r="G61" s="109"/>
      <c r="H61" s="109"/>
      <c r="I61" s="109"/>
      <c r="J61" s="109"/>
      <c r="K61" s="109"/>
      <c r="L61" s="237"/>
      <c r="M61" s="109"/>
      <c r="N61" s="109"/>
      <c r="O61" s="109"/>
      <c r="P61" s="109"/>
      <c r="Q61" s="109"/>
      <c r="R61" s="237"/>
      <c r="S61" s="237"/>
      <c r="T61" s="237"/>
      <c r="U61" s="237"/>
      <c r="V61" s="237"/>
      <c r="W61" s="237"/>
      <c r="X61" s="237"/>
      <c r="Y61" s="237"/>
      <c r="Z61" s="237"/>
    </row>
    <row r="62" ht="18.75" customHeight="1" spans="1:26">
      <c r="A62" s="474"/>
      <c r="B62" s="475"/>
      <c r="C62" s="475"/>
      <c r="D62" s="475"/>
      <c r="E62" s="476"/>
      <c r="F62" s="237"/>
      <c r="G62" s="474"/>
      <c r="H62" s="475"/>
      <c r="I62" s="475"/>
      <c r="J62" s="475"/>
      <c r="K62" s="476"/>
      <c r="L62" s="237"/>
      <c r="M62" s="474"/>
      <c r="N62" s="475"/>
      <c r="O62" s="475"/>
      <c r="P62" s="475"/>
      <c r="Q62" s="476"/>
      <c r="R62" s="237"/>
      <c r="S62" s="237"/>
      <c r="T62" s="237"/>
      <c r="U62" s="237"/>
      <c r="V62" s="237"/>
      <c r="W62" s="237"/>
      <c r="X62" s="237"/>
      <c r="Y62" s="237"/>
      <c r="Z62" s="237"/>
    </row>
    <row r="63" ht="18.75" customHeight="1" spans="1:26">
      <c r="A63" s="108" t="s">
        <v>85</v>
      </c>
      <c r="B63" s="109">
        <f>IF(B105=Z103,1,IF(B105=Z104,1,IF(B105=Z105,3,IF(B105=Z106,6,IF(B105=Z107,9,IF(B105=Z108,12,IF(B105=Z109,3,IF(B105=Z110,6,IF(B105=Z111,9,0)))))))))</f>
        <v>1</v>
      </c>
      <c r="C63" s="109"/>
      <c r="D63" s="109"/>
      <c r="E63" s="110"/>
      <c r="F63" s="237"/>
      <c r="G63" s="108" t="s">
        <v>85</v>
      </c>
      <c r="H63" s="109">
        <f>IF(H105=Y103,1,IF(H105=Y104,1,IF(H105=Y105,3,IF(H105=Y106,6,IF(H105=Y107,9,IF(H105=Y108,12,IF(H105=Y109,3,IF(H105=Y110,6,IF(H105=Y111,9,0)))))))))</f>
        <v>0</v>
      </c>
      <c r="I63" s="109"/>
      <c r="J63" s="109"/>
      <c r="K63" s="110"/>
      <c r="L63" s="237"/>
      <c r="M63" s="108" t="s">
        <v>85</v>
      </c>
      <c r="N63" s="109">
        <f>IF(N105=Y103,1,IF(N105=Y104,1,IF(N105=Y105,3,IF(N105=Y106,6,IF(N105=Y107,9,IF(N105=Y108,12,IF(N105=Y109,3,IF(N105=Y110,6,IF(N105=Y111,9,0)))))))))</f>
        <v>0</v>
      </c>
      <c r="O63" s="109"/>
      <c r="P63" s="109"/>
      <c r="Q63" s="110"/>
      <c r="R63" s="237"/>
      <c r="S63" s="237"/>
      <c r="T63" s="237"/>
      <c r="U63" s="237"/>
      <c r="V63" s="237"/>
      <c r="W63" s="237"/>
      <c r="X63" s="237"/>
      <c r="Y63" s="237"/>
      <c r="Z63" s="237"/>
    </row>
    <row r="64" ht="18.75" customHeight="1" spans="1:26">
      <c r="A64" s="108" t="s">
        <v>86</v>
      </c>
      <c r="B64" s="109">
        <f>IF(B105=Z103,H29-B63,IF(B105=Z104,H29-B63,IF(B105=Z105,H29-1,IF(B105=Z106,H29-1,IF(B105=Z107,H29-1,IF(B105=Z108,H29-1,IF(B105=Z109,H29-B63,IF(B105=Z110,H29-B63,IF(B105=Z111,H29-B63,0)))))))))</f>
        <v>11</v>
      </c>
      <c r="C64" s="109" t="s">
        <v>4</v>
      </c>
      <c r="D64" s="109"/>
      <c r="E64" s="110"/>
      <c r="F64" s="237"/>
      <c r="G64" s="108" t="s">
        <v>86</v>
      </c>
      <c r="H64" s="109">
        <f>IF(H105=Y103,H29-H63,IF(H105=Y104,H29-H63,IF(H105=Y105,H29-1,IF(H105=Y106,H29-1,IF(H105=Y107,H29-1,IF(H105=Y108,H29-1,IF(H105=Y109,H29-H63,IF(H105=Y110,H29-H63,IF(H105=Y111,H29-H63,0)))))))))</f>
        <v>0</v>
      </c>
      <c r="I64" s="109"/>
      <c r="J64" s="109"/>
      <c r="K64" s="110"/>
      <c r="L64" s="237"/>
      <c r="M64" s="108" t="s">
        <v>86</v>
      </c>
      <c r="N64" s="109">
        <f>IF(N105=Y103,H29-N63,IF(N105=Y104,H29-N63,IF(N105=Y105,H29-1,IF(N105=Y106,H29-1,IF(N105=Y107,H29-1,IF(N105=Y108,H29-1,IF(N105=Y109,H29-N63,IF(N105=Y110,H29-N63,IF(N105=Y111,H29-N63,0)))))))))</f>
        <v>0</v>
      </c>
      <c r="O64" s="109"/>
      <c r="P64" s="109"/>
      <c r="Q64" s="110"/>
      <c r="R64" s="237"/>
      <c r="S64" s="237"/>
      <c r="T64" s="237"/>
      <c r="U64" s="237"/>
      <c r="V64" s="237"/>
      <c r="W64" s="237"/>
      <c r="X64" s="237"/>
      <c r="Y64" s="237"/>
      <c r="Z64" s="237"/>
    </row>
    <row r="65" ht="18.75" customHeight="1" spans="1:26">
      <c r="A65" s="108"/>
      <c r="C65" s="109"/>
      <c r="D65" s="109"/>
      <c r="E65" s="110"/>
      <c r="F65" s="237"/>
      <c r="G65" s="108"/>
      <c r="H65" s="109"/>
      <c r="I65" s="109"/>
      <c r="J65" s="109"/>
      <c r="K65" s="110"/>
      <c r="L65" s="237"/>
      <c r="M65" s="108"/>
      <c r="N65" s="109"/>
      <c r="O65" s="109"/>
      <c r="P65" s="109"/>
      <c r="Q65" s="110"/>
      <c r="R65" s="237"/>
      <c r="S65" s="237"/>
      <c r="T65" s="237"/>
      <c r="U65" s="237"/>
      <c r="V65" s="237"/>
      <c r="W65" s="237"/>
      <c r="X65" s="237"/>
      <c r="Y65" s="237"/>
      <c r="Z65" s="237"/>
    </row>
    <row r="66" ht="18.75" customHeight="1" spans="1:26">
      <c r="A66" s="108"/>
      <c r="B66" s="109"/>
      <c r="C66" s="109"/>
      <c r="D66" s="109"/>
      <c r="E66" s="110"/>
      <c r="F66" s="237"/>
      <c r="G66" s="108"/>
      <c r="H66" s="109"/>
      <c r="I66" s="109"/>
      <c r="J66" s="109"/>
      <c r="K66" s="110"/>
      <c r="L66" s="237"/>
      <c r="M66" s="108"/>
      <c r="N66" s="109"/>
      <c r="O66" s="109"/>
      <c r="P66" s="109"/>
      <c r="Q66" s="110"/>
      <c r="R66" s="237"/>
      <c r="S66" s="237"/>
      <c r="T66" s="237"/>
      <c r="U66" s="237"/>
      <c r="V66" s="237"/>
      <c r="W66" s="237"/>
      <c r="X66" s="237"/>
      <c r="Y66" s="237"/>
      <c r="Z66" s="237"/>
    </row>
    <row r="67" ht="18.75" customHeight="1" spans="1:26">
      <c r="A67" s="108" t="s">
        <v>14</v>
      </c>
      <c r="B67" s="368">
        <f>G18</f>
        <v>20928</v>
      </c>
      <c r="C67" s="109"/>
      <c r="D67" s="109"/>
      <c r="E67" s="110"/>
      <c r="F67" s="237"/>
      <c r="G67" s="108" t="s">
        <v>14</v>
      </c>
      <c r="H67" s="368">
        <f>G18</f>
        <v>20928</v>
      </c>
      <c r="I67" s="109"/>
      <c r="J67" s="109"/>
      <c r="K67" s="110"/>
      <c r="L67" s="237"/>
      <c r="M67" s="108" t="s">
        <v>14</v>
      </c>
      <c r="N67" s="368">
        <f>G18</f>
        <v>20928</v>
      </c>
      <c r="O67" s="109"/>
      <c r="P67" s="109"/>
      <c r="Q67" s="110"/>
      <c r="R67" s="237"/>
      <c r="S67" s="237"/>
      <c r="T67" s="237"/>
      <c r="U67" s="237"/>
      <c r="V67" s="237"/>
      <c r="W67" s="237"/>
      <c r="X67" s="237"/>
      <c r="Y67" s="237"/>
      <c r="Z67" s="237"/>
    </row>
    <row r="68" ht="18.75" customHeight="1" spans="1:26">
      <c r="A68" s="477" t="s">
        <v>277</v>
      </c>
      <c r="B68" s="478">
        <v>0.07</v>
      </c>
      <c r="C68" s="109"/>
      <c r="D68" s="109"/>
      <c r="E68" s="110"/>
      <c r="F68" s="237"/>
      <c r="G68" s="477" t="s">
        <v>277</v>
      </c>
      <c r="H68" s="478">
        <v>0.07</v>
      </c>
      <c r="I68" s="109"/>
      <c r="J68" s="109"/>
      <c r="K68" s="110"/>
      <c r="L68" s="237"/>
      <c r="M68" s="477" t="s">
        <v>277</v>
      </c>
      <c r="N68" s="478">
        <v>0.07</v>
      </c>
      <c r="O68" s="109"/>
      <c r="P68" s="109"/>
      <c r="Q68" s="110"/>
      <c r="R68" s="237"/>
      <c r="S68" s="237"/>
      <c r="T68" s="237"/>
      <c r="U68" s="237"/>
      <c r="V68" s="237"/>
      <c r="W68" s="237"/>
      <c r="X68" s="237"/>
      <c r="Y68" s="237"/>
      <c r="Z68" s="237"/>
    </row>
    <row r="69" ht="18.75" customHeight="1" spans="1:26">
      <c r="A69" s="108" t="s">
        <v>278</v>
      </c>
      <c r="B69" s="178">
        <f>B68+(B68*0.25*(H29/12-1))</f>
        <v>0.07</v>
      </c>
      <c r="C69" s="109"/>
      <c r="D69" s="109"/>
      <c r="E69" s="110"/>
      <c r="F69" s="237"/>
      <c r="G69" s="108" t="s">
        <v>278</v>
      </c>
      <c r="H69" s="178">
        <f>H68+(H68*0.25*(H29/12-1))</f>
        <v>0.07</v>
      </c>
      <c r="I69" s="109"/>
      <c r="J69" s="109"/>
      <c r="K69" s="110"/>
      <c r="L69" s="237"/>
      <c r="M69" s="108" t="s">
        <v>278</v>
      </c>
      <c r="N69" s="178">
        <f>N68+(N68*0.25*(H29/12-1))</f>
        <v>0.07</v>
      </c>
      <c r="O69" s="109"/>
      <c r="P69" s="109"/>
      <c r="Q69" s="110"/>
      <c r="R69" s="237"/>
      <c r="S69" s="237"/>
      <c r="T69" s="237"/>
      <c r="U69" s="237"/>
      <c r="V69" s="237"/>
      <c r="W69" s="237"/>
      <c r="X69" s="237"/>
      <c r="Y69" s="237"/>
      <c r="Z69" s="237"/>
    </row>
    <row r="70" ht="18.75" customHeight="1" spans="1:26">
      <c r="A70" s="169" t="s">
        <v>91</v>
      </c>
      <c r="B70" s="281">
        <f>B67*B69</f>
        <v>1464.96</v>
      </c>
      <c r="C70" s="109">
        <v>10000</v>
      </c>
      <c r="D70" s="368">
        <f>B70-A149</f>
        <v>1464.96</v>
      </c>
      <c r="E70" s="110">
        <f>D70/12</f>
        <v>122.08</v>
      </c>
      <c r="F70" s="237"/>
      <c r="G70" s="169" t="s">
        <v>91</v>
      </c>
      <c r="H70" s="281">
        <f>H67*H69</f>
        <v>1464.96</v>
      </c>
      <c r="I70" s="109"/>
      <c r="J70" s="368">
        <f>H70-G151</f>
        <v>1464.96</v>
      </c>
      <c r="K70" s="110"/>
      <c r="L70" s="237"/>
      <c r="M70" s="169" t="s">
        <v>91</v>
      </c>
      <c r="N70" s="281">
        <f>N67*N69</f>
        <v>1464.96</v>
      </c>
      <c r="O70" s="109"/>
      <c r="P70" s="368">
        <f>N70-M151</f>
        <v>1464.96</v>
      </c>
      <c r="Q70" s="110"/>
      <c r="R70" s="237"/>
      <c r="S70" s="237"/>
      <c r="T70" s="237"/>
      <c r="U70" s="237"/>
      <c r="V70" s="237"/>
      <c r="W70" s="237"/>
      <c r="X70" s="237"/>
      <c r="Y70" s="237"/>
      <c r="Z70" s="237"/>
    </row>
    <row r="71" ht="18.75" customHeight="1" spans="1:26">
      <c r="A71" s="477" t="s">
        <v>92</v>
      </c>
      <c r="B71" s="478">
        <v>0.01</v>
      </c>
      <c r="C71" s="109"/>
      <c r="D71" s="109"/>
      <c r="E71" s="110"/>
      <c r="F71" s="237"/>
      <c r="G71" s="477" t="s">
        <v>92</v>
      </c>
      <c r="H71" s="478">
        <v>0.005</v>
      </c>
      <c r="I71" s="109"/>
      <c r="J71" s="109"/>
      <c r="K71" s="110"/>
      <c r="L71" s="237"/>
      <c r="M71" s="477" t="s">
        <v>92</v>
      </c>
      <c r="N71" s="478">
        <v>0.005</v>
      </c>
      <c r="O71" s="109"/>
      <c r="P71" s="109"/>
      <c r="Q71" s="110"/>
      <c r="R71" s="237"/>
      <c r="S71" s="237"/>
      <c r="T71" s="237"/>
      <c r="U71" s="237"/>
      <c r="V71" s="237"/>
      <c r="W71" s="237"/>
      <c r="X71" s="237"/>
      <c r="Y71" s="237"/>
      <c r="Z71" s="237"/>
    </row>
    <row r="72" ht="18.75" customHeight="1" spans="1:26">
      <c r="A72" s="108" t="s">
        <v>93</v>
      </c>
      <c r="B72" s="178">
        <f>B71+(B71*0.5*(H29/12-1))</f>
        <v>0.01</v>
      </c>
      <c r="C72" s="109"/>
      <c r="D72" s="109"/>
      <c r="E72" s="110"/>
      <c r="F72" s="237"/>
      <c r="G72" s="108" t="s">
        <v>93</v>
      </c>
      <c r="H72" s="178">
        <f>H71+(H71*0.5*(H29/12-1))</f>
        <v>0.005</v>
      </c>
      <c r="I72" s="109"/>
      <c r="J72" s="109"/>
      <c r="K72" s="110"/>
      <c r="L72" s="237"/>
      <c r="M72" s="108" t="s">
        <v>93</v>
      </c>
      <c r="N72" s="178">
        <f>N71+(N71*0.5*(H29/12-1))</f>
        <v>0.005</v>
      </c>
      <c r="O72" s="109"/>
      <c r="P72" s="109"/>
      <c r="Q72" s="110"/>
      <c r="R72" s="237"/>
      <c r="S72" s="237"/>
      <c r="T72" s="237"/>
      <c r="U72" s="237"/>
      <c r="V72" s="237"/>
      <c r="W72" s="237"/>
      <c r="X72" s="237"/>
      <c r="Y72" s="237"/>
      <c r="Z72" s="237"/>
    </row>
    <row r="73" ht="18.75" customHeight="1" spans="1:26">
      <c r="A73" s="169" t="s">
        <v>94</v>
      </c>
      <c r="B73" s="281">
        <f>B67*B72</f>
        <v>209.28</v>
      </c>
      <c r="C73" s="109"/>
      <c r="D73" s="368"/>
      <c r="E73" s="110"/>
      <c r="F73" s="237"/>
      <c r="G73" s="169" t="s">
        <v>94</v>
      </c>
      <c r="H73" s="281">
        <f>H67*H72</f>
        <v>104.64</v>
      </c>
      <c r="I73" s="109"/>
      <c r="J73" s="368"/>
      <c r="K73" s="110"/>
      <c r="L73" s="237"/>
      <c r="M73" s="169" t="s">
        <v>94</v>
      </c>
      <c r="N73" s="281">
        <f>N67*N72</f>
        <v>104.64</v>
      </c>
      <c r="O73" s="109"/>
      <c r="P73" s="368"/>
      <c r="Q73" s="110"/>
      <c r="R73" s="237"/>
      <c r="S73" s="237"/>
      <c r="T73" s="237"/>
      <c r="U73" s="237"/>
      <c r="V73" s="237"/>
      <c r="W73" s="237"/>
      <c r="X73" s="237"/>
      <c r="Y73" s="237"/>
      <c r="Z73" s="237"/>
    </row>
    <row r="74" ht="18.75" customHeight="1" spans="1:26">
      <c r="A74" s="477" t="s">
        <v>95</v>
      </c>
      <c r="B74" s="478">
        <v>0.0075</v>
      </c>
      <c r="C74" s="109"/>
      <c r="D74" s="109"/>
      <c r="E74" s="110"/>
      <c r="F74" s="237"/>
      <c r="G74" s="477" t="s">
        <v>95</v>
      </c>
      <c r="H74" s="478">
        <v>0.0075</v>
      </c>
      <c r="I74" s="109"/>
      <c r="J74" s="109"/>
      <c r="K74" s="110"/>
      <c r="L74" s="237"/>
      <c r="M74" s="477" t="s">
        <v>95</v>
      </c>
      <c r="N74" s="478">
        <v>0.0075</v>
      </c>
      <c r="O74" s="109"/>
      <c r="P74" s="109"/>
      <c r="Q74" s="110"/>
      <c r="R74" s="237"/>
      <c r="S74" s="237"/>
      <c r="T74" s="237"/>
      <c r="U74" s="237"/>
      <c r="V74" s="237"/>
      <c r="W74" s="237"/>
      <c r="X74" s="237"/>
      <c r="Y74" s="237"/>
      <c r="Z74" s="237"/>
    </row>
    <row r="75" ht="18.75" customHeight="1" spans="1:26">
      <c r="A75" s="462" t="s">
        <v>96</v>
      </c>
      <c r="B75" s="479">
        <v>0.12</v>
      </c>
      <c r="C75" s="109"/>
      <c r="D75" s="109"/>
      <c r="E75" s="110"/>
      <c r="F75" s="237"/>
      <c r="G75" s="462" t="s">
        <v>96</v>
      </c>
      <c r="H75" s="479">
        <v>0.12</v>
      </c>
      <c r="I75" s="109"/>
      <c r="J75" s="109"/>
      <c r="K75" s="110"/>
      <c r="L75" s="237"/>
      <c r="M75" s="462" t="s">
        <v>96</v>
      </c>
      <c r="N75" s="479">
        <v>0.12</v>
      </c>
      <c r="O75" s="109"/>
      <c r="P75" s="109"/>
      <c r="Q75" s="110"/>
      <c r="R75" s="237"/>
      <c r="S75" s="237"/>
      <c r="T75" s="237"/>
      <c r="U75" s="237"/>
      <c r="V75" s="237"/>
      <c r="W75" s="237"/>
      <c r="X75" s="237"/>
      <c r="Y75" s="237"/>
      <c r="Z75" s="237"/>
    </row>
    <row r="76" ht="18.75" customHeight="1" spans="1:26">
      <c r="A76" s="169" t="s">
        <v>97</v>
      </c>
      <c r="B76" s="480">
        <f>B74*(1+B75)</f>
        <v>0.0084</v>
      </c>
      <c r="C76" s="109"/>
      <c r="D76" s="109"/>
      <c r="E76" s="110"/>
      <c r="F76" s="237"/>
      <c r="G76" s="169" t="s">
        <v>97</v>
      </c>
      <c r="H76" s="480">
        <f>H74*(1+H75)</f>
        <v>0.0084</v>
      </c>
      <c r="I76" s="109"/>
      <c r="J76" s="109"/>
      <c r="K76" s="110"/>
      <c r="L76" s="237"/>
      <c r="M76" s="169" t="s">
        <v>97</v>
      </c>
      <c r="N76" s="480">
        <f>N74*(1+N75)</f>
        <v>0.0084</v>
      </c>
      <c r="O76" s="109"/>
      <c r="P76" s="109"/>
      <c r="Q76" s="110"/>
      <c r="R76" s="237"/>
      <c r="S76" s="237"/>
      <c r="T76" s="237"/>
      <c r="U76" s="237"/>
      <c r="V76" s="237"/>
      <c r="W76" s="237"/>
      <c r="X76" s="237"/>
      <c r="Y76" s="237"/>
      <c r="Z76" s="237"/>
    </row>
    <row r="77" ht="18.75" customHeight="1" spans="1:26">
      <c r="A77" s="477" t="s">
        <v>98</v>
      </c>
      <c r="B77" s="312">
        <v>200</v>
      </c>
      <c r="C77" s="109"/>
      <c r="D77" s="109"/>
      <c r="E77" s="110"/>
      <c r="F77" s="237"/>
      <c r="G77" s="477" t="s">
        <v>98</v>
      </c>
      <c r="H77" s="312">
        <v>160</v>
      </c>
      <c r="I77" s="109"/>
      <c r="J77" s="109"/>
      <c r="K77" s="110"/>
      <c r="L77" s="237"/>
      <c r="M77" s="477" t="s">
        <v>98</v>
      </c>
      <c r="N77" s="312">
        <v>160</v>
      </c>
      <c r="O77" s="109"/>
      <c r="P77" s="109"/>
      <c r="Q77" s="110"/>
      <c r="R77" s="237"/>
      <c r="S77" s="237"/>
      <c r="T77" s="237"/>
      <c r="U77" s="237"/>
      <c r="V77" s="237"/>
      <c r="W77" s="237"/>
      <c r="X77" s="237"/>
      <c r="Y77" s="237"/>
      <c r="Z77" s="237"/>
    </row>
    <row r="78" ht="18.75" customHeight="1" spans="1:26">
      <c r="A78" s="462" t="s">
        <v>99</v>
      </c>
      <c r="B78" s="293">
        <v>5</v>
      </c>
      <c r="C78" s="109"/>
      <c r="D78" s="109"/>
      <c r="E78" s="110"/>
      <c r="F78" s="237"/>
      <c r="G78" s="462" t="s">
        <v>99</v>
      </c>
      <c r="H78" s="293">
        <v>4.5</v>
      </c>
      <c r="I78" s="109"/>
      <c r="J78" s="109"/>
      <c r="K78" s="110"/>
      <c r="L78" s="237"/>
      <c r="M78" s="462" t="s">
        <v>99</v>
      </c>
      <c r="N78" s="293">
        <v>4.5</v>
      </c>
      <c r="O78" s="109"/>
      <c r="P78" s="109"/>
      <c r="Q78" s="110"/>
      <c r="R78" s="237"/>
      <c r="S78" s="237"/>
      <c r="T78" s="237"/>
      <c r="U78" s="237"/>
      <c r="V78" s="237"/>
      <c r="W78" s="237"/>
      <c r="X78" s="237"/>
      <c r="Y78" s="237"/>
      <c r="Z78" s="237"/>
    </row>
    <row r="79" ht="18.75" customHeight="1" spans="1:26">
      <c r="A79" s="169" t="s">
        <v>100</v>
      </c>
      <c r="B79" s="281">
        <f>B78*H29</f>
        <v>60</v>
      </c>
      <c r="C79" s="109"/>
      <c r="D79" s="368">
        <f>B79+B77</f>
        <v>260</v>
      </c>
      <c r="E79" s="481">
        <f>D79+D85+D86</f>
        <v>660</v>
      </c>
      <c r="F79" s="237"/>
      <c r="G79" s="169" t="s">
        <v>100</v>
      </c>
      <c r="H79" s="281">
        <f>H78*H29</f>
        <v>54</v>
      </c>
      <c r="I79" s="109"/>
      <c r="J79" s="368">
        <f>H79+H77</f>
        <v>214</v>
      </c>
      <c r="K79" s="110"/>
      <c r="L79" s="237"/>
      <c r="M79" s="169" t="s">
        <v>100</v>
      </c>
      <c r="N79" s="281">
        <f>N78*H29</f>
        <v>54</v>
      </c>
      <c r="O79" s="109"/>
      <c r="P79" s="368">
        <f>N79+N77</f>
        <v>214</v>
      </c>
      <c r="Q79" s="110"/>
      <c r="R79" s="237"/>
      <c r="S79" s="237"/>
      <c r="T79" s="237"/>
      <c r="U79" s="237"/>
      <c r="V79" s="237"/>
      <c r="W79" s="237"/>
      <c r="X79" s="237"/>
      <c r="Y79" s="237"/>
      <c r="Z79" s="237"/>
    </row>
    <row r="80" ht="18.75" customHeight="1" spans="1:26">
      <c r="A80" s="477" t="s">
        <v>279</v>
      </c>
      <c r="B80" s="312">
        <v>0</v>
      </c>
      <c r="C80" s="109"/>
      <c r="D80" s="109"/>
      <c r="E80" s="481">
        <f>E79+D82</f>
        <v>660</v>
      </c>
      <c r="F80" s="237"/>
      <c r="G80" s="477" t="s">
        <v>279</v>
      </c>
      <c r="H80" s="312">
        <v>150</v>
      </c>
      <c r="I80" s="109"/>
      <c r="J80" s="109"/>
      <c r="K80" s="110"/>
      <c r="L80" s="237"/>
      <c r="M80" s="493" t="s">
        <v>279</v>
      </c>
      <c r="N80" s="494">
        <v>0</v>
      </c>
      <c r="O80" s="109"/>
      <c r="P80" s="109"/>
      <c r="Q80" s="110"/>
      <c r="R80" s="237"/>
      <c r="S80" s="237"/>
      <c r="T80" s="237"/>
      <c r="U80" s="237"/>
      <c r="V80" s="237"/>
      <c r="W80" s="237"/>
      <c r="X80" s="237"/>
      <c r="Y80" s="237"/>
      <c r="Z80" s="237"/>
    </row>
    <row r="81" ht="18.75" customHeight="1" spans="1:26">
      <c r="A81" s="462" t="s">
        <v>280</v>
      </c>
      <c r="B81" s="293">
        <v>0</v>
      </c>
      <c r="C81" s="109"/>
      <c r="D81" s="109"/>
      <c r="E81" s="110">
        <f>E80/12</f>
        <v>55</v>
      </c>
      <c r="F81" s="237"/>
      <c r="G81" s="462" t="s">
        <v>280</v>
      </c>
      <c r="H81" s="293">
        <f>IF(G18&gt;40000,325,0)</f>
        <v>0</v>
      </c>
      <c r="I81" s="109"/>
      <c r="J81" s="109"/>
      <c r="K81" s="110"/>
      <c r="L81" s="237"/>
      <c r="M81" s="495" t="s">
        <v>280</v>
      </c>
      <c r="N81" s="496">
        <v>0</v>
      </c>
      <c r="O81" s="109"/>
      <c r="P81" s="109"/>
      <c r="Q81" s="110"/>
      <c r="R81" s="237"/>
      <c r="S81" s="237"/>
      <c r="T81" s="237"/>
      <c r="U81" s="237"/>
      <c r="V81" s="237"/>
      <c r="W81" s="237"/>
      <c r="X81" s="237"/>
      <c r="Y81" s="237"/>
      <c r="Z81" s="237"/>
    </row>
    <row r="82" ht="18.75" customHeight="1" spans="1:26">
      <c r="A82" s="169" t="s">
        <v>281</v>
      </c>
      <c r="B82" s="281">
        <f>((B80+B81)/12)*(H29-11)</f>
        <v>0</v>
      </c>
      <c r="C82" s="109"/>
      <c r="D82" s="368">
        <f>IF(A50="YES",0,B82)</f>
        <v>0</v>
      </c>
      <c r="E82" s="110"/>
      <c r="F82" s="237"/>
      <c r="G82" s="169" t="s">
        <v>281</v>
      </c>
      <c r="H82" s="281">
        <f>((H80+H81)/12)*(H29-11)</f>
        <v>12.5</v>
      </c>
      <c r="I82" s="109"/>
      <c r="J82" s="368">
        <f>IF(A50="YES",0,H82)</f>
        <v>12.5</v>
      </c>
      <c r="K82" s="110"/>
      <c r="L82" s="237"/>
      <c r="M82" s="497" t="s">
        <v>281</v>
      </c>
      <c r="N82" s="498">
        <f>((N80+N81)/12)*(H29-11)</f>
        <v>0</v>
      </c>
      <c r="O82" s="109"/>
      <c r="P82" s="368">
        <f>IF(A50="YES",0,N82)</f>
        <v>0</v>
      </c>
      <c r="Q82" s="110"/>
      <c r="R82" s="237"/>
      <c r="S82" s="237"/>
      <c r="T82" s="237"/>
      <c r="U82" s="237"/>
      <c r="V82" s="237"/>
      <c r="W82" s="237"/>
      <c r="X82" s="237"/>
      <c r="Y82" s="237"/>
      <c r="Z82" s="237"/>
    </row>
    <row r="83" ht="18.75" customHeight="1" spans="1:26">
      <c r="A83" s="477" t="s">
        <v>282</v>
      </c>
      <c r="B83" s="312">
        <f>B108/(1-0.1)</f>
        <v>444.444444444444</v>
      </c>
      <c r="C83" s="109"/>
      <c r="D83" s="368">
        <f>B83</f>
        <v>444.444444444444</v>
      </c>
      <c r="E83" s="110">
        <f>D83/12</f>
        <v>37.037037037037</v>
      </c>
      <c r="F83" s="237"/>
      <c r="G83" s="477" t="s">
        <v>282</v>
      </c>
      <c r="H83" s="312">
        <f>H108</f>
        <v>1200</v>
      </c>
      <c r="I83" s="109"/>
      <c r="J83" s="368">
        <f>H83</f>
        <v>1200</v>
      </c>
      <c r="K83" s="110"/>
      <c r="L83" s="237"/>
      <c r="M83" s="477" t="s">
        <v>282</v>
      </c>
      <c r="N83" s="312">
        <f>N108</f>
        <v>1200</v>
      </c>
      <c r="O83" s="109"/>
      <c r="P83" s="368">
        <f>N83</f>
        <v>1200</v>
      </c>
      <c r="Q83" s="110"/>
      <c r="R83" s="237"/>
      <c r="S83" s="237"/>
      <c r="T83" s="237"/>
      <c r="U83" s="237"/>
      <c r="V83" s="237"/>
      <c r="W83" s="237"/>
      <c r="X83" s="237"/>
      <c r="Y83" s="237"/>
      <c r="Z83" s="237"/>
    </row>
    <row r="84" ht="18.75" customHeight="1" spans="1:26">
      <c r="A84" s="108" t="s">
        <v>340</v>
      </c>
      <c r="B84" s="180">
        <f>D108/(1-0.1)</f>
        <v>222.222222222222</v>
      </c>
      <c r="C84" s="109"/>
      <c r="D84" s="368">
        <f>B84</f>
        <v>222.222222222222</v>
      </c>
      <c r="E84" s="110"/>
      <c r="F84" s="237"/>
      <c r="G84" s="108" t="s">
        <v>283</v>
      </c>
      <c r="H84" s="180">
        <f>J108</f>
        <v>1500</v>
      </c>
      <c r="I84" s="109"/>
      <c r="J84" s="368">
        <f>H84</f>
        <v>1500</v>
      </c>
      <c r="K84" s="110"/>
      <c r="L84" s="237"/>
      <c r="M84" s="108" t="s">
        <v>283</v>
      </c>
      <c r="N84" s="180">
        <f>P108</f>
        <v>1500</v>
      </c>
      <c r="O84" s="109"/>
      <c r="P84" s="368">
        <f>N84</f>
        <v>1500</v>
      </c>
      <c r="Q84" s="110"/>
      <c r="R84" s="237"/>
      <c r="S84" s="237"/>
      <c r="T84" s="237"/>
      <c r="U84" s="237"/>
      <c r="V84" s="237"/>
      <c r="W84" s="237"/>
      <c r="X84" s="237"/>
      <c r="Y84" s="237"/>
      <c r="Z84" s="237"/>
    </row>
    <row r="85" ht="18.75" customHeight="1" spans="1:26">
      <c r="A85" s="462" t="s">
        <v>101</v>
      </c>
      <c r="B85" s="293">
        <v>200</v>
      </c>
      <c r="C85" s="109"/>
      <c r="D85" s="368">
        <f>B85</f>
        <v>200</v>
      </c>
      <c r="E85" s="110"/>
      <c r="F85" s="237"/>
      <c r="G85" s="462" t="s">
        <v>101</v>
      </c>
      <c r="H85" s="293">
        <v>100</v>
      </c>
      <c r="I85" s="109"/>
      <c r="J85" s="368">
        <f>H85</f>
        <v>100</v>
      </c>
      <c r="K85" s="110"/>
      <c r="L85" s="237"/>
      <c r="M85" s="462" t="s">
        <v>101</v>
      </c>
      <c r="N85" s="293">
        <v>100</v>
      </c>
      <c r="O85" s="109"/>
      <c r="P85" s="368">
        <f>N85</f>
        <v>100</v>
      </c>
      <c r="Q85" s="110"/>
      <c r="R85" s="237"/>
      <c r="S85" s="237"/>
      <c r="T85" s="237"/>
      <c r="U85" s="237"/>
      <c r="V85" s="237"/>
      <c r="W85" s="237"/>
      <c r="X85" s="237"/>
      <c r="Y85" s="237"/>
      <c r="Z85" s="237"/>
    </row>
    <row r="86" ht="18.75" customHeight="1" spans="1:26">
      <c r="A86" s="482" t="s">
        <v>102</v>
      </c>
      <c r="B86" s="313">
        <v>200</v>
      </c>
      <c r="C86" s="109"/>
      <c r="D86" s="368">
        <f>B86</f>
        <v>200</v>
      </c>
      <c r="E86" s="110"/>
      <c r="F86" s="237"/>
      <c r="G86" s="482" t="s">
        <v>102</v>
      </c>
      <c r="H86" s="313">
        <v>100</v>
      </c>
      <c r="I86" s="109"/>
      <c r="J86" s="368">
        <f>H86</f>
        <v>100</v>
      </c>
      <c r="K86" s="110"/>
      <c r="L86" s="237"/>
      <c r="M86" s="482" t="s">
        <v>102</v>
      </c>
      <c r="N86" s="313">
        <v>100</v>
      </c>
      <c r="O86" s="109"/>
      <c r="P86" s="368">
        <f>N86</f>
        <v>100</v>
      </c>
      <c r="Q86" s="110"/>
      <c r="R86" s="237"/>
      <c r="S86" s="237"/>
      <c r="T86" s="237"/>
      <c r="U86" s="237"/>
      <c r="V86" s="237"/>
      <c r="W86" s="237"/>
      <c r="X86" s="237"/>
      <c r="Y86" s="237"/>
      <c r="Z86" s="237"/>
    </row>
    <row r="87" ht="18.75" customHeight="1" spans="1:26">
      <c r="A87" s="483" t="s">
        <v>103</v>
      </c>
      <c r="B87" s="484">
        <f>SUM(D70:D86)</f>
        <v>2791.62666666667</v>
      </c>
      <c r="C87" s="109"/>
      <c r="D87" s="109"/>
      <c r="E87" s="110"/>
      <c r="F87" s="237"/>
      <c r="G87" s="483" t="s">
        <v>103</v>
      </c>
      <c r="H87" s="484">
        <f>SUM(J70:J86)</f>
        <v>4591.46</v>
      </c>
      <c r="I87" s="109"/>
      <c r="J87" s="109"/>
      <c r="K87" s="110"/>
      <c r="L87" s="237"/>
      <c r="M87" s="483" t="s">
        <v>103</v>
      </c>
      <c r="N87" s="484">
        <f>SUM(P70:P86)</f>
        <v>4578.96</v>
      </c>
      <c r="O87" s="109"/>
      <c r="P87" s="109"/>
      <c r="Q87" s="110"/>
      <c r="R87" s="237"/>
      <c r="S87" s="237"/>
      <c r="T87" s="237"/>
      <c r="U87" s="237"/>
      <c r="V87" s="237"/>
      <c r="W87" s="237"/>
      <c r="X87" s="237"/>
      <c r="Y87" s="237"/>
      <c r="Z87" s="237"/>
    </row>
    <row r="88" ht="18.75" customHeight="1" spans="1:26">
      <c r="A88" s="108" t="s">
        <v>104</v>
      </c>
      <c r="B88" s="180">
        <f>B87/H29</f>
        <v>232.635555555556</v>
      </c>
      <c r="C88" s="109"/>
      <c r="D88" s="109"/>
      <c r="E88" s="110"/>
      <c r="F88" s="237"/>
      <c r="G88" s="108" t="s">
        <v>104</v>
      </c>
      <c r="H88" s="180">
        <f>H87/H29</f>
        <v>382.621666666667</v>
      </c>
      <c r="I88" s="109"/>
      <c r="J88" s="109"/>
      <c r="K88" s="110"/>
      <c r="L88" s="237"/>
      <c r="M88" s="108" t="s">
        <v>104</v>
      </c>
      <c r="N88" s="180">
        <f>N87/H29</f>
        <v>381.58</v>
      </c>
      <c r="O88" s="109"/>
      <c r="P88" s="109"/>
      <c r="Q88" s="110"/>
      <c r="R88" s="237"/>
      <c r="S88" s="237"/>
      <c r="T88" s="237"/>
      <c r="U88" s="237"/>
      <c r="V88" s="237"/>
      <c r="W88" s="237"/>
      <c r="X88" s="237"/>
      <c r="Y88" s="237"/>
      <c r="Z88" s="237"/>
    </row>
    <row r="89" ht="18.75" customHeight="1" spans="1:26">
      <c r="A89" s="485" t="s">
        <v>105</v>
      </c>
      <c r="B89" s="278">
        <f>H50</f>
        <v>295.333333333333</v>
      </c>
      <c r="C89" s="109"/>
      <c r="D89" s="109"/>
      <c r="E89" s="110"/>
      <c r="F89" s="237"/>
      <c r="G89" s="485" t="s">
        <v>105</v>
      </c>
      <c r="H89" s="278">
        <f>H46</f>
        <v>0</v>
      </c>
      <c r="I89" s="109"/>
      <c r="J89" s="109"/>
      <c r="K89" s="110"/>
      <c r="L89" s="237"/>
      <c r="M89" s="485" t="s">
        <v>105</v>
      </c>
      <c r="N89" s="278">
        <f>H46</f>
        <v>0</v>
      </c>
      <c r="O89" s="109"/>
      <c r="P89" s="109"/>
      <c r="Q89" s="110"/>
      <c r="R89" s="237"/>
      <c r="S89" s="237"/>
      <c r="T89" s="237"/>
      <c r="U89" s="237"/>
      <c r="V89" s="237"/>
      <c r="W89" s="237"/>
      <c r="X89" s="237"/>
      <c r="Y89" s="237"/>
      <c r="Z89" s="237"/>
    </row>
    <row r="90" ht="18.75" customHeight="1" spans="1:26">
      <c r="A90" s="108"/>
      <c r="B90" s="368"/>
      <c r="C90" s="109"/>
      <c r="D90" s="109"/>
      <c r="E90" s="110"/>
      <c r="F90" s="237"/>
      <c r="G90" s="108"/>
      <c r="H90" s="368"/>
      <c r="I90" s="109"/>
      <c r="J90" s="109"/>
      <c r="K90" s="110"/>
      <c r="L90" s="237"/>
      <c r="M90" s="108"/>
      <c r="N90" s="368"/>
      <c r="O90" s="109"/>
      <c r="P90" s="109"/>
      <c r="Q90" s="110"/>
      <c r="R90" s="237"/>
      <c r="S90" s="237"/>
      <c r="T90" s="237"/>
      <c r="U90" s="237"/>
      <c r="V90" s="237"/>
      <c r="W90" s="237"/>
      <c r="X90" s="237"/>
      <c r="Y90" s="237"/>
      <c r="Z90" s="237"/>
    </row>
    <row r="91" ht="18.75" customHeight="1" spans="1:26">
      <c r="A91" s="474" t="s">
        <v>115</v>
      </c>
      <c r="B91" s="266">
        <f>((B89*H29)+B87)</f>
        <v>6335.62666666667</v>
      </c>
      <c r="C91" s="109"/>
      <c r="D91" s="109"/>
      <c r="E91" s="110"/>
      <c r="F91" s="237"/>
      <c r="G91" s="474" t="s">
        <v>115</v>
      </c>
      <c r="H91" s="266">
        <f>((H89*H29)+H87)*1.2</f>
        <v>5509.752</v>
      </c>
      <c r="I91" s="109"/>
      <c r="J91" s="109"/>
      <c r="K91" s="110"/>
      <c r="L91" s="237"/>
      <c r="M91" s="474" t="s">
        <v>115</v>
      </c>
      <c r="N91" s="266">
        <f>((N89*H29)+N87)</f>
        <v>4578.96</v>
      </c>
      <c r="O91" s="109"/>
      <c r="P91" s="109"/>
      <c r="Q91" s="110"/>
      <c r="R91" s="237"/>
      <c r="S91" s="237"/>
      <c r="T91" s="237"/>
      <c r="U91" s="237"/>
      <c r="V91" s="237"/>
      <c r="W91" s="237"/>
      <c r="X91" s="237"/>
      <c r="Y91" s="237"/>
      <c r="Z91" s="237"/>
    </row>
    <row r="92" ht="18.75" customHeight="1" spans="1:26">
      <c r="A92" s="108" t="s">
        <v>116</v>
      </c>
      <c r="B92" s="180">
        <f>(((B89*H29)+B87)/(1-B76))*B76</f>
        <v>53.6700927793465</v>
      </c>
      <c r="C92" s="109"/>
      <c r="D92" s="109"/>
      <c r="E92" s="486"/>
      <c r="F92" s="237"/>
      <c r="G92" s="108" t="s">
        <v>116</v>
      </c>
      <c r="H92" s="180">
        <f>(((H89*H29)+H87)/(1-H76))*H76</f>
        <v>38.8949818475192</v>
      </c>
      <c r="I92" s="109"/>
      <c r="J92" s="109"/>
      <c r="K92" s="110"/>
      <c r="L92" s="237"/>
      <c r="M92" s="108" t="s">
        <v>116</v>
      </c>
      <c r="N92" s="180">
        <f>(N91/(1-N76))*N76</f>
        <v>38.789092375958</v>
      </c>
      <c r="O92" s="109"/>
      <c r="P92" s="109"/>
      <c r="Q92" s="110"/>
      <c r="R92" s="237"/>
      <c r="S92" s="237"/>
      <c r="T92" s="237"/>
      <c r="U92" s="237"/>
      <c r="V92" s="237"/>
      <c r="W92" s="237"/>
      <c r="X92" s="237"/>
      <c r="Y92" s="237"/>
      <c r="Z92" s="237"/>
    </row>
    <row r="93" ht="18.75" customHeight="1" spans="1:26">
      <c r="A93" s="169" t="s">
        <v>117</v>
      </c>
      <c r="B93" s="281">
        <f>IF(B116="YES",((B91+B92)-E120),(B91+B92))</f>
        <v>6389.29675944601</v>
      </c>
      <c r="C93" s="109"/>
      <c r="D93" s="109"/>
      <c r="E93" s="110"/>
      <c r="F93" s="237"/>
      <c r="G93" s="169" t="s">
        <v>117</v>
      </c>
      <c r="H93" s="281">
        <f>IF(H116="YES",((H91+H92)-K120),(H91+H92))</f>
        <v>7548.64698184752</v>
      </c>
      <c r="I93" s="109"/>
      <c r="J93" s="109"/>
      <c r="K93" s="110"/>
      <c r="L93" s="237"/>
      <c r="M93" s="169" t="s">
        <v>117</v>
      </c>
      <c r="N93" s="281">
        <f>IF(N116="YES",((N91+N92)-K120),(N91+N92))</f>
        <v>6617.74909237596</v>
      </c>
      <c r="O93" s="109"/>
      <c r="P93" s="109"/>
      <c r="Q93" s="110"/>
      <c r="R93" s="237"/>
      <c r="S93" s="237"/>
      <c r="T93" s="237"/>
      <c r="U93" s="237"/>
      <c r="V93" s="237"/>
      <c r="W93" s="237"/>
      <c r="X93" s="237"/>
      <c r="Y93" s="237"/>
      <c r="Z93" s="237"/>
    </row>
    <row r="94" ht="18.75" customHeight="1" spans="1:26">
      <c r="A94" s="108"/>
      <c r="B94" s="368"/>
      <c r="C94" s="109"/>
      <c r="D94" s="109"/>
      <c r="E94" s="110"/>
      <c r="F94" s="237"/>
      <c r="G94" s="108"/>
      <c r="H94" s="368"/>
      <c r="I94" s="109"/>
      <c r="J94" s="109"/>
      <c r="K94" s="110"/>
      <c r="L94" s="237"/>
      <c r="M94" s="108"/>
      <c r="N94" s="368"/>
      <c r="O94" s="109"/>
      <c r="P94" s="109"/>
      <c r="Q94" s="110"/>
      <c r="R94" s="237"/>
      <c r="S94" s="237"/>
      <c r="T94" s="237"/>
      <c r="U94" s="237"/>
      <c r="V94" s="237"/>
      <c r="W94" s="237"/>
      <c r="X94" s="237"/>
      <c r="Y94" s="237"/>
      <c r="Z94" s="237"/>
    </row>
    <row r="95" ht="18.75" customHeight="1" spans="1:26">
      <c r="A95" s="483" t="s">
        <v>118</v>
      </c>
      <c r="B95" s="484">
        <f>IF(B105=Z104,(((H41*A32)+(H41*A32)*(B111/100))/(B64)),(((H41*A32)+(H41*A32)*(B111/100))/(B63+B64)))</f>
        <v>65</v>
      </c>
      <c r="C95" s="109"/>
      <c r="D95" s="109"/>
      <c r="E95" s="110"/>
      <c r="F95" s="237"/>
      <c r="G95" s="483" t="s">
        <v>118</v>
      </c>
      <c r="H95" s="484" t="e">
        <f>(((H44*B35)+((H44*B35)*H111))/(H63+H64))*1.2</f>
        <v>#DIV/0!</v>
      </c>
      <c r="I95" s="109"/>
      <c r="J95" s="109"/>
      <c r="K95" s="110"/>
      <c r="L95" s="237"/>
      <c r="M95" s="483" t="s">
        <v>118</v>
      </c>
      <c r="N95" s="484" t="e">
        <f>((H44*B35)+((H44*B35)*N111))/(N63+N64)</f>
        <v>#DIV/0!</v>
      </c>
      <c r="O95" s="109"/>
      <c r="P95" s="109"/>
      <c r="Q95" s="110"/>
      <c r="R95" s="237"/>
      <c r="S95" s="237"/>
      <c r="T95" s="237"/>
      <c r="U95" s="237"/>
      <c r="V95" s="237"/>
      <c r="W95" s="237"/>
      <c r="X95" s="237"/>
      <c r="Y95" s="237"/>
      <c r="Z95" s="237"/>
    </row>
    <row r="96" ht="18.75" customHeight="1" spans="1:26">
      <c r="A96" s="487" t="s">
        <v>119</v>
      </c>
      <c r="B96" s="488">
        <f>IF(B105=Z104,(B93-D111)/(B64),B93/(B63+B64))</f>
        <v>532.441396620501</v>
      </c>
      <c r="C96" s="109" t="s">
        <v>4</v>
      </c>
      <c r="D96" s="109"/>
      <c r="E96" s="110"/>
      <c r="F96" s="237"/>
      <c r="G96" s="487" t="s">
        <v>119</v>
      </c>
      <c r="H96" s="488" t="e">
        <f>IF(H105=Y104,(H93-J111)/(H64),H93/(H63+H64))</f>
        <v>#DIV/0!</v>
      </c>
      <c r="I96" s="109"/>
      <c r="J96" s="109"/>
      <c r="K96" s="110"/>
      <c r="L96" s="237"/>
      <c r="M96" s="487" t="s">
        <v>119</v>
      </c>
      <c r="N96" s="488" t="e">
        <f>IF(N105=Y104,(N93-P111)/(N64),N93/(N63+N64))</f>
        <v>#DIV/0!</v>
      </c>
      <c r="O96" s="109"/>
      <c r="P96" s="109"/>
      <c r="Q96" s="110"/>
      <c r="R96" s="237"/>
      <c r="S96" s="237"/>
      <c r="T96" s="237"/>
      <c r="U96" s="237"/>
      <c r="V96" s="237"/>
      <c r="W96" s="237"/>
      <c r="X96" s="237"/>
      <c r="Y96" s="237"/>
      <c r="Z96" s="237"/>
    </row>
    <row r="97" ht="18.75" customHeight="1" spans="1:26">
      <c r="A97" s="489" t="s">
        <v>120</v>
      </c>
      <c r="B97" s="490">
        <f>IF(A111="YES",B96+B95,B96)</f>
        <v>597.441396620501</v>
      </c>
      <c r="C97" s="109"/>
      <c r="D97" s="491"/>
      <c r="E97" s="110"/>
      <c r="F97" s="237"/>
      <c r="G97" s="489" t="s">
        <v>120</v>
      </c>
      <c r="H97" s="490" t="e">
        <f>IF(G111="YES",H96+H95,H96)</f>
        <v>#DIV/0!</v>
      </c>
      <c r="I97" s="109"/>
      <c r="J97" s="109"/>
      <c r="K97" s="110"/>
      <c r="L97" s="237"/>
      <c r="M97" s="489" t="s">
        <v>120</v>
      </c>
      <c r="N97" s="490" t="e">
        <f>IF(M111="YES",N96+N95,N96)</f>
        <v>#DIV/0!</v>
      </c>
      <c r="O97" s="109"/>
      <c r="P97" s="109"/>
      <c r="Q97" s="110"/>
      <c r="R97" s="237"/>
      <c r="S97" s="237"/>
      <c r="T97" s="237"/>
      <c r="U97" s="237"/>
      <c r="V97" s="237"/>
      <c r="W97" s="237"/>
      <c r="X97" s="237"/>
      <c r="Y97" s="237"/>
      <c r="Z97" s="237"/>
    </row>
    <row r="98" ht="18.75" customHeight="1" spans="1:26">
      <c r="A98" s="169"/>
      <c r="B98" s="170"/>
      <c r="C98" s="170"/>
      <c r="D98" s="170"/>
      <c r="E98" s="171"/>
      <c r="F98" s="237"/>
      <c r="G98" s="169"/>
      <c r="H98" s="170"/>
      <c r="I98" s="170"/>
      <c r="J98" s="170"/>
      <c r="K98" s="171"/>
      <c r="L98" s="237"/>
      <c r="M98" s="169"/>
      <c r="N98" s="170"/>
      <c r="O98" s="170"/>
      <c r="P98" s="170"/>
      <c r="Q98" s="171"/>
      <c r="R98" s="237"/>
      <c r="S98" s="237"/>
      <c r="T98" s="237"/>
      <c r="U98" s="237"/>
      <c r="V98" s="237"/>
      <c r="W98" s="237"/>
      <c r="X98" s="237"/>
      <c r="Y98" s="237"/>
      <c r="Z98" s="237"/>
    </row>
    <row r="99" ht="18.75" customHeight="1" spans="1:26">
      <c r="A99" s="109"/>
      <c r="B99" s="109"/>
      <c r="C99" s="109"/>
      <c r="D99" s="109"/>
      <c r="E99" s="109"/>
      <c r="F99" s="237"/>
      <c r="G99" s="109"/>
      <c r="H99" s="109"/>
      <c r="I99" s="109"/>
      <c r="J99" s="109"/>
      <c r="K99" s="109"/>
      <c r="L99" s="237"/>
      <c r="M99" s="109"/>
      <c r="N99" s="109"/>
      <c r="O99" s="109"/>
      <c r="P99" s="109"/>
      <c r="Q99" s="109"/>
      <c r="R99" s="237"/>
      <c r="S99" s="237"/>
      <c r="T99" s="237"/>
      <c r="U99" s="237"/>
      <c r="V99" s="237"/>
      <c r="W99" s="237"/>
      <c r="X99" s="237"/>
      <c r="Y99" s="237"/>
      <c r="Z99" s="237"/>
    </row>
    <row r="100" ht="48.75" customHeight="1" spans="1:26">
      <c r="A100" s="26" t="s">
        <v>332</v>
      </c>
      <c r="B100" s="26"/>
      <c r="C100" s="26"/>
      <c r="D100" s="26"/>
      <c r="E100" s="26"/>
      <c r="F100" s="237"/>
      <c r="G100" s="26" t="s">
        <v>284</v>
      </c>
      <c r="H100" s="26"/>
      <c r="I100" s="26"/>
      <c r="J100" s="26"/>
      <c r="K100" s="26"/>
      <c r="L100" s="237"/>
      <c r="M100" s="26" t="s">
        <v>341</v>
      </c>
      <c r="N100" s="26"/>
      <c r="O100" s="26"/>
      <c r="P100" s="26"/>
      <c r="Q100" s="26"/>
      <c r="R100" s="237"/>
      <c r="S100" s="237"/>
      <c r="T100" s="237"/>
      <c r="U100" s="237"/>
      <c r="V100" s="237"/>
      <c r="W100" s="237"/>
      <c r="X100" s="237"/>
      <c r="Y100" s="237"/>
      <c r="Z100" s="237"/>
    </row>
    <row r="101" ht="18.75" customHeight="1" spans="1:26">
      <c r="A101" s="108"/>
      <c r="B101" s="109"/>
      <c r="C101" s="109"/>
      <c r="D101" s="109"/>
      <c r="E101" s="110"/>
      <c r="F101" s="237"/>
      <c r="G101" s="108"/>
      <c r="H101" s="109"/>
      <c r="I101" s="109"/>
      <c r="J101" s="109"/>
      <c r="K101" s="110"/>
      <c r="L101" s="237"/>
      <c r="M101" s="108"/>
      <c r="N101" s="109"/>
      <c r="O101" s="109"/>
      <c r="P101" s="109"/>
      <c r="Q101" s="110"/>
      <c r="R101" s="237"/>
      <c r="S101" s="237"/>
      <c r="T101" s="237"/>
      <c r="U101" s="237"/>
      <c r="V101" s="237"/>
      <c r="W101" s="237"/>
      <c r="X101" s="237"/>
      <c r="Y101" s="237"/>
      <c r="Z101" s="237"/>
    </row>
    <row r="102" ht="18.75" customHeight="1" spans="1:26">
      <c r="A102" s="27" t="s">
        <v>126</v>
      </c>
      <c r="B102" s="27"/>
      <c r="C102" s="27"/>
      <c r="D102" s="27"/>
      <c r="E102" s="27"/>
      <c r="F102" s="237"/>
      <c r="G102" s="27" t="s">
        <v>126</v>
      </c>
      <c r="H102" s="27"/>
      <c r="I102" s="27"/>
      <c r="J102" s="27"/>
      <c r="K102" s="27"/>
      <c r="L102" s="237"/>
      <c r="M102" s="27" t="s">
        <v>126</v>
      </c>
      <c r="N102" s="27"/>
      <c r="O102" s="27"/>
      <c r="P102" s="27"/>
      <c r="Q102" s="27"/>
      <c r="R102" s="237"/>
      <c r="S102" s="237"/>
      <c r="T102" s="237"/>
      <c r="U102" s="237"/>
      <c r="V102" s="237"/>
      <c r="W102" s="237"/>
      <c r="X102" s="237"/>
      <c r="Y102" s="237"/>
      <c r="Z102" s="237"/>
    </row>
    <row r="103" ht="18.75" customHeight="1" spans="1:26">
      <c r="A103" s="108"/>
      <c r="B103" s="109"/>
      <c r="C103" s="109"/>
      <c r="D103" s="109"/>
      <c r="E103" s="110"/>
      <c r="F103" s="237"/>
      <c r="G103" s="108"/>
      <c r="H103" s="109"/>
      <c r="I103" s="109"/>
      <c r="J103" s="109"/>
      <c r="K103" s="110"/>
      <c r="L103" s="237"/>
      <c r="M103" s="108"/>
      <c r="N103" s="109"/>
      <c r="O103" s="109"/>
      <c r="P103" s="109"/>
      <c r="Q103" s="110"/>
      <c r="R103" s="237"/>
      <c r="S103" s="237"/>
      <c r="T103" s="237"/>
      <c r="U103" s="237"/>
      <c r="V103" s="237"/>
      <c r="W103" s="237"/>
      <c r="X103" s="237"/>
      <c r="Y103" s="237"/>
      <c r="Z103" s="237" t="s">
        <v>130</v>
      </c>
    </row>
    <row r="104" ht="18.75" customHeight="1" spans="1:26">
      <c r="A104" s="108" t="s">
        <v>127</v>
      </c>
      <c r="B104" s="109" t="s">
        <v>23</v>
      </c>
      <c r="C104" s="109"/>
      <c r="D104" s="109" t="s">
        <v>285</v>
      </c>
      <c r="E104" s="110"/>
      <c r="F104" s="237"/>
      <c r="G104" s="108" t="s">
        <v>127</v>
      </c>
      <c r="H104" s="109" t="s">
        <v>23</v>
      </c>
      <c r="I104" s="109"/>
      <c r="J104" s="109" t="s">
        <v>285</v>
      </c>
      <c r="K104" s="110"/>
      <c r="L104" s="237"/>
      <c r="M104" s="108" t="s">
        <v>127</v>
      </c>
      <c r="N104" s="109" t="s">
        <v>23</v>
      </c>
      <c r="O104" s="109"/>
      <c r="P104" s="109" t="s">
        <v>285</v>
      </c>
      <c r="Q104" s="110"/>
      <c r="R104" s="237"/>
      <c r="S104" s="237"/>
      <c r="T104" s="237"/>
      <c r="U104" s="237"/>
      <c r="V104" s="237"/>
      <c r="W104" s="237"/>
      <c r="X104" s="237"/>
      <c r="Y104" s="237"/>
      <c r="Z104" s="237" t="s">
        <v>263</v>
      </c>
    </row>
    <row r="105" ht="18.75" customHeight="1" spans="1:26">
      <c r="A105" s="176"/>
      <c r="B105" s="101" t="s">
        <v>130</v>
      </c>
      <c r="C105" s="101"/>
      <c r="D105" s="197">
        <v>1000</v>
      </c>
      <c r="E105" s="197"/>
      <c r="F105" s="237"/>
      <c r="G105" s="176" t="s">
        <v>286</v>
      </c>
      <c r="H105" s="101" t="s">
        <v>268</v>
      </c>
      <c r="I105" s="101"/>
      <c r="J105" s="197">
        <v>5000</v>
      </c>
      <c r="K105" s="197"/>
      <c r="L105" s="237"/>
      <c r="M105" s="176" t="s">
        <v>286</v>
      </c>
      <c r="N105" s="101" t="s">
        <v>267</v>
      </c>
      <c r="O105" s="101"/>
      <c r="P105" s="197">
        <v>0</v>
      </c>
      <c r="Q105" s="197"/>
      <c r="R105" s="237"/>
      <c r="S105" s="237"/>
      <c r="T105" s="237"/>
      <c r="U105" s="237"/>
      <c r="V105" s="237"/>
      <c r="W105" s="237"/>
      <c r="X105" s="237"/>
      <c r="Y105" s="237"/>
      <c r="Z105" s="237" t="s">
        <v>264</v>
      </c>
    </row>
    <row r="106" ht="18.75" customHeight="1" spans="1:26">
      <c r="A106" s="108"/>
      <c r="B106" s="109"/>
      <c r="C106" s="109"/>
      <c r="D106" s="109"/>
      <c r="E106" s="110"/>
      <c r="F106" s="237"/>
      <c r="G106" s="108"/>
      <c r="H106" s="109"/>
      <c r="I106" s="109"/>
      <c r="J106" s="109"/>
      <c r="K106" s="110"/>
      <c r="L106" s="237"/>
      <c r="M106" s="108"/>
      <c r="N106" s="109"/>
      <c r="O106" s="109"/>
      <c r="P106" s="109"/>
      <c r="Q106" s="110"/>
      <c r="R106" s="237"/>
      <c r="S106" s="237"/>
      <c r="T106" s="237"/>
      <c r="U106" s="237"/>
      <c r="V106" s="237"/>
      <c r="W106" s="237"/>
      <c r="X106" s="237"/>
      <c r="Y106" s="237"/>
      <c r="Z106" s="237" t="s">
        <v>265</v>
      </c>
    </row>
    <row r="107" ht="18.75" customHeight="1" spans="1:26">
      <c r="A107" s="108" t="s">
        <v>287</v>
      </c>
      <c r="B107" s="109" t="s">
        <v>288</v>
      </c>
      <c r="C107" s="109"/>
      <c r="D107" s="109" t="s">
        <v>289</v>
      </c>
      <c r="E107" s="110"/>
      <c r="F107" s="237"/>
      <c r="G107" s="108" t="s">
        <v>287</v>
      </c>
      <c r="H107" s="109" t="s">
        <v>288</v>
      </c>
      <c r="I107" s="109"/>
      <c r="J107" s="109" t="s">
        <v>289</v>
      </c>
      <c r="K107" s="110"/>
      <c r="L107" s="237"/>
      <c r="M107" s="108" t="s">
        <v>287</v>
      </c>
      <c r="N107" s="109" t="s">
        <v>288</v>
      </c>
      <c r="O107" s="109"/>
      <c r="P107" s="109" t="s">
        <v>289</v>
      </c>
      <c r="Q107" s="110"/>
      <c r="R107" s="237"/>
      <c r="S107" s="237"/>
      <c r="T107" s="237"/>
      <c r="U107" s="237"/>
      <c r="V107" s="237"/>
      <c r="W107" s="237"/>
      <c r="X107" s="237"/>
      <c r="Y107" s="237"/>
      <c r="Z107" s="237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37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37"/>
      <c r="M108" s="103">
        <v>199.99</v>
      </c>
      <c r="N108" s="102">
        <v>1200</v>
      </c>
      <c r="O108" s="102"/>
      <c r="P108" s="102">
        <v>1500</v>
      </c>
      <c r="Q108" s="102"/>
      <c r="R108" s="237"/>
      <c r="S108" s="237"/>
      <c r="T108" s="237"/>
      <c r="U108" s="237"/>
      <c r="V108" s="237"/>
      <c r="W108" s="237"/>
      <c r="X108" s="237"/>
      <c r="Y108" s="237"/>
      <c r="Z108" s="237" t="s">
        <v>267</v>
      </c>
    </row>
    <row r="109" ht="18.75" customHeight="1" spans="1:26">
      <c r="A109" s="108"/>
      <c r="B109" s="109"/>
      <c r="C109" s="109"/>
      <c r="D109" s="109"/>
      <c r="E109" s="110"/>
      <c r="F109" s="237"/>
      <c r="G109" s="108"/>
      <c r="H109" s="109"/>
      <c r="I109" s="109"/>
      <c r="J109" s="109"/>
      <c r="K109" s="110"/>
      <c r="L109" s="237"/>
      <c r="M109" s="108"/>
      <c r="N109" s="109"/>
      <c r="O109" s="109"/>
      <c r="P109" s="109"/>
      <c r="Q109" s="110"/>
      <c r="R109" s="237"/>
      <c r="S109" s="237"/>
      <c r="T109" s="237"/>
      <c r="U109" s="237"/>
      <c r="V109" s="237"/>
      <c r="W109" s="237"/>
      <c r="X109" s="237"/>
      <c r="Y109" s="237"/>
      <c r="Z109" s="237" t="s">
        <v>268</v>
      </c>
    </row>
    <row r="110" ht="18.75" customHeight="1" spans="1:26">
      <c r="A110" s="176" t="s">
        <v>128</v>
      </c>
      <c r="B110" s="237" t="s">
        <v>131</v>
      </c>
      <c r="C110" s="109"/>
      <c r="D110" s="109" t="s">
        <v>142</v>
      </c>
      <c r="E110" s="110"/>
      <c r="F110" s="237"/>
      <c r="G110" s="176" t="s">
        <v>128</v>
      </c>
      <c r="H110" s="237" t="s">
        <v>131</v>
      </c>
      <c r="I110" s="109"/>
      <c r="J110" s="109" t="s">
        <v>142</v>
      </c>
      <c r="K110" s="110"/>
      <c r="L110" s="237"/>
      <c r="M110" s="176" t="s">
        <v>128</v>
      </c>
      <c r="N110" s="237" t="s">
        <v>131</v>
      </c>
      <c r="O110" s="109"/>
      <c r="P110" s="109" t="s">
        <v>142</v>
      </c>
      <c r="Q110" s="110"/>
      <c r="R110" s="237"/>
      <c r="S110" s="237"/>
      <c r="T110" s="237"/>
      <c r="U110" s="237"/>
      <c r="V110" s="237"/>
      <c r="W110" s="237"/>
      <c r="X110" s="237"/>
      <c r="Y110" s="237"/>
      <c r="Z110" s="237" t="s">
        <v>269</v>
      </c>
    </row>
    <row r="111" ht="18.75" customHeight="1" spans="1:26">
      <c r="A111" s="467" t="s">
        <v>18</v>
      </c>
      <c r="B111" s="101">
        <v>30</v>
      </c>
      <c r="C111" s="101"/>
      <c r="D111" s="102">
        <v>200</v>
      </c>
      <c r="E111" s="102"/>
      <c r="F111" s="237"/>
      <c r="G111" s="467" t="s">
        <v>18</v>
      </c>
      <c r="H111" s="104">
        <v>0.2</v>
      </c>
      <c r="I111" s="104"/>
      <c r="J111" s="102">
        <v>5000</v>
      </c>
      <c r="K111" s="102"/>
      <c r="L111" s="237"/>
      <c r="M111" s="467" t="s">
        <v>18</v>
      </c>
      <c r="N111" s="104">
        <v>0.2</v>
      </c>
      <c r="O111" s="104"/>
      <c r="P111" s="102">
        <v>5000</v>
      </c>
      <c r="Q111" s="102"/>
      <c r="R111" s="237"/>
      <c r="S111" s="237"/>
      <c r="T111" s="237"/>
      <c r="U111" s="237"/>
      <c r="V111" s="237"/>
      <c r="W111" s="237"/>
      <c r="X111" s="237"/>
      <c r="Y111" s="237"/>
      <c r="Z111" s="237" t="s">
        <v>270</v>
      </c>
    </row>
    <row r="112" ht="18.75" customHeight="1" spans="1:26">
      <c r="A112" s="108"/>
      <c r="B112" s="109"/>
      <c r="C112" s="109"/>
      <c r="D112" s="109" t="s">
        <v>4</v>
      </c>
      <c r="E112" s="110"/>
      <c r="F112" s="237"/>
      <c r="G112" s="108"/>
      <c r="H112" s="109"/>
      <c r="I112" s="109"/>
      <c r="J112" s="109"/>
      <c r="K112" s="110"/>
      <c r="L112" s="237"/>
      <c r="M112" s="108"/>
      <c r="N112" s="109"/>
      <c r="O112" s="109"/>
      <c r="P112" s="109"/>
      <c r="Q112" s="110"/>
      <c r="R112" s="237"/>
      <c r="S112" s="237"/>
      <c r="T112" s="237"/>
      <c r="U112" s="237"/>
      <c r="V112" s="237"/>
      <c r="W112" s="237"/>
      <c r="X112" s="237"/>
      <c r="Y112" s="237"/>
      <c r="Z112" s="237"/>
    </row>
    <row r="113" ht="18.75" customHeight="1" spans="1:26">
      <c r="A113" s="108"/>
      <c r="B113" s="109"/>
      <c r="C113" s="109"/>
      <c r="D113" s="109"/>
      <c r="E113" s="110"/>
      <c r="F113" s="237"/>
      <c r="G113" s="108"/>
      <c r="H113" s="109"/>
      <c r="I113" s="109"/>
      <c r="J113" s="109"/>
      <c r="K113" s="110"/>
      <c r="L113" s="237"/>
      <c r="M113" s="108"/>
      <c r="N113" s="109" t="s">
        <v>342</v>
      </c>
      <c r="O113" s="467" t="s">
        <v>18</v>
      </c>
      <c r="P113" s="109"/>
      <c r="Q113" s="110"/>
      <c r="R113" s="237"/>
      <c r="S113" s="237"/>
      <c r="T113" s="237"/>
      <c r="U113" s="237"/>
      <c r="V113" s="237"/>
      <c r="W113" s="237"/>
      <c r="X113" s="237"/>
      <c r="Y113" s="237"/>
      <c r="Z113" s="237"/>
    </row>
    <row r="114" ht="18.75" customHeight="1" spans="1:26">
      <c r="A114" s="27" t="s">
        <v>290</v>
      </c>
      <c r="B114" s="27"/>
      <c r="C114" s="27"/>
      <c r="D114" s="27"/>
      <c r="E114" s="27"/>
      <c r="F114" s="237"/>
      <c r="G114" s="27" t="s">
        <v>290</v>
      </c>
      <c r="H114" s="27"/>
      <c r="I114" s="27"/>
      <c r="J114" s="27"/>
      <c r="K114" s="27"/>
      <c r="L114" s="237"/>
      <c r="M114" s="27" t="s">
        <v>290</v>
      </c>
      <c r="N114" s="27"/>
      <c r="O114" s="27"/>
      <c r="P114" s="27"/>
      <c r="Q114" s="27"/>
      <c r="R114" s="237"/>
      <c r="S114" s="237"/>
      <c r="T114" s="237"/>
      <c r="U114" s="237"/>
      <c r="V114" s="237"/>
      <c r="W114" s="237"/>
      <c r="X114" s="237"/>
      <c r="Y114" s="237"/>
      <c r="Z114" s="237"/>
    </row>
    <row r="115" ht="18.75" customHeight="1" spans="1:26">
      <c r="A115" s="108"/>
      <c r="B115" s="109"/>
      <c r="C115" s="109"/>
      <c r="D115" s="109"/>
      <c r="E115" s="110"/>
      <c r="F115" s="237"/>
      <c r="G115" s="108"/>
      <c r="H115" s="109"/>
      <c r="I115" s="109"/>
      <c r="J115" s="109"/>
      <c r="K115" s="110"/>
      <c r="L115" s="237"/>
      <c r="M115" s="108"/>
      <c r="N115" s="109"/>
      <c r="O115" s="109"/>
      <c r="P115" s="109"/>
      <c r="Q115" s="110"/>
      <c r="R115" s="237"/>
      <c r="S115" s="237"/>
      <c r="T115" s="237"/>
      <c r="U115" s="237"/>
      <c r="V115" s="237"/>
      <c r="W115" s="237"/>
      <c r="X115" s="237"/>
      <c r="Y115" s="237"/>
      <c r="Z115" s="237"/>
    </row>
    <row r="116" ht="18.75" customHeight="1" spans="1:26">
      <c r="A116" s="108" t="s">
        <v>291</v>
      </c>
      <c r="B116" s="467" t="s">
        <v>19</v>
      </c>
      <c r="C116" s="109"/>
      <c r="D116" s="109"/>
      <c r="E116" s="110"/>
      <c r="F116" s="237"/>
      <c r="G116" s="108" t="s">
        <v>291</v>
      </c>
      <c r="H116" s="467" t="s">
        <v>18</v>
      </c>
      <c r="I116" s="109"/>
      <c r="J116" s="109"/>
      <c r="K116" s="110"/>
      <c r="L116" s="237"/>
      <c r="M116" s="108" t="s">
        <v>291</v>
      </c>
      <c r="N116" s="467" t="s">
        <v>18</v>
      </c>
      <c r="O116" s="109"/>
      <c r="P116" s="109"/>
      <c r="Q116" s="110"/>
      <c r="R116" s="237"/>
      <c r="S116" s="237"/>
      <c r="T116" s="237"/>
      <c r="U116" s="237"/>
      <c r="V116" s="237"/>
      <c r="W116" s="237"/>
      <c r="X116" s="237"/>
      <c r="Y116" s="237"/>
      <c r="Z116" s="237"/>
    </row>
    <row r="117" ht="18.75" customHeight="1" spans="1:26">
      <c r="A117" s="108"/>
      <c r="B117" s="109"/>
      <c r="C117" s="109"/>
      <c r="D117" s="109"/>
      <c r="E117" s="110"/>
      <c r="F117" s="237"/>
      <c r="G117" s="108"/>
      <c r="H117" s="109"/>
      <c r="I117" s="109"/>
      <c r="J117" s="109"/>
      <c r="K117" s="110"/>
      <c r="L117" s="237"/>
      <c r="M117" s="108"/>
      <c r="N117" s="109"/>
      <c r="O117" s="109"/>
      <c r="P117" s="109"/>
      <c r="Q117" s="110"/>
      <c r="R117" s="237"/>
      <c r="S117" s="237"/>
      <c r="T117" s="237"/>
      <c r="U117" s="237"/>
      <c r="V117" s="237"/>
      <c r="W117" s="237"/>
      <c r="X117" s="237"/>
      <c r="Y117" s="237"/>
      <c r="Z117" s="237"/>
    </row>
    <row r="118" ht="18.75" customHeight="1" spans="1:26">
      <c r="A118" s="108" t="s">
        <v>176</v>
      </c>
      <c r="B118" s="109"/>
      <c r="C118" s="109"/>
      <c r="D118" s="103">
        <v>0</v>
      </c>
      <c r="E118" s="102">
        <v>6000</v>
      </c>
      <c r="F118" s="237"/>
      <c r="G118" s="108" t="s">
        <v>176</v>
      </c>
      <c r="H118" s="109"/>
      <c r="I118" s="109"/>
      <c r="J118" s="103">
        <v>10000</v>
      </c>
      <c r="K118" s="102">
        <v>5000</v>
      </c>
      <c r="L118" s="237"/>
      <c r="M118" s="108" t="s">
        <v>176</v>
      </c>
      <c r="N118" s="109"/>
      <c r="O118" s="109"/>
      <c r="P118" s="103">
        <v>10000</v>
      </c>
      <c r="Q118" s="102">
        <v>5000</v>
      </c>
      <c r="R118" s="237"/>
      <c r="S118" s="237"/>
      <c r="T118" s="237"/>
      <c r="U118" s="237"/>
      <c r="V118" s="237"/>
      <c r="W118" s="237"/>
      <c r="X118" s="237"/>
      <c r="Y118" s="237"/>
      <c r="Z118" s="237"/>
    </row>
    <row r="119" ht="18.75" customHeight="1" spans="1:26">
      <c r="A119" s="108" t="s">
        <v>177</v>
      </c>
      <c r="B119" s="109"/>
      <c r="C119" s="109"/>
      <c r="D119" s="129">
        <f>E119</f>
        <v>2000</v>
      </c>
      <c r="E119" s="102">
        <v>2000</v>
      </c>
      <c r="F119" s="237"/>
      <c r="G119" s="108" t="s">
        <v>177</v>
      </c>
      <c r="H119" s="109"/>
      <c r="I119" s="109"/>
      <c r="J119" s="129">
        <f>K119</f>
        <v>7000</v>
      </c>
      <c r="K119" s="102">
        <v>7000</v>
      </c>
      <c r="L119" s="237"/>
      <c r="M119" s="108" t="s">
        <v>177</v>
      </c>
      <c r="N119" s="109"/>
      <c r="O119" s="109"/>
      <c r="P119" s="129">
        <f>Q119</f>
        <v>7000</v>
      </c>
      <c r="Q119" s="102">
        <v>7000</v>
      </c>
      <c r="R119" s="237"/>
      <c r="S119" s="237"/>
      <c r="T119" s="237"/>
      <c r="U119" s="237"/>
      <c r="V119" s="237"/>
      <c r="W119" s="237"/>
      <c r="X119" s="237"/>
      <c r="Y119" s="237"/>
      <c r="Z119" s="237"/>
    </row>
    <row r="120" ht="18.75" customHeight="1" spans="1:26">
      <c r="A120" s="108" t="s">
        <v>178</v>
      </c>
      <c r="B120" s="109"/>
      <c r="C120" s="109"/>
      <c r="D120" s="129">
        <f>D118-D119</f>
        <v>-2000</v>
      </c>
      <c r="E120" s="106">
        <f>E118-E119</f>
        <v>4000</v>
      </c>
      <c r="F120" s="237"/>
      <c r="G120" s="108" t="s">
        <v>178</v>
      </c>
      <c r="H120" s="109"/>
      <c r="I120" s="109"/>
      <c r="J120" s="129">
        <f>J118-J119</f>
        <v>3000</v>
      </c>
      <c r="K120" s="106">
        <f>K118-K119</f>
        <v>-2000</v>
      </c>
      <c r="L120" s="237"/>
      <c r="M120" s="108" t="s">
        <v>178</v>
      </c>
      <c r="N120" s="109"/>
      <c r="O120" s="109"/>
      <c r="P120" s="129">
        <f>P118-P119</f>
        <v>3000</v>
      </c>
      <c r="Q120" s="106">
        <f>Q118-Q119</f>
        <v>-2000</v>
      </c>
      <c r="R120" s="237"/>
      <c r="S120" s="237"/>
      <c r="T120" s="237"/>
      <c r="U120" s="237"/>
      <c r="V120" s="237"/>
      <c r="W120" s="237"/>
      <c r="X120" s="237"/>
      <c r="Y120" s="237"/>
      <c r="Z120" s="237"/>
    </row>
    <row r="121" ht="18.75" customHeight="1" spans="1:26">
      <c r="A121" s="108" t="s">
        <v>179</v>
      </c>
      <c r="B121" s="109"/>
      <c r="C121" s="109"/>
      <c r="D121" s="129">
        <f>D120-E120</f>
        <v>-6000</v>
      </c>
      <c r="E121" s="110"/>
      <c r="F121" s="237"/>
      <c r="G121" s="108" t="s">
        <v>179</v>
      </c>
      <c r="H121" s="109"/>
      <c r="I121" s="109"/>
      <c r="J121" s="129">
        <f>J120-K120</f>
        <v>5000</v>
      </c>
      <c r="K121" s="110"/>
      <c r="L121" s="237"/>
      <c r="M121" s="108" t="s">
        <v>179</v>
      </c>
      <c r="N121" s="109"/>
      <c r="O121" s="109"/>
      <c r="P121" s="129">
        <f>P120-Q120</f>
        <v>5000</v>
      </c>
      <c r="Q121" s="110"/>
      <c r="R121" s="237"/>
      <c r="S121" s="237"/>
      <c r="T121" s="237"/>
      <c r="U121" s="237"/>
      <c r="V121" s="237"/>
      <c r="W121" s="237"/>
      <c r="X121" s="237"/>
      <c r="Y121" s="237"/>
      <c r="Z121" s="237"/>
    </row>
    <row r="122" ht="18.75" customHeight="1" spans="1:26">
      <c r="A122" s="108"/>
      <c r="B122" s="109"/>
      <c r="C122" s="109"/>
      <c r="D122" s="109"/>
      <c r="E122" s="110"/>
      <c r="F122" s="237"/>
      <c r="G122" s="108"/>
      <c r="H122" s="109"/>
      <c r="I122" s="109"/>
      <c r="J122" s="109"/>
      <c r="K122" s="110"/>
      <c r="L122" s="237"/>
      <c r="M122" s="108"/>
      <c r="N122" s="109"/>
      <c r="O122" s="109"/>
      <c r="P122" s="109"/>
      <c r="Q122" s="110"/>
      <c r="R122" s="237"/>
      <c r="S122" s="237"/>
      <c r="T122" s="237"/>
      <c r="U122" s="237"/>
      <c r="V122" s="237"/>
      <c r="W122" s="237"/>
      <c r="X122" s="237"/>
      <c r="Y122" s="237"/>
      <c r="Z122" s="237"/>
    </row>
    <row r="123" ht="18.75" customHeight="1" spans="1:26">
      <c r="A123" s="474" t="s">
        <v>138</v>
      </c>
      <c r="B123" s="475"/>
      <c r="C123" s="475"/>
      <c r="D123" s="475"/>
      <c r="E123" s="266">
        <f>D105</f>
        <v>1000</v>
      </c>
      <c r="F123" s="237"/>
      <c r="G123" s="474" t="s">
        <v>138</v>
      </c>
      <c r="H123" s="475"/>
      <c r="I123" s="475"/>
      <c r="J123" s="475"/>
      <c r="K123" s="266">
        <f>J105</f>
        <v>5000</v>
      </c>
      <c r="L123" s="237"/>
      <c r="M123" s="474" t="s">
        <v>138</v>
      </c>
      <c r="N123" s="475"/>
      <c r="O123" s="475"/>
      <c r="P123" s="475"/>
      <c r="Q123" s="266">
        <f>P105</f>
        <v>0</v>
      </c>
      <c r="R123" s="237"/>
      <c r="S123" s="237"/>
      <c r="T123" s="237"/>
      <c r="U123" s="237"/>
      <c r="V123" s="237"/>
      <c r="W123" s="237"/>
      <c r="X123" s="237"/>
      <c r="Y123" s="237"/>
      <c r="Z123" s="237"/>
    </row>
    <row r="124" ht="18.75" customHeight="1" spans="1:26">
      <c r="A124" s="108" t="s">
        <v>53</v>
      </c>
      <c r="B124" s="109"/>
      <c r="C124" s="109"/>
      <c r="D124" s="109"/>
      <c r="E124" s="180">
        <f>A108</f>
        <v>199.99</v>
      </c>
      <c r="F124" s="237"/>
      <c r="G124" s="108" t="s">
        <v>53</v>
      </c>
      <c r="H124" s="109"/>
      <c r="I124" s="109"/>
      <c r="J124" s="109"/>
      <c r="K124" s="180">
        <f>G108</f>
        <v>239.988</v>
      </c>
      <c r="L124" s="237"/>
      <c r="M124" s="108" t="s">
        <v>53</v>
      </c>
      <c r="N124" s="109"/>
      <c r="O124" s="109"/>
      <c r="P124" s="109"/>
      <c r="Q124" s="180">
        <f>M108</f>
        <v>199.99</v>
      </c>
      <c r="R124" s="237"/>
      <c r="S124" s="237"/>
      <c r="T124" s="237"/>
      <c r="U124" s="237"/>
      <c r="V124" s="237"/>
      <c r="W124" s="237"/>
      <c r="X124" s="237"/>
      <c r="Y124" s="237"/>
      <c r="Z124" s="237"/>
    </row>
    <row r="125" ht="18.75" customHeight="1" spans="1:26">
      <c r="A125" s="492" t="s">
        <v>292</v>
      </c>
      <c r="B125" s="170"/>
      <c r="C125" s="170"/>
      <c r="D125" s="170"/>
      <c r="E125" s="281">
        <f>((E124*1.2)+E123)-E120</f>
        <v>-2760.012</v>
      </c>
      <c r="F125" s="237"/>
      <c r="G125" s="492" t="s">
        <v>292</v>
      </c>
      <c r="H125" s="170"/>
      <c r="I125" s="170"/>
      <c r="J125" s="170"/>
      <c r="K125" s="281">
        <f>(K124+K123)-K120</f>
        <v>7239.988</v>
      </c>
      <c r="L125" s="237"/>
      <c r="M125" s="492" t="s">
        <v>292</v>
      </c>
      <c r="N125" s="170"/>
      <c r="O125" s="170"/>
      <c r="P125" s="170"/>
      <c r="Q125" s="281">
        <f>(Q124+Q123)-Q120</f>
        <v>2199.99</v>
      </c>
      <c r="R125" s="237"/>
      <c r="S125" s="237"/>
      <c r="T125" s="237"/>
      <c r="U125" s="237"/>
      <c r="V125" s="237"/>
      <c r="W125" s="237"/>
      <c r="X125" s="237"/>
      <c r="Y125" s="237"/>
      <c r="Z125" s="237"/>
    </row>
    <row r="126" ht="18.75" customHeight="1" spans="1:26">
      <c r="A126" s="108"/>
      <c r="B126" s="109"/>
      <c r="C126" s="109"/>
      <c r="D126" s="109"/>
      <c r="E126" s="110"/>
      <c r="F126" s="237"/>
      <c r="G126" s="108"/>
      <c r="H126" s="109"/>
      <c r="I126" s="109"/>
      <c r="J126" s="109"/>
      <c r="K126" s="110"/>
      <c r="L126" s="237"/>
      <c r="M126" s="108"/>
      <c r="N126" s="109"/>
      <c r="O126" s="109"/>
      <c r="P126" s="109"/>
      <c r="Q126" s="110"/>
      <c r="R126" s="237"/>
      <c r="S126" s="237"/>
      <c r="T126" s="237"/>
      <c r="U126" s="237"/>
      <c r="V126" s="237"/>
      <c r="W126" s="237"/>
      <c r="X126" s="237"/>
      <c r="Y126" s="237"/>
      <c r="Z126" s="237"/>
    </row>
    <row r="127" ht="18.75" customHeight="1" spans="1:26">
      <c r="A127" s="108"/>
      <c r="B127" s="109"/>
      <c r="C127" s="109"/>
      <c r="D127" s="109"/>
      <c r="E127" s="110"/>
      <c r="F127" s="237"/>
      <c r="G127" s="108"/>
      <c r="H127" s="109"/>
      <c r="I127" s="109"/>
      <c r="J127" s="109"/>
      <c r="K127" s="110"/>
      <c r="L127" s="237"/>
      <c r="M127" s="108"/>
      <c r="N127" s="109"/>
      <c r="O127" s="109"/>
      <c r="P127" s="109"/>
      <c r="Q127" s="110"/>
      <c r="R127" s="237"/>
      <c r="S127" s="237"/>
      <c r="T127" s="237"/>
      <c r="U127" s="237"/>
      <c r="V127" s="237"/>
      <c r="W127" s="237"/>
      <c r="X127" s="237"/>
      <c r="Y127" s="237"/>
      <c r="Z127" s="237"/>
    </row>
    <row r="128" ht="18.75" customHeight="1" spans="1:26">
      <c r="A128" s="27" t="s">
        <v>293</v>
      </c>
      <c r="B128" s="27"/>
      <c r="C128" s="27"/>
      <c r="D128" s="27"/>
      <c r="E128" s="27"/>
      <c r="F128" s="237"/>
      <c r="G128" s="27" t="s">
        <v>293</v>
      </c>
      <c r="H128" s="27"/>
      <c r="I128" s="27"/>
      <c r="J128" s="27"/>
      <c r="K128" s="27"/>
      <c r="L128" s="237"/>
      <c r="M128" s="27" t="s">
        <v>293</v>
      </c>
      <c r="N128" s="27"/>
      <c r="O128" s="27"/>
      <c r="P128" s="27"/>
      <c r="Q128" s="27"/>
      <c r="R128" s="237"/>
      <c r="S128" s="237"/>
      <c r="T128" s="237"/>
      <c r="U128" s="237"/>
      <c r="V128" s="237"/>
      <c r="W128" s="237"/>
      <c r="X128" s="237"/>
      <c r="Y128" s="237"/>
      <c r="Z128" s="237"/>
    </row>
    <row r="129" ht="18.75" customHeight="1" spans="1:26">
      <c r="A129" s="108"/>
      <c r="B129" s="109"/>
      <c r="C129" s="109"/>
      <c r="D129" s="109"/>
      <c r="E129" s="110"/>
      <c r="F129" s="237"/>
      <c r="G129" s="108"/>
      <c r="H129" s="109"/>
      <c r="I129" s="109"/>
      <c r="J129" s="109"/>
      <c r="K129" s="110"/>
      <c r="L129" s="237"/>
      <c r="M129" s="108"/>
      <c r="N129" s="109"/>
      <c r="O129" s="109"/>
      <c r="P129" s="109"/>
      <c r="Q129" s="110"/>
      <c r="R129" s="237"/>
      <c r="S129" s="237"/>
      <c r="T129" s="237"/>
      <c r="U129" s="237"/>
      <c r="V129" s="237"/>
      <c r="W129" s="237"/>
      <c r="X129" s="237"/>
      <c r="Y129" s="237"/>
      <c r="Z129" s="237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37"/>
      <c r="G130" s="108" t="s">
        <v>183</v>
      </c>
      <c r="H130" s="115">
        <v>0</v>
      </c>
      <c r="I130" s="115"/>
      <c r="J130" s="109"/>
      <c r="K130" s="110"/>
      <c r="L130" s="237"/>
      <c r="M130" s="108" t="s">
        <v>183</v>
      </c>
      <c r="N130" s="115">
        <v>0</v>
      </c>
      <c r="O130" s="115"/>
      <c r="P130" s="109"/>
      <c r="Q130" s="110"/>
      <c r="R130" s="237"/>
      <c r="S130" s="237"/>
      <c r="T130" s="237"/>
      <c r="U130" s="237"/>
      <c r="V130" s="237"/>
      <c r="W130" s="237"/>
      <c r="X130" s="237"/>
      <c r="Y130" s="237"/>
      <c r="Z130" s="237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37"/>
      <c r="G131" s="108"/>
      <c r="H131" s="109"/>
      <c r="I131" s="109"/>
      <c r="J131" s="109"/>
      <c r="K131" s="110"/>
      <c r="L131" s="237"/>
      <c r="M131" s="108"/>
      <c r="N131" s="109"/>
      <c r="O131" s="109"/>
      <c r="P131" s="109"/>
      <c r="Q131" s="110"/>
      <c r="R131" s="237"/>
      <c r="S131" s="237"/>
      <c r="T131" s="237"/>
      <c r="U131" s="237"/>
      <c r="V131" s="237"/>
      <c r="W131" s="237"/>
      <c r="X131" s="237"/>
      <c r="Y131" s="237"/>
      <c r="Z131" s="237"/>
    </row>
    <row r="132" ht="18.75" customHeight="1" spans="1:26">
      <c r="A132" s="111"/>
      <c r="B132" s="112"/>
      <c r="C132" s="112"/>
      <c r="D132" s="112"/>
      <c r="E132" s="114"/>
      <c r="F132" s="237"/>
      <c r="G132" s="108" t="s">
        <v>83</v>
      </c>
      <c r="H132" s="109" t="s">
        <v>84</v>
      </c>
      <c r="I132" s="109"/>
      <c r="J132" s="109" t="s">
        <v>86</v>
      </c>
      <c r="K132" s="110"/>
      <c r="L132" s="237"/>
      <c r="M132" s="108" t="s">
        <v>83</v>
      </c>
      <c r="N132" s="109" t="s">
        <v>84</v>
      </c>
      <c r="O132" s="109"/>
      <c r="P132" s="109" t="s">
        <v>86</v>
      </c>
      <c r="Q132" s="110"/>
      <c r="R132" s="237"/>
      <c r="S132" s="237"/>
      <c r="T132" s="237"/>
      <c r="U132" s="237"/>
      <c r="V132" s="237"/>
      <c r="W132" s="237"/>
      <c r="X132" s="237"/>
      <c r="Y132" s="237"/>
      <c r="Z132" s="237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37"/>
      <c r="G133" s="39">
        <f>G158</f>
        <v>12</v>
      </c>
      <c r="H133" s="40">
        <f>B157</f>
        <v>0</v>
      </c>
      <c r="I133" s="124"/>
      <c r="J133" s="40">
        <f>B64</f>
        <v>11</v>
      </c>
      <c r="K133" s="110"/>
      <c r="L133" s="237"/>
      <c r="M133" s="39">
        <f>M161</f>
        <v>12</v>
      </c>
      <c r="N133" s="40">
        <f>B157</f>
        <v>0</v>
      </c>
      <c r="O133" s="124"/>
      <c r="P133" s="40">
        <f>B64</f>
        <v>11</v>
      </c>
      <c r="Q133" s="110"/>
      <c r="R133" s="237"/>
      <c r="S133" s="237"/>
      <c r="T133" s="237"/>
      <c r="U133" s="237"/>
      <c r="V133" s="237"/>
      <c r="W133" s="237"/>
      <c r="X133" s="237"/>
      <c r="Y133" s="237"/>
      <c r="Z133" s="237"/>
    </row>
    <row r="134" ht="18.75" customHeight="1" spans="1:26">
      <c r="A134" s="116">
        <f>B96</f>
        <v>532.441396620501</v>
      </c>
      <c r="B134" s="113">
        <f>IF(A111="YES",B95,0)</f>
        <v>65</v>
      </c>
      <c r="C134" s="119"/>
      <c r="D134" s="113">
        <f>B97</f>
        <v>597.441396620501</v>
      </c>
      <c r="E134" s="114"/>
      <c r="F134" s="237"/>
      <c r="G134" s="108"/>
      <c r="H134" s="109"/>
      <c r="I134" s="109"/>
      <c r="J134" s="109"/>
      <c r="K134" s="110"/>
      <c r="L134" s="237"/>
      <c r="M134" s="108"/>
      <c r="N134" s="109"/>
      <c r="O134" s="109"/>
      <c r="P134" s="109"/>
      <c r="Q134" s="110"/>
      <c r="R134" s="237"/>
      <c r="S134" s="237"/>
      <c r="T134" s="237"/>
      <c r="U134" s="237"/>
      <c r="V134" s="237"/>
      <c r="W134" s="237"/>
      <c r="X134" s="237"/>
      <c r="Y134" s="237"/>
      <c r="Z134" s="237"/>
    </row>
    <row r="135" ht="18.75" customHeight="1" spans="1:26">
      <c r="A135" s="108"/>
      <c r="B135" s="109"/>
      <c r="C135" s="109"/>
      <c r="D135" s="109"/>
      <c r="E135" s="110"/>
      <c r="F135" s="237"/>
      <c r="G135" s="499" t="s">
        <v>296</v>
      </c>
      <c r="H135" s="500" t="s">
        <v>297</v>
      </c>
      <c r="I135" s="500"/>
      <c r="J135" s="500" t="s">
        <v>298</v>
      </c>
      <c r="K135" s="110"/>
      <c r="L135" s="237"/>
      <c r="M135" s="499" t="s">
        <v>343</v>
      </c>
      <c r="N135" s="500" t="s">
        <v>252</v>
      </c>
      <c r="O135" s="500"/>
      <c r="P135" s="500" t="s">
        <v>120</v>
      </c>
      <c r="Q135" s="110"/>
      <c r="R135" s="237"/>
      <c r="S135" s="237"/>
      <c r="T135" s="237"/>
      <c r="U135" s="237"/>
      <c r="V135" s="237"/>
      <c r="W135" s="237"/>
      <c r="X135" s="237"/>
      <c r="Y135" s="237"/>
      <c r="Z135" s="237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37"/>
      <c r="G136" s="125" t="e">
        <f>H96</f>
        <v>#DIV/0!</v>
      </c>
      <c r="H136" s="458" t="e">
        <f>IF(G111="YES",H95*H63,0)</f>
        <v>#DIV/0!</v>
      </c>
      <c r="I136" s="458"/>
      <c r="J136" s="167" t="e">
        <f>H97</f>
        <v>#DIV/0!</v>
      </c>
      <c r="K136" s="110"/>
      <c r="L136" s="237"/>
      <c r="M136" s="125" t="e">
        <f>N96</f>
        <v>#DIV/0!</v>
      </c>
      <c r="N136" s="458" t="e">
        <f>IF(M111="YES",N95*N63,0)</f>
        <v>#DIV/0!</v>
      </c>
      <c r="O136" s="458"/>
      <c r="P136" s="458" t="e">
        <f>N97</f>
        <v>#DIV/0!</v>
      </c>
      <c r="Q136" s="110"/>
      <c r="R136" s="237"/>
      <c r="S136" s="237"/>
      <c r="T136" s="237"/>
      <c r="U136" s="237"/>
      <c r="V136" s="237"/>
      <c r="W136" s="237"/>
      <c r="X136" s="237"/>
      <c r="Y136" s="237"/>
      <c r="Z136" s="237"/>
    </row>
    <row r="137" ht="18.75" customHeight="1" spans="1:26">
      <c r="A137" s="20" t="str">
        <f>B105</f>
        <v> Monthly in advance </v>
      </c>
      <c r="B137" s="127">
        <f>B96*B63</f>
        <v>532.441396620501</v>
      </c>
      <c r="C137" s="109"/>
      <c r="D137" s="127">
        <f>IF(A111="YES",B95*B63,0)</f>
        <v>65</v>
      </c>
      <c r="E137" s="110"/>
      <c r="F137" s="237"/>
      <c r="G137" s="108"/>
      <c r="H137" s="109"/>
      <c r="I137" s="109"/>
      <c r="J137" s="109"/>
      <c r="K137" s="110"/>
      <c r="L137" s="237"/>
      <c r="M137" s="108"/>
      <c r="N137" s="109"/>
      <c r="O137" s="109"/>
      <c r="P137" s="109"/>
      <c r="Q137" s="110"/>
      <c r="R137" s="237"/>
      <c r="S137" s="237"/>
      <c r="T137" s="237"/>
      <c r="U137" s="237"/>
      <c r="V137" s="237"/>
      <c r="W137" s="237"/>
      <c r="X137" s="237"/>
      <c r="Y137" s="237"/>
      <c r="Z137" s="237"/>
    </row>
    <row r="138" ht="18.75" customHeight="1" spans="1:26">
      <c r="A138" s="108"/>
      <c r="B138" s="109"/>
      <c r="C138" s="109"/>
      <c r="D138" s="109"/>
      <c r="E138" s="110"/>
      <c r="F138" s="237"/>
      <c r="G138" s="108" t="s">
        <v>301</v>
      </c>
      <c r="H138" s="109" t="s">
        <v>302</v>
      </c>
      <c r="I138" s="109"/>
      <c r="J138" s="109" t="s">
        <v>303</v>
      </c>
      <c r="K138" s="110"/>
      <c r="L138" s="237"/>
      <c r="M138" s="108" t="s">
        <v>344</v>
      </c>
      <c r="N138" s="109" t="s">
        <v>241</v>
      </c>
      <c r="O138" s="109"/>
      <c r="P138" s="109" t="s">
        <v>245</v>
      </c>
      <c r="Q138" s="110"/>
      <c r="R138" s="237"/>
      <c r="S138" s="237"/>
      <c r="T138" s="237"/>
      <c r="U138" s="237"/>
      <c r="V138" s="237"/>
      <c r="W138" s="237"/>
      <c r="X138" s="237"/>
      <c r="Y138" s="237"/>
      <c r="Z138" s="237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37"/>
      <c r="G139" s="132" t="e">
        <f>H96*H63</f>
        <v>#DIV/0!</v>
      </c>
      <c r="H139" s="127" t="e">
        <f>IF(G111="YES",H95*H63,0)</f>
        <v>#DIV/0!</v>
      </c>
      <c r="I139" s="130"/>
      <c r="J139" s="127" t="e">
        <f>H97*H63</f>
        <v>#DIV/0!</v>
      </c>
      <c r="K139" s="110"/>
      <c r="L139" s="237"/>
      <c r="M139" s="132" t="e">
        <f>N96*N63</f>
        <v>#DIV/0!</v>
      </c>
      <c r="N139" s="127" t="e">
        <f>IF(M111="YES",N95*N63,0)</f>
        <v>#DIV/0!</v>
      </c>
      <c r="O139" s="130"/>
      <c r="P139" s="53" t="e">
        <f>N97*N63</f>
        <v>#DIV/0!</v>
      </c>
      <c r="Q139" s="110"/>
      <c r="R139" s="237"/>
      <c r="S139" s="237"/>
      <c r="T139" s="237"/>
      <c r="U139" s="237"/>
      <c r="V139" s="237"/>
      <c r="W139" s="237"/>
      <c r="X139" s="237"/>
      <c r="Y139" s="237"/>
      <c r="Z139" s="237"/>
    </row>
    <row r="140" ht="18.75" customHeight="1" spans="1:26">
      <c r="A140" s="134">
        <f>B97*B63</f>
        <v>597.441396620501</v>
      </c>
      <c r="B140" s="127">
        <f>E120</f>
        <v>4000</v>
      </c>
      <c r="C140" s="109"/>
      <c r="D140" s="135">
        <f>B64</f>
        <v>11</v>
      </c>
      <c r="E140" s="110"/>
      <c r="F140" s="237"/>
      <c r="G140" s="108"/>
      <c r="H140" s="109"/>
      <c r="I140" s="109"/>
      <c r="J140" s="109"/>
      <c r="K140" s="110"/>
      <c r="L140" s="237"/>
      <c r="M140" s="108"/>
      <c r="N140" s="109"/>
      <c r="O140" s="109"/>
      <c r="P140" s="109"/>
      <c r="Q140" s="110"/>
      <c r="R140" s="237"/>
      <c r="S140" s="237"/>
      <c r="T140" s="237"/>
      <c r="U140" s="237"/>
      <c r="V140" s="237"/>
      <c r="W140" s="237"/>
      <c r="X140" s="237"/>
      <c r="Y140" s="237"/>
      <c r="Z140" s="237"/>
    </row>
    <row r="141" ht="18.75" customHeight="1" spans="1:26">
      <c r="A141" s="134"/>
      <c r="B141" s="136"/>
      <c r="C141" s="109"/>
      <c r="D141" s="109"/>
      <c r="E141" s="110"/>
      <c r="F141" s="237"/>
      <c r="G141" s="108" t="s">
        <v>306</v>
      </c>
      <c r="H141" s="109" t="s">
        <v>307</v>
      </c>
      <c r="I141" s="109"/>
      <c r="J141" s="109" t="s">
        <v>308</v>
      </c>
      <c r="K141" s="110"/>
      <c r="L141" s="237"/>
      <c r="M141" s="108" t="s">
        <v>254</v>
      </c>
      <c r="N141" s="109" t="s">
        <v>255</v>
      </c>
      <c r="O141" s="109"/>
      <c r="P141" s="109" t="s">
        <v>259</v>
      </c>
      <c r="Q141" s="110"/>
      <c r="R141" s="237"/>
      <c r="S141" s="237"/>
      <c r="T141" s="237"/>
      <c r="U141" s="237"/>
      <c r="V141" s="237"/>
      <c r="W141" s="237"/>
      <c r="X141" s="237"/>
      <c r="Y141" s="237"/>
      <c r="Z141" s="237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37"/>
      <c r="G142" s="134">
        <f>E15*0.000006</f>
        <v>0.127608</v>
      </c>
      <c r="H142" s="127">
        <f>IF(G111="YES",E15*0.000002,0)</f>
        <v>0.042536</v>
      </c>
      <c r="I142" s="127"/>
      <c r="J142" s="127">
        <f>G142+H142</f>
        <v>0.170144</v>
      </c>
      <c r="K142" s="141"/>
      <c r="L142" s="237"/>
      <c r="M142" s="134">
        <f>E15*0.000006</f>
        <v>0.127608</v>
      </c>
      <c r="N142" s="127">
        <f>IF(M111="YES",E15*0.000002,0)</f>
        <v>0.042536</v>
      </c>
      <c r="O142" s="127"/>
      <c r="P142" s="127">
        <f>M142+N142</f>
        <v>0.170144</v>
      </c>
      <c r="Q142" s="141"/>
      <c r="R142" s="237"/>
      <c r="S142" s="237"/>
      <c r="T142" s="237"/>
      <c r="U142" s="237"/>
      <c r="V142" s="237"/>
      <c r="W142" s="237"/>
      <c r="X142" s="237"/>
      <c r="Y142" s="237"/>
      <c r="Z142" s="237"/>
    </row>
    <row r="143" ht="18.75" customHeight="1" spans="1:26">
      <c r="A143" s="134">
        <f>B96</f>
        <v>532.441396620501</v>
      </c>
      <c r="B143" s="127">
        <f>IF(A111="YES",B95,0)</f>
        <v>65</v>
      </c>
      <c r="C143" s="109"/>
      <c r="D143" s="127">
        <f>B97</f>
        <v>597.441396620501</v>
      </c>
      <c r="E143" s="110"/>
      <c r="F143" s="237"/>
      <c r="G143" s="108"/>
      <c r="H143" s="109"/>
      <c r="I143" s="109"/>
      <c r="J143" s="109"/>
      <c r="K143" s="110"/>
      <c r="L143" s="237"/>
      <c r="M143" s="108"/>
      <c r="N143" s="109"/>
      <c r="O143" s="109"/>
      <c r="P143" s="109"/>
      <c r="Q143" s="110"/>
      <c r="R143" s="237"/>
      <c r="S143" s="237"/>
      <c r="T143" s="237"/>
      <c r="U143" s="237"/>
      <c r="V143" s="237"/>
      <c r="W143" s="237"/>
      <c r="X143" s="237"/>
      <c r="Y143" s="237"/>
      <c r="Z143" s="237"/>
    </row>
    <row r="144" ht="18.75" customHeight="1" spans="1:26">
      <c r="A144" s="108"/>
      <c r="B144" s="109"/>
      <c r="C144" s="109"/>
      <c r="D144" s="109"/>
      <c r="E144" s="110"/>
      <c r="F144" s="237"/>
      <c r="G144" s="108" t="s">
        <v>309</v>
      </c>
      <c r="H144" s="109" t="s">
        <v>310</v>
      </c>
      <c r="I144" s="109"/>
      <c r="J144" s="109" t="s">
        <v>311</v>
      </c>
      <c r="K144" s="110"/>
      <c r="L144" s="237"/>
      <c r="M144" s="108" t="s">
        <v>141</v>
      </c>
      <c r="N144" s="109" t="s">
        <v>310</v>
      </c>
      <c r="O144" s="109"/>
      <c r="P144" s="109" t="s">
        <v>311</v>
      </c>
      <c r="Q144" s="110"/>
      <c r="R144" s="237"/>
      <c r="S144" s="237"/>
      <c r="T144" s="237"/>
      <c r="U144" s="237"/>
      <c r="V144" s="237"/>
      <c r="W144" s="237"/>
      <c r="X144" s="237"/>
      <c r="Y144" s="237"/>
      <c r="Z144" s="237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37"/>
      <c r="G145" s="134">
        <f>G108</f>
        <v>239.988</v>
      </c>
      <c r="H145" s="127">
        <f>H73/1.2</f>
        <v>87.2</v>
      </c>
      <c r="I145" s="127"/>
      <c r="J145" s="127">
        <f>H108*0.9</f>
        <v>1080</v>
      </c>
      <c r="K145" s="141"/>
      <c r="L145" s="237"/>
      <c r="M145" s="134">
        <f>M108</f>
        <v>199.99</v>
      </c>
      <c r="N145" s="127">
        <f>N73/1.2</f>
        <v>87.2</v>
      </c>
      <c r="O145" s="127"/>
      <c r="P145" s="127">
        <f>N108*0.9</f>
        <v>1080</v>
      </c>
      <c r="Q145" s="141"/>
      <c r="R145" s="237"/>
      <c r="S145" s="237"/>
      <c r="T145" s="237"/>
      <c r="U145" s="237"/>
      <c r="V145" s="237"/>
      <c r="W145" s="237"/>
      <c r="X145" s="237"/>
      <c r="Y145" s="237"/>
      <c r="Z145" s="237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37"/>
      <c r="G146" s="108"/>
      <c r="H146" s="109"/>
      <c r="I146" s="109"/>
      <c r="J146" s="109"/>
      <c r="K146" s="110"/>
      <c r="L146" s="237"/>
      <c r="M146" s="108"/>
      <c r="N146" s="109"/>
      <c r="O146" s="109"/>
      <c r="P146" s="109"/>
      <c r="Q146" s="110"/>
      <c r="R146" s="237"/>
      <c r="S146" s="237"/>
      <c r="T146" s="237"/>
      <c r="U146" s="237"/>
      <c r="V146" s="237"/>
      <c r="W146" s="237"/>
      <c r="X146" s="237"/>
      <c r="Y146" s="237"/>
      <c r="Z146" s="237"/>
    </row>
    <row r="147" ht="18.75" customHeight="1" spans="1:26">
      <c r="A147" s="142"/>
      <c r="B147" s="143"/>
      <c r="C147" s="109"/>
      <c r="D147" s="143"/>
      <c r="E147" s="110"/>
      <c r="F147" s="237"/>
      <c r="G147" s="108" t="s">
        <v>313</v>
      </c>
      <c r="H147" s="109" t="s">
        <v>314</v>
      </c>
      <c r="I147" s="109"/>
      <c r="J147" s="109" t="s">
        <v>315</v>
      </c>
      <c r="K147" s="110"/>
      <c r="L147" s="237"/>
      <c r="M147" s="108" t="s">
        <v>313</v>
      </c>
      <c r="N147" s="109" t="s">
        <v>314</v>
      </c>
      <c r="O147" s="109"/>
      <c r="P147" s="109" t="s">
        <v>315</v>
      </c>
      <c r="Q147" s="110"/>
      <c r="R147" s="237"/>
      <c r="S147" s="237"/>
      <c r="T147" s="237"/>
      <c r="U147" s="237"/>
      <c r="V147" s="237"/>
      <c r="W147" s="237"/>
      <c r="X147" s="237"/>
      <c r="Y147" s="237"/>
      <c r="Z147" s="237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37"/>
      <c r="G148" s="134">
        <f>IF(G111="YES",((A41*H111)*0.1)*(G133),0)</f>
        <v>1440</v>
      </c>
      <c r="H148" s="127">
        <f>G108-100</f>
        <v>139.988</v>
      </c>
      <c r="I148" s="127"/>
      <c r="J148" s="127">
        <f>(H145+J145+G148+H148)-H151</f>
        <v>2747.188</v>
      </c>
      <c r="K148" s="141"/>
      <c r="L148" s="237"/>
      <c r="M148" s="134">
        <f>IF(M111="YES",((A41*N111)*0.1)*(M133),0)</f>
        <v>1440</v>
      </c>
      <c r="N148" s="127">
        <f>M108-100</f>
        <v>99.99</v>
      </c>
      <c r="O148" s="127"/>
      <c r="P148" s="127">
        <f>(N145+P145+M148+N148)-N151</f>
        <v>2707.19</v>
      </c>
      <c r="Q148" s="141"/>
      <c r="R148" s="237"/>
      <c r="S148" s="237"/>
      <c r="T148" s="237"/>
      <c r="U148" s="237"/>
      <c r="V148" s="237"/>
      <c r="W148" s="237"/>
      <c r="X148" s="237"/>
      <c r="Y148" s="237"/>
      <c r="Z148" s="237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37"/>
      <c r="G149" s="108"/>
      <c r="H149" s="109"/>
      <c r="I149" s="109"/>
      <c r="J149" s="109"/>
      <c r="K149" s="110"/>
      <c r="L149" s="237"/>
      <c r="M149" s="108"/>
      <c r="N149" s="109"/>
      <c r="O149" s="109"/>
      <c r="P149" s="109"/>
      <c r="Q149" s="110"/>
      <c r="R149" s="237"/>
      <c r="S149" s="237"/>
      <c r="T149" s="237"/>
      <c r="U149" s="237"/>
      <c r="V149" s="237"/>
      <c r="W149" s="237"/>
      <c r="X149" s="237"/>
      <c r="Y149" s="237"/>
      <c r="Z149" s="237"/>
    </row>
    <row r="150" ht="18.75" customHeight="1" spans="1:26">
      <c r="A150" s="134"/>
      <c r="B150" s="127"/>
      <c r="C150" s="109"/>
      <c r="D150" s="127"/>
      <c r="E150" s="110"/>
      <c r="F150" s="237"/>
      <c r="G150" s="108" t="s">
        <v>317</v>
      </c>
      <c r="H150" s="109" t="s">
        <v>318</v>
      </c>
      <c r="I150" s="109"/>
      <c r="J150" s="109"/>
      <c r="K150" s="110"/>
      <c r="L150" s="237"/>
      <c r="M150" s="108" t="s">
        <v>317</v>
      </c>
      <c r="N150" s="109" t="s">
        <v>318</v>
      </c>
      <c r="O150" s="109"/>
      <c r="P150" s="109"/>
      <c r="Q150" s="110"/>
      <c r="R150" s="237"/>
      <c r="S150" s="237"/>
      <c r="T150" s="237"/>
      <c r="U150" s="237"/>
      <c r="V150" s="237"/>
      <c r="W150" s="237"/>
      <c r="X150" s="237"/>
      <c r="Y150" s="237"/>
      <c r="Z150" s="237"/>
    </row>
    <row r="151" ht="18.75" customHeight="1" spans="1:26">
      <c r="A151" s="145" t="s">
        <v>319</v>
      </c>
      <c r="B151" s="146"/>
      <c r="C151" s="147"/>
      <c r="D151" s="146"/>
      <c r="E151" s="148"/>
      <c r="F151" s="237"/>
      <c r="G151" s="134">
        <f>IF((1200-H108)&lt;=0,0,(1200-H108))</f>
        <v>0</v>
      </c>
      <c r="H151" s="127">
        <f>(H145+J145+G148+H148)*(G151/H70)</f>
        <v>0</v>
      </c>
      <c r="I151" s="109"/>
      <c r="J151" s="109"/>
      <c r="K151" s="110"/>
      <c r="L151" s="237"/>
      <c r="M151" s="134">
        <f>IF((1200-N108)&lt;=0,0,(1200-N108))</f>
        <v>0</v>
      </c>
      <c r="N151" s="127">
        <f>(N145+P145+M148+N148)*(M151/N70)</f>
        <v>0</v>
      </c>
      <c r="O151" s="109"/>
      <c r="P151" s="109"/>
      <c r="Q151" s="110"/>
      <c r="R151" s="237"/>
      <c r="S151" s="237"/>
      <c r="T151" s="237"/>
      <c r="U151" s="237"/>
      <c r="V151" s="237"/>
      <c r="W151" s="237"/>
      <c r="X151" s="237"/>
      <c r="Y151" s="237"/>
      <c r="Z151" s="237"/>
    </row>
    <row r="152" ht="18.75" customHeight="1" spans="1:26">
      <c r="A152" s="142"/>
      <c r="B152" s="143"/>
      <c r="C152" s="109"/>
      <c r="D152" s="143"/>
      <c r="E152" s="110"/>
      <c r="F152" s="237"/>
      <c r="G152" s="108"/>
      <c r="H152" s="109"/>
      <c r="I152" s="109"/>
      <c r="J152" s="109"/>
      <c r="K152" s="110"/>
      <c r="L152" s="237"/>
      <c r="M152" s="134"/>
      <c r="N152" s="127"/>
      <c r="O152" s="109"/>
      <c r="P152" s="109"/>
      <c r="Q152" s="110"/>
      <c r="R152" s="237"/>
      <c r="S152" s="237"/>
      <c r="T152" s="237"/>
      <c r="U152" s="237"/>
      <c r="V152" s="237"/>
      <c r="W152" s="237"/>
      <c r="X152" s="237"/>
      <c r="Y152" s="237"/>
      <c r="Z152" s="237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37"/>
      <c r="G153" s="108"/>
      <c r="H153" s="109"/>
      <c r="I153" s="109"/>
      <c r="J153" s="109"/>
      <c r="K153" s="110"/>
      <c r="L153" s="237"/>
      <c r="M153" s="137" t="s">
        <v>345</v>
      </c>
      <c r="N153" s="129" t="s">
        <v>346</v>
      </c>
      <c r="O153" s="109"/>
      <c r="P153" s="109"/>
      <c r="Q153" s="110"/>
      <c r="R153" s="237"/>
      <c r="S153" s="237"/>
      <c r="T153" s="237"/>
      <c r="U153" s="237"/>
      <c r="V153" s="237"/>
      <c r="W153" s="237"/>
      <c r="X153" s="237"/>
      <c r="Y153" s="237"/>
      <c r="Z153" s="237"/>
    </row>
    <row r="154" ht="18.75" customHeight="1" spans="1:26">
      <c r="A154" s="134">
        <f>B73</f>
        <v>209.28</v>
      </c>
      <c r="B154" s="133">
        <f>B108</f>
        <v>400</v>
      </c>
      <c r="C154" s="127"/>
      <c r="D154" s="127">
        <f>IF(A111="YES",(A44/100*B111)*B131,0)*0.1</f>
        <v>18</v>
      </c>
      <c r="E154" s="141"/>
      <c r="F154" s="237"/>
      <c r="G154" s="149" t="s">
        <v>323</v>
      </c>
      <c r="H154" s="109"/>
      <c r="I154" s="109"/>
      <c r="J154" s="150"/>
      <c r="K154" s="151"/>
      <c r="L154" s="237"/>
      <c r="M154" s="204">
        <f>H40</f>
        <v>3488</v>
      </c>
      <c r="N154" s="205">
        <v>0.99</v>
      </c>
      <c r="O154" s="205"/>
      <c r="P154" s="109"/>
      <c r="Q154" s="110"/>
      <c r="R154" s="237"/>
      <c r="S154" s="237"/>
      <c r="T154" s="237"/>
      <c r="U154" s="237"/>
      <c r="V154" s="237"/>
      <c r="W154" s="237"/>
      <c r="X154" s="237"/>
      <c r="Y154" s="237"/>
      <c r="Z154" s="237"/>
    </row>
    <row r="155" ht="18.75" customHeight="1" spans="1:26">
      <c r="A155" s="108"/>
      <c r="B155" s="109"/>
      <c r="C155" s="109"/>
      <c r="D155" s="109"/>
      <c r="E155" s="110"/>
      <c r="F155" s="237"/>
      <c r="G155" s="108"/>
      <c r="H155" s="152"/>
      <c r="I155" s="152"/>
      <c r="J155" s="109"/>
      <c r="K155" s="110"/>
      <c r="L155" s="237"/>
      <c r="M155" s="108"/>
      <c r="N155" s="109"/>
      <c r="O155" s="109"/>
      <c r="P155" s="109"/>
      <c r="Q155" s="110"/>
      <c r="R155" s="237"/>
      <c r="S155" s="237"/>
      <c r="T155" s="237"/>
      <c r="U155" s="237"/>
      <c r="V155" s="237"/>
      <c r="W155" s="237"/>
      <c r="X155" s="237"/>
      <c r="Y155" s="237"/>
      <c r="Z155" s="237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37"/>
      <c r="G156" s="67" t="s">
        <v>83</v>
      </c>
      <c r="H156" s="68" t="s">
        <v>84</v>
      </c>
      <c r="I156" s="68"/>
      <c r="J156" s="109"/>
      <c r="K156" s="110"/>
      <c r="L156" s="237"/>
      <c r="M156" s="108"/>
      <c r="N156" s="109"/>
      <c r="O156" s="109"/>
      <c r="P156" s="109"/>
      <c r="Q156" s="110"/>
      <c r="R156" s="237"/>
      <c r="S156" s="237"/>
      <c r="T156" s="237"/>
      <c r="U156" s="237"/>
      <c r="V156" s="237"/>
      <c r="W156" s="237"/>
      <c r="X156" s="237"/>
      <c r="Y156" s="237"/>
      <c r="Z156" s="237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727.27</v>
      </c>
      <c r="E157" s="141"/>
      <c r="F157" s="237"/>
      <c r="G157" s="67"/>
      <c r="H157" s="69">
        <f>B57</f>
        <v>5000</v>
      </c>
      <c r="I157" s="69"/>
      <c r="J157" s="109"/>
      <c r="K157" s="110"/>
      <c r="L157" s="237"/>
      <c r="M157" s="149" t="s">
        <v>323</v>
      </c>
      <c r="N157" s="109"/>
      <c r="O157" s="109"/>
      <c r="P157" s="150"/>
      <c r="Q157" s="151"/>
      <c r="R157" s="237"/>
      <c r="S157" s="237"/>
      <c r="T157" s="237"/>
      <c r="U157" s="237"/>
      <c r="V157" s="237"/>
      <c r="W157" s="237"/>
      <c r="X157" s="237"/>
      <c r="Y157" s="237"/>
      <c r="Z157" s="237"/>
    </row>
    <row r="158" ht="18.75" customHeight="1" spans="1:26">
      <c r="A158" s="108"/>
      <c r="B158" s="109"/>
      <c r="C158" s="109"/>
      <c r="D158" s="109"/>
      <c r="E158" s="110"/>
      <c r="F158" s="237"/>
      <c r="G158" s="70">
        <f>A58</f>
        <v>12</v>
      </c>
      <c r="H158" s="71" t="e">
        <f>H97</f>
        <v>#DIV/0!</v>
      </c>
      <c r="I158" s="71"/>
      <c r="J158" s="109"/>
      <c r="K158" s="110"/>
      <c r="L158" s="237"/>
      <c r="M158" s="108"/>
      <c r="N158" s="152"/>
      <c r="O158" s="152"/>
      <c r="P158" s="109"/>
      <c r="Q158" s="110"/>
      <c r="R158" s="237"/>
      <c r="S158" s="237"/>
      <c r="T158" s="237"/>
      <c r="U158" s="237"/>
      <c r="V158" s="237"/>
      <c r="W158" s="237"/>
      <c r="X158" s="237"/>
      <c r="Y158" s="237"/>
      <c r="Z158" s="237"/>
    </row>
    <row r="159" ht="18.75" customHeight="1" spans="1:26">
      <c r="A159" s="108" t="s">
        <v>325</v>
      </c>
      <c r="B159" s="109"/>
      <c r="C159" s="109"/>
      <c r="D159" s="109"/>
      <c r="E159" s="110"/>
      <c r="F159" s="237"/>
      <c r="G159" s="108"/>
      <c r="H159" s="109"/>
      <c r="I159" s="109"/>
      <c r="J159" s="109"/>
      <c r="K159" s="110"/>
      <c r="L159" s="237"/>
      <c r="M159" s="67" t="s">
        <v>83</v>
      </c>
      <c r="N159" s="68" t="s">
        <v>84</v>
      </c>
      <c r="O159" s="68"/>
      <c r="P159" s="109"/>
      <c r="Q159" s="110"/>
      <c r="R159" s="237"/>
      <c r="S159" s="237"/>
      <c r="T159" s="237"/>
      <c r="U159" s="237"/>
      <c r="V159" s="237"/>
      <c r="W159" s="237"/>
      <c r="X159" s="237"/>
      <c r="Y159" s="237"/>
      <c r="Z159" s="237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37"/>
      <c r="G160" s="108"/>
      <c r="H160" s="109"/>
      <c r="I160" s="109"/>
      <c r="J160" s="109"/>
      <c r="K160" s="110"/>
      <c r="L160" s="237"/>
      <c r="M160" s="67"/>
      <c r="N160" s="69">
        <f>B57</f>
        <v>5000</v>
      </c>
      <c r="O160" s="69"/>
      <c r="P160" s="109"/>
      <c r="Q160" s="110"/>
      <c r="R160" s="237"/>
      <c r="S160" s="237"/>
      <c r="T160" s="237"/>
      <c r="U160" s="237"/>
      <c r="V160" s="237"/>
      <c r="W160" s="237"/>
      <c r="X160" s="237"/>
      <c r="Y160" s="237"/>
      <c r="Z160" s="237"/>
    </row>
    <row r="161" ht="18.75" customHeight="1" spans="1:26">
      <c r="A161" s="108"/>
      <c r="B161" s="109"/>
      <c r="C161" s="109"/>
      <c r="D161" s="109"/>
      <c r="E161" s="110"/>
      <c r="F161" s="237"/>
      <c r="G161" s="108"/>
      <c r="H161" s="109"/>
      <c r="I161" s="109"/>
      <c r="J161" s="109"/>
      <c r="K161" s="110"/>
      <c r="L161" s="237"/>
      <c r="M161" s="70">
        <f>A58</f>
        <v>12</v>
      </c>
      <c r="N161" s="71" t="e">
        <f>N97</f>
        <v>#DIV/0!</v>
      </c>
      <c r="O161" s="71"/>
      <c r="P161" s="109"/>
      <c r="Q161" s="110"/>
      <c r="R161" s="237"/>
      <c r="S161" s="237"/>
      <c r="T161" s="237"/>
      <c r="U161" s="237"/>
      <c r="V161" s="237"/>
      <c r="W161" s="237"/>
      <c r="X161" s="237"/>
      <c r="Y161" s="237"/>
      <c r="Z161" s="237"/>
    </row>
    <row r="162" ht="18.75" customHeight="1" spans="1:26">
      <c r="A162" s="108"/>
      <c r="B162" s="109"/>
      <c r="C162" s="109"/>
      <c r="D162" s="109"/>
      <c r="E162" s="110"/>
      <c r="F162" s="237"/>
      <c r="G162" s="108"/>
      <c r="H162" s="109"/>
      <c r="I162" s="109"/>
      <c r="J162" s="109"/>
      <c r="K162" s="110"/>
      <c r="L162" s="237"/>
      <c r="M162" s="108"/>
      <c r="N162" s="109"/>
      <c r="O162" s="109"/>
      <c r="P162" s="109"/>
      <c r="Q162" s="110"/>
      <c r="R162" s="237"/>
      <c r="S162" s="237"/>
      <c r="T162" s="237"/>
      <c r="U162" s="237"/>
      <c r="V162" s="237"/>
      <c r="W162" s="237"/>
      <c r="X162" s="237"/>
      <c r="Y162" s="237"/>
      <c r="Z162" s="237"/>
    </row>
    <row r="163" ht="18.75" customHeight="1" spans="1:26">
      <c r="A163" s="149" t="s">
        <v>323</v>
      </c>
      <c r="B163" s="109"/>
      <c r="C163" s="109"/>
      <c r="D163" s="150"/>
      <c r="E163" s="151"/>
      <c r="F163" s="237"/>
      <c r="G163" s="169"/>
      <c r="H163" s="170"/>
      <c r="I163" s="170"/>
      <c r="J163" s="170"/>
      <c r="K163" s="171"/>
      <c r="L163" s="237"/>
      <c r="M163" s="108"/>
      <c r="N163" s="109"/>
      <c r="O163" s="109"/>
      <c r="P163" s="109"/>
      <c r="Q163" s="110"/>
      <c r="R163" s="237"/>
      <c r="S163" s="237"/>
      <c r="T163" s="237"/>
      <c r="U163" s="237"/>
      <c r="V163" s="237"/>
      <c r="W163" s="237"/>
      <c r="X163" s="237"/>
      <c r="Y163" s="237"/>
      <c r="Z163" s="237"/>
    </row>
    <row r="164" ht="18.75" customHeight="1" spans="1:26">
      <c r="A164" s="108"/>
      <c r="B164" s="152"/>
      <c r="C164" s="152"/>
      <c r="D164" s="109"/>
      <c r="E164" s="110"/>
      <c r="F164" s="237"/>
      <c r="G164" s="237"/>
      <c r="H164" s="237"/>
      <c r="I164" s="237"/>
      <c r="J164" s="237"/>
      <c r="K164" s="237"/>
      <c r="L164" s="237"/>
      <c r="M164" s="108"/>
      <c r="N164" s="109"/>
      <c r="O164" s="109"/>
      <c r="P164" s="109"/>
      <c r="Q164" s="110"/>
      <c r="R164" s="237"/>
      <c r="S164" s="237"/>
      <c r="T164" s="237"/>
      <c r="U164" s="237"/>
      <c r="V164" s="237"/>
      <c r="W164" s="237"/>
      <c r="X164" s="237"/>
      <c r="Y164" s="237"/>
      <c r="Z164" s="237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37"/>
      <c r="G165" s="237"/>
      <c r="H165" s="237"/>
      <c r="I165" s="237"/>
      <c r="J165" s="237"/>
      <c r="K165" s="237"/>
      <c r="L165" s="237"/>
      <c r="M165" s="108"/>
      <c r="N165" s="109"/>
      <c r="O165" s="109"/>
      <c r="P165" s="109"/>
      <c r="Q165" s="110"/>
      <c r="R165" s="237"/>
      <c r="S165" s="237"/>
      <c r="T165" s="237"/>
      <c r="U165" s="237"/>
      <c r="V165" s="237"/>
      <c r="W165" s="237"/>
      <c r="X165" s="237"/>
      <c r="Y165" s="237"/>
      <c r="Z165" s="237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37"/>
      <c r="G166" s="237"/>
      <c r="H166" s="237"/>
      <c r="I166" s="237"/>
      <c r="J166" s="237"/>
      <c r="K166" s="237"/>
      <c r="L166" s="237"/>
      <c r="M166" s="108"/>
      <c r="N166" s="109"/>
      <c r="O166" s="109"/>
      <c r="P166" s="109"/>
      <c r="Q166" s="110"/>
      <c r="R166" s="237"/>
      <c r="S166" s="237"/>
      <c r="T166" s="237"/>
      <c r="U166" s="237"/>
      <c r="V166" s="237"/>
      <c r="W166" s="237"/>
      <c r="X166" s="237"/>
      <c r="Y166" s="237"/>
      <c r="Z166" s="237"/>
    </row>
    <row r="167" ht="18.75" customHeight="1" spans="1:26">
      <c r="A167" s="70">
        <f>A58</f>
        <v>12</v>
      </c>
      <c r="B167" s="71">
        <f>B97</f>
        <v>597.441396620501</v>
      </c>
      <c r="C167" s="71"/>
      <c r="D167" s="109"/>
      <c r="E167" s="110"/>
      <c r="F167" s="237"/>
      <c r="G167" s="237"/>
      <c r="H167" s="237"/>
      <c r="I167" s="237"/>
      <c r="J167" s="237"/>
      <c r="K167" s="237"/>
      <c r="L167" s="237"/>
      <c r="M167" s="108"/>
      <c r="N167" s="109"/>
      <c r="O167" s="109"/>
      <c r="P167" s="109"/>
      <c r="Q167" s="110"/>
      <c r="R167" s="237"/>
      <c r="S167" s="237"/>
      <c r="T167" s="237"/>
      <c r="U167" s="237"/>
      <c r="V167" s="237"/>
      <c r="W167" s="237"/>
      <c r="X167" s="237"/>
      <c r="Y167" s="237"/>
      <c r="Z167" s="237"/>
    </row>
    <row r="168" ht="18.75" customHeight="1" spans="1:26">
      <c r="A168" s="108"/>
      <c r="B168" s="109"/>
      <c r="C168" s="109"/>
      <c r="D168" s="109"/>
      <c r="E168" s="110"/>
      <c r="F168" s="237"/>
      <c r="G168" s="237"/>
      <c r="H168" s="237"/>
      <c r="I168" s="237"/>
      <c r="J168" s="237"/>
      <c r="K168" s="237"/>
      <c r="L168" s="237"/>
      <c r="M168" s="169"/>
      <c r="N168" s="170"/>
      <c r="O168" s="170"/>
      <c r="P168" s="170"/>
      <c r="Q168" s="171"/>
      <c r="R168" s="237"/>
      <c r="S168" s="237"/>
      <c r="T168" s="237"/>
      <c r="U168" s="237"/>
      <c r="V168" s="237"/>
      <c r="W168" s="237"/>
      <c r="X168" s="237"/>
      <c r="Y168" s="237"/>
      <c r="Z168" s="237"/>
    </row>
    <row r="169" ht="18.75" customHeight="1" spans="1:26">
      <c r="A169" s="108"/>
      <c r="B169" s="109"/>
      <c r="C169" s="109"/>
      <c r="D169" s="109"/>
      <c r="E169" s="110"/>
      <c r="F169" s="237"/>
      <c r="G169" s="237"/>
      <c r="H169" s="237"/>
      <c r="I169" s="237"/>
      <c r="J169" s="237"/>
      <c r="K169" s="237"/>
      <c r="L169" s="237"/>
      <c r="M169" s="237"/>
      <c r="N169" s="237"/>
      <c r="O169" s="237"/>
      <c r="P169" s="237"/>
      <c r="Q169" s="237"/>
      <c r="R169" s="237"/>
      <c r="S169" s="237"/>
      <c r="T169" s="237"/>
      <c r="U169" s="237"/>
      <c r="V169" s="237"/>
      <c r="W169" s="237"/>
      <c r="X169" s="237"/>
      <c r="Y169" s="237"/>
      <c r="Z169" s="237"/>
    </row>
    <row r="170" ht="18.75" customHeight="1" spans="1:26">
      <c r="A170" s="108"/>
      <c r="B170" s="109"/>
      <c r="C170" s="109"/>
      <c r="D170" s="109"/>
      <c r="E170" s="110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237"/>
      <c r="X170" s="237"/>
      <c r="Y170" s="237"/>
      <c r="Z170" s="237"/>
    </row>
    <row r="171" ht="18.75" customHeight="1" spans="1:26">
      <c r="A171" s="153" t="s">
        <v>293</v>
      </c>
      <c r="B171" s="153"/>
      <c r="C171" s="153"/>
      <c r="D171" s="153"/>
      <c r="E171" s="153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237"/>
      <c r="Q171" s="237"/>
      <c r="R171" s="237"/>
      <c r="S171" s="237"/>
      <c r="T171" s="237"/>
      <c r="U171" s="237"/>
      <c r="V171" s="237"/>
      <c r="W171" s="237"/>
      <c r="X171" s="237"/>
      <c r="Y171" s="237"/>
      <c r="Z171" s="237"/>
    </row>
    <row r="172" ht="18.75" customHeight="1" spans="1:26">
      <c r="A172" s="108"/>
      <c r="B172" s="154"/>
      <c r="C172" s="154"/>
      <c r="D172" s="154"/>
      <c r="E172" s="110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237"/>
      <c r="Q172" s="237"/>
      <c r="R172" s="237"/>
      <c r="S172" s="237"/>
      <c r="T172" s="237"/>
      <c r="U172" s="237"/>
      <c r="V172" s="237"/>
      <c r="W172" s="237"/>
      <c r="X172" s="237"/>
      <c r="Y172" s="237"/>
      <c r="Z172" s="237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237"/>
      <c r="Q173" s="237"/>
      <c r="R173" s="237"/>
      <c r="S173" s="237"/>
      <c r="T173" s="237"/>
      <c r="U173" s="237"/>
      <c r="V173" s="237"/>
      <c r="W173" s="237"/>
      <c r="X173" s="237"/>
      <c r="Y173" s="237"/>
      <c r="Z173" s="237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37"/>
      <c r="G174" s="237" t="b">
        <f>ISNUMBER(B183)</f>
        <v>1</v>
      </c>
      <c r="H174" s="237"/>
      <c r="I174" s="237"/>
      <c r="J174" s="237"/>
      <c r="K174" s="237"/>
      <c r="L174" s="237"/>
      <c r="M174" s="237"/>
      <c r="N174" s="237"/>
      <c r="O174" s="237"/>
      <c r="P174" s="237"/>
      <c r="Q174" s="237"/>
      <c r="R174" s="237"/>
      <c r="S174" s="237"/>
      <c r="T174" s="237"/>
      <c r="U174" s="237"/>
      <c r="V174" s="237"/>
      <c r="W174" s="237"/>
      <c r="X174" s="237"/>
      <c r="Y174" s="237"/>
      <c r="Z174" s="237"/>
    </row>
    <row r="175" ht="18.75" customHeight="1" spans="1:26">
      <c r="A175" s="111"/>
      <c r="B175" s="155"/>
      <c r="C175" s="155"/>
      <c r="D175" s="155"/>
      <c r="E175" s="114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237"/>
      <c r="Q175" s="237"/>
      <c r="R175" s="237"/>
      <c r="S175" s="237"/>
      <c r="T175" s="237"/>
      <c r="U175" s="237"/>
      <c r="V175" s="237"/>
      <c r="W175" s="237"/>
      <c r="X175" s="237"/>
      <c r="Y175" s="237"/>
      <c r="Z175" s="237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237"/>
      <c r="Q176" s="237"/>
      <c r="R176" s="237"/>
      <c r="S176" s="237"/>
      <c r="T176" s="237"/>
      <c r="U176" s="237"/>
      <c r="V176" s="237"/>
      <c r="W176" s="237"/>
      <c r="X176" s="237"/>
      <c r="Y176" s="237"/>
      <c r="Z176" s="237"/>
    </row>
    <row r="177" ht="18.75" customHeight="1" spans="1:26">
      <c r="A177" s="116">
        <f>B96</f>
        <v>532.441396620501</v>
      </c>
      <c r="B177" s="156">
        <f>IF(A111="YES",B95,0)</f>
        <v>65</v>
      </c>
      <c r="C177" s="159"/>
      <c r="D177" s="156">
        <f>B91</f>
        <v>6335.62666666667</v>
      </c>
      <c r="E177" s="114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</row>
    <row r="178" ht="18.75" customHeight="1" spans="1:26">
      <c r="A178" s="108"/>
      <c r="B178" s="154"/>
      <c r="C178" s="154"/>
      <c r="D178" s="154"/>
      <c r="E178" s="110"/>
      <c r="F178" s="237"/>
      <c r="G178" s="237"/>
      <c r="H178" s="237"/>
      <c r="I178" s="237"/>
      <c r="J178" s="237"/>
      <c r="K178" s="237"/>
      <c r="L178" s="237"/>
      <c r="M178" s="237"/>
      <c r="N178" s="237"/>
      <c r="O178" s="237"/>
      <c r="P178" s="237"/>
      <c r="Q178" s="237"/>
      <c r="R178" s="237"/>
      <c r="S178" s="237"/>
      <c r="T178" s="237"/>
      <c r="U178" s="237"/>
      <c r="V178" s="237"/>
      <c r="W178" s="237"/>
      <c r="X178" s="237"/>
      <c r="Y178" s="237"/>
      <c r="Z178" s="237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7"/>
      <c r="Q179" s="237"/>
      <c r="R179" s="237"/>
      <c r="S179" s="237"/>
      <c r="T179" s="237"/>
      <c r="U179" s="237"/>
      <c r="V179" s="237"/>
      <c r="W179" s="237"/>
      <c r="X179" s="237"/>
      <c r="Y179" s="237"/>
      <c r="Z179" s="237"/>
    </row>
    <row r="180" ht="18.75" customHeight="1" spans="1:26">
      <c r="A180" s="20" t="str">
        <f>B105</f>
        <v> Monthly in advance </v>
      </c>
      <c r="B180" s="133">
        <f>B96*B63</f>
        <v>532.441396620501</v>
      </c>
      <c r="C180" s="154"/>
      <c r="D180" s="133">
        <f>IF(A111="YES",B95*B63,0)</f>
        <v>65</v>
      </c>
      <c r="E180" s="110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</row>
    <row r="181" ht="18.75" customHeight="1" spans="1:26">
      <c r="A181" s="108"/>
      <c r="B181" s="154"/>
      <c r="C181" s="154"/>
      <c r="D181" s="154"/>
      <c r="E181" s="110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/>
      <c r="P181" s="237"/>
      <c r="Q181" s="237"/>
      <c r="R181" s="237"/>
      <c r="S181" s="237"/>
      <c r="T181" s="237"/>
      <c r="U181" s="237"/>
      <c r="V181" s="237"/>
      <c r="W181" s="237"/>
      <c r="X181" s="237"/>
      <c r="Y181" s="237"/>
      <c r="Z181" s="237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37"/>
      <c r="G182" s="237"/>
      <c r="H182" s="237"/>
      <c r="I182" s="237"/>
      <c r="J182" s="237"/>
      <c r="K182" s="237"/>
      <c r="L182" s="237"/>
      <c r="M182" s="237"/>
      <c r="N182" s="237"/>
      <c r="O182" s="237"/>
      <c r="P182" s="237"/>
      <c r="Q182" s="237"/>
      <c r="R182" s="237"/>
      <c r="S182" s="237"/>
      <c r="T182" s="237"/>
      <c r="U182" s="237"/>
      <c r="V182" s="237"/>
      <c r="W182" s="237"/>
      <c r="X182" s="237"/>
      <c r="Y182" s="237"/>
      <c r="Z182" s="237"/>
    </row>
    <row r="183" ht="18.75" customHeight="1" spans="1:26">
      <c r="A183" s="134">
        <f>B97*B63</f>
        <v>597.441396620501</v>
      </c>
      <c r="B183" s="133">
        <f>E120</f>
        <v>4000</v>
      </c>
      <c r="C183" s="154"/>
      <c r="D183" s="162">
        <f>B64</f>
        <v>11</v>
      </c>
      <c r="E183" s="110"/>
      <c r="F183" s="237"/>
      <c r="G183" s="237"/>
      <c r="H183" s="237"/>
      <c r="I183" s="237"/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237"/>
      <c r="U183" s="237"/>
      <c r="V183" s="237"/>
      <c r="W183" s="237"/>
      <c r="X183" s="237"/>
      <c r="Y183" s="237"/>
      <c r="Z183" s="237"/>
    </row>
    <row r="184" ht="18.75" customHeight="1" spans="1:26">
      <c r="A184" s="134"/>
      <c r="B184" s="163"/>
      <c r="C184" s="154"/>
      <c r="D184" s="154"/>
      <c r="E184" s="110"/>
      <c r="F184" s="237"/>
      <c r="G184" s="237"/>
      <c r="H184" s="237"/>
      <c r="I184" s="237"/>
      <c r="J184" s="237"/>
      <c r="K184" s="237"/>
      <c r="L184" s="237"/>
      <c r="M184" s="237"/>
      <c r="N184" s="237"/>
      <c r="O184" s="237"/>
      <c r="P184" s="237"/>
      <c r="Q184" s="237"/>
      <c r="R184" s="237"/>
      <c r="S184" s="237"/>
      <c r="T184" s="237"/>
      <c r="U184" s="237"/>
      <c r="V184" s="237"/>
      <c r="W184" s="237"/>
      <c r="X184" s="237"/>
      <c r="Y184" s="237"/>
      <c r="Z184" s="237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37"/>
      <c r="G185" s="237"/>
      <c r="H185" s="237"/>
      <c r="I185" s="237"/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237"/>
      <c r="U185" s="237"/>
      <c r="V185" s="237"/>
      <c r="W185" s="237"/>
      <c r="X185" s="237"/>
      <c r="Y185" s="237"/>
      <c r="Z185" s="237"/>
    </row>
    <row r="186" ht="18.75" customHeight="1" spans="1:26">
      <c r="A186" s="134">
        <f>B96</f>
        <v>532.441396620501</v>
      </c>
      <c r="B186" s="133">
        <f>IF(A111="YES",B95,0)</f>
        <v>65</v>
      </c>
      <c r="C186" s="154"/>
      <c r="D186" s="133">
        <f>B97</f>
        <v>597.441396620501</v>
      </c>
      <c r="E186" s="110"/>
      <c r="F186" s="237"/>
      <c r="G186" s="237"/>
      <c r="H186" s="237"/>
      <c r="I186" s="237"/>
      <c r="J186" s="237"/>
      <c r="K186" s="237"/>
      <c r="L186" s="237"/>
      <c r="M186" s="237"/>
      <c r="N186" s="237"/>
      <c r="O186" s="237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</row>
    <row r="187" ht="18.75" customHeight="1" spans="1:26">
      <c r="A187" s="108"/>
      <c r="B187" s="154"/>
      <c r="C187" s="154"/>
      <c r="D187" s="154"/>
      <c r="E187" s="110"/>
      <c r="F187" s="237"/>
      <c r="G187" s="237"/>
      <c r="H187" s="237"/>
      <c r="I187" s="237"/>
      <c r="J187" s="237"/>
      <c r="K187" s="237"/>
      <c r="L187" s="237"/>
      <c r="M187" s="237"/>
      <c r="N187" s="237"/>
      <c r="O187" s="237"/>
      <c r="P187" s="237"/>
      <c r="Q187" s="237"/>
      <c r="R187" s="237"/>
      <c r="S187" s="237"/>
      <c r="T187" s="237"/>
      <c r="U187" s="237"/>
      <c r="V187" s="237"/>
      <c r="W187" s="237"/>
      <c r="X187" s="237"/>
      <c r="Y187" s="237"/>
      <c r="Z187" s="237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37"/>
      <c r="G188" s="237"/>
      <c r="H188" s="237"/>
      <c r="I188" s="237"/>
      <c r="J188" s="237"/>
      <c r="K188" s="237"/>
      <c r="L188" s="237"/>
      <c r="M188" s="237"/>
      <c r="N188" s="237"/>
      <c r="O188" s="237"/>
      <c r="P188" s="237"/>
      <c r="Q188" s="237"/>
      <c r="R188" s="237"/>
      <c r="S188" s="237"/>
      <c r="T188" s="237"/>
      <c r="U188" s="237"/>
      <c r="V188" s="237"/>
      <c r="W188" s="237"/>
      <c r="X188" s="237"/>
      <c r="Y188" s="237"/>
      <c r="Z188" s="237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237"/>
      <c r="Q189" s="237"/>
      <c r="R189" s="237"/>
      <c r="S189" s="237"/>
      <c r="T189" s="237"/>
      <c r="U189" s="237"/>
      <c r="V189" s="237"/>
      <c r="W189" s="237"/>
      <c r="X189" s="237"/>
      <c r="Y189" s="237"/>
      <c r="Z189" s="237"/>
    </row>
    <row r="190" ht="18.75" customHeight="1" spans="1:26">
      <c r="A190" s="142"/>
      <c r="B190" s="166"/>
      <c r="C190" s="154"/>
      <c r="D190" s="166"/>
      <c r="E190" s="110"/>
      <c r="F190" s="237"/>
      <c r="G190" s="237"/>
      <c r="H190" s="237"/>
      <c r="I190" s="237"/>
      <c r="J190" s="237"/>
      <c r="K190" s="237"/>
      <c r="L190" s="237"/>
      <c r="M190" s="237"/>
      <c r="N190" s="237"/>
      <c r="O190" s="237"/>
      <c r="P190" s="237"/>
      <c r="Q190" s="237"/>
      <c r="R190" s="237"/>
      <c r="S190" s="237"/>
      <c r="T190" s="237"/>
      <c r="U190" s="237"/>
      <c r="V190" s="237"/>
      <c r="W190" s="237"/>
      <c r="X190" s="237"/>
      <c r="Y190" s="237"/>
      <c r="Z190" s="237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37"/>
      <c r="G191" s="237"/>
      <c r="H191" s="237"/>
      <c r="I191" s="237"/>
      <c r="J191" s="237"/>
      <c r="K191" s="237"/>
      <c r="L191" s="237"/>
      <c r="M191" s="237"/>
      <c r="N191" s="237"/>
      <c r="O191" s="237"/>
      <c r="P191" s="237"/>
      <c r="Q191" s="237"/>
      <c r="R191" s="237"/>
      <c r="S191" s="237"/>
      <c r="T191" s="237"/>
      <c r="U191" s="237"/>
      <c r="V191" s="237"/>
      <c r="W191" s="237"/>
      <c r="X191" s="237"/>
      <c r="Y191" s="237"/>
      <c r="Z191" s="237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7"/>
      <c r="Q192" s="237"/>
      <c r="R192" s="237"/>
      <c r="S192" s="237"/>
      <c r="T192" s="237"/>
      <c r="U192" s="237"/>
      <c r="V192" s="237"/>
      <c r="W192" s="237"/>
      <c r="X192" s="237"/>
      <c r="Y192" s="237"/>
      <c r="Z192" s="237"/>
    </row>
    <row r="193" ht="18.75" customHeight="1" spans="1:26">
      <c r="A193" s="134"/>
      <c r="B193" s="133"/>
      <c r="C193" s="154"/>
      <c r="D193" s="133"/>
      <c r="E193" s="110"/>
      <c r="F193" s="237"/>
      <c r="G193" s="237"/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7"/>
      <c r="T193" s="237"/>
      <c r="U193" s="237"/>
      <c r="V193" s="237"/>
      <c r="W193" s="237"/>
      <c r="X193" s="237"/>
      <c r="Y193" s="237"/>
      <c r="Z193" s="237"/>
    </row>
    <row r="194" ht="18.75" customHeight="1" spans="1:26">
      <c r="A194" s="145" t="s">
        <v>319</v>
      </c>
      <c r="B194" s="146"/>
      <c r="C194" s="147"/>
      <c r="D194" s="146"/>
      <c r="E194" s="148"/>
      <c r="F194" s="237"/>
      <c r="G194" s="237"/>
      <c r="H194" s="237"/>
      <c r="I194" s="237"/>
      <c r="J194" s="237"/>
      <c r="K194" s="237"/>
      <c r="L194" s="237"/>
      <c r="M194" s="237"/>
      <c r="N194" s="237"/>
      <c r="O194" s="237"/>
      <c r="P194" s="237"/>
      <c r="Q194" s="237"/>
      <c r="R194" s="237"/>
      <c r="S194" s="237"/>
      <c r="T194" s="237"/>
      <c r="U194" s="237"/>
      <c r="V194" s="237"/>
      <c r="W194" s="237"/>
      <c r="X194" s="237"/>
      <c r="Y194" s="237"/>
      <c r="Z194" s="237"/>
    </row>
    <row r="195" ht="18.75" customHeight="1" spans="1:26">
      <c r="A195" s="142"/>
      <c r="B195" s="166"/>
      <c r="C195" s="154"/>
      <c r="D195" s="166"/>
      <c r="E195" s="110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237"/>
      <c r="Q195" s="237"/>
      <c r="R195" s="237"/>
      <c r="S195" s="237"/>
      <c r="T195" s="237"/>
      <c r="U195" s="237"/>
      <c r="V195" s="237"/>
      <c r="W195" s="237"/>
      <c r="X195" s="237"/>
      <c r="Y195" s="237"/>
      <c r="Z195" s="237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IF(A111="YES",(A44/100*B111)*B131,0)*0.1</f>
        <v>18</v>
      </c>
      <c r="E197" s="141"/>
      <c r="F197" s="237"/>
      <c r="G197" s="237"/>
      <c r="H197" s="237"/>
      <c r="I197" s="237"/>
      <c r="J197" s="237"/>
      <c r="K197" s="237"/>
      <c r="L197" s="237"/>
      <c r="M197" s="237"/>
      <c r="N197" s="237"/>
      <c r="O197" s="237"/>
      <c r="P197" s="237"/>
      <c r="Q197" s="237"/>
      <c r="R197" s="237"/>
      <c r="S197" s="237"/>
      <c r="T197" s="237"/>
      <c r="U197" s="237"/>
      <c r="V197" s="237"/>
      <c r="W197" s="237"/>
      <c r="X197" s="237"/>
      <c r="Y197" s="237"/>
      <c r="Z197" s="237"/>
    </row>
    <row r="198" ht="18.75" customHeight="1" spans="1:26">
      <c r="A198" s="108"/>
      <c r="B198" s="154"/>
      <c r="C198" s="154"/>
      <c r="D198" s="154"/>
      <c r="E198" s="110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237"/>
      <c r="Q198" s="237"/>
      <c r="R198" s="237"/>
      <c r="S198" s="237"/>
      <c r="T198" s="237"/>
      <c r="U198" s="237"/>
      <c r="V198" s="237"/>
      <c r="W198" s="237"/>
      <c r="X198" s="237"/>
      <c r="Y198" s="237"/>
      <c r="Z198" s="237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37"/>
      <c r="G199" s="237"/>
      <c r="H199" s="237"/>
      <c r="I199" s="237"/>
      <c r="J199" s="237"/>
      <c r="K199" s="237"/>
      <c r="L199" s="237"/>
      <c r="M199" s="237"/>
      <c r="N199" s="237"/>
      <c r="O199" s="237"/>
      <c r="P199" s="237"/>
      <c r="Q199" s="237"/>
      <c r="R199" s="237"/>
      <c r="S199" s="237"/>
      <c r="T199" s="237"/>
      <c r="U199" s="237"/>
      <c r="V199" s="237"/>
      <c r="W199" s="237"/>
      <c r="X199" s="237"/>
      <c r="Y199" s="237"/>
      <c r="Z199" s="237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727.27</v>
      </c>
      <c r="E200" s="141"/>
      <c r="F200" s="237"/>
      <c r="G200" s="237"/>
      <c r="H200" s="237"/>
      <c r="I200" s="237"/>
      <c r="J200" s="237"/>
      <c r="K200" s="237"/>
      <c r="L200" s="237"/>
      <c r="M200" s="237"/>
      <c r="N200" s="237"/>
      <c r="O200" s="237"/>
      <c r="P200" s="237"/>
      <c r="Q200" s="237"/>
      <c r="R200" s="237"/>
      <c r="S200" s="237"/>
      <c r="T200" s="237"/>
      <c r="U200" s="237"/>
      <c r="V200" s="237"/>
      <c r="W200" s="237"/>
      <c r="X200" s="237"/>
      <c r="Y200" s="237"/>
      <c r="Z200" s="237"/>
    </row>
    <row r="201" ht="18.75" customHeight="1" spans="1:26">
      <c r="A201" s="108"/>
      <c r="B201" s="154"/>
      <c r="C201" s="154"/>
      <c r="D201" s="154"/>
      <c r="E201" s="110"/>
      <c r="F201" s="237"/>
      <c r="L201" s="237"/>
      <c r="M201" s="237"/>
      <c r="N201" s="237"/>
      <c r="O201" s="237"/>
      <c r="P201" s="237"/>
      <c r="Q201" s="237"/>
      <c r="R201" s="237"/>
      <c r="S201" s="237"/>
      <c r="T201" s="237"/>
      <c r="U201" s="237"/>
      <c r="V201" s="237"/>
      <c r="W201" s="237"/>
      <c r="X201" s="237"/>
      <c r="Y201" s="237"/>
      <c r="Z201" s="237"/>
    </row>
    <row r="202" ht="18.75" customHeight="1" spans="1:26">
      <c r="A202" s="108" t="s">
        <v>325</v>
      </c>
      <c r="B202" s="154"/>
      <c r="C202" s="154"/>
      <c r="D202" s="154"/>
      <c r="E202" s="110"/>
      <c r="F202" s="237"/>
      <c r="L202" s="237"/>
      <c r="M202" s="237"/>
      <c r="N202" s="237"/>
      <c r="O202" s="237"/>
      <c r="P202" s="237"/>
      <c r="Q202" s="237"/>
      <c r="R202" s="237"/>
      <c r="S202" s="237"/>
      <c r="T202" s="237"/>
      <c r="U202" s="237"/>
      <c r="V202" s="237"/>
      <c r="W202" s="237"/>
      <c r="X202" s="237"/>
      <c r="Y202" s="237"/>
      <c r="Z202" s="237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37"/>
      <c r="L203" s="237"/>
      <c r="M203" s="237"/>
      <c r="N203" s="237"/>
      <c r="O203" s="237"/>
      <c r="P203" s="237"/>
      <c r="Q203" s="237"/>
      <c r="R203" s="237"/>
      <c r="S203" s="237"/>
      <c r="T203" s="237"/>
      <c r="U203" s="237"/>
      <c r="V203" s="237"/>
      <c r="W203" s="237"/>
      <c r="X203" s="237"/>
      <c r="Y203" s="237"/>
      <c r="Z203" s="237"/>
    </row>
    <row r="204" ht="18.75" customHeight="1" spans="1:26">
      <c r="A204" s="169"/>
      <c r="B204" s="170"/>
      <c r="C204" s="170"/>
      <c r="D204" s="170"/>
      <c r="E204" s="171"/>
      <c r="F204" s="237"/>
      <c r="L204" s="237"/>
      <c r="M204" s="237"/>
      <c r="N204" s="237"/>
      <c r="O204" s="237"/>
      <c r="P204" s="237"/>
      <c r="Q204" s="237"/>
      <c r="R204" s="237"/>
      <c r="S204" s="237"/>
      <c r="T204" s="237"/>
      <c r="U204" s="237"/>
      <c r="V204" s="237"/>
      <c r="W204" s="237"/>
      <c r="X204" s="237"/>
      <c r="Y204" s="237"/>
      <c r="Z204" s="237"/>
    </row>
    <row r="205" ht="18.75" customHeight="1" spans="1:26">
      <c r="A205" s="2"/>
      <c r="B205" s="2"/>
      <c r="C205" s="2"/>
      <c r="D205" s="2"/>
      <c r="E205" s="2"/>
      <c r="F205" s="237"/>
      <c r="L205" s="237"/>
      <c r="M205" s="237"/>
      <c r="N205" s="237"/>
      <c r="O205" s="237"/>
      <c r="P205" s="237"/>
      <c r="Q205" s="237"/>
      <c r="R205" s="237"/>
      <c r="S205" s="237"/>
      <c r="T205" s="237"/>
      <c r="U205" s="237"/>
      <c r="V205" s="237"/>
      <c r="W205" s="237"/>
      <c r="X205" s="237"/>
      <c r="Y205" s="237"/>
      <c r="Z205" s="237"/>
    </row>
    <row r="206" ht="18.75" customHeight="1" spans="1:26">
      <c r="A206" s="2"/>
      <c r="B206" s="2"/>
      <c r="C206" s="2"/>
      <c r="D206" s="2"/>
      <c r="E206" s="2"/>
      <c r="F206" s="237"/>
      <c r="L206" s="237"/>
      <c r="M206" s="237"/>
      <c r="N206" s="237"/>
      <c r="O206" s="237"/>
      <c r="P206" s="237"/>
      <c r="Q206" s="237"/>
      <c r="R206" s="237"/>
      <c r="S206" s="237"/>
      <c r="T206" s="237"/>
      <c r="U206" s="237"/>
      <c r="V206" s="237"/>
      <c r="W206" s="237"/>
      <c r="X206" s="237"/>
      <c r="Y206" s="237"/>
      <c r="Z206" s="237"/>
    </row>
    <row r="207" ht="18.75" customHeight="1" spans="1:26">
      <c r="A207" s="153" t="s">
        <v>214</v>
      </c>
      <c r="B207" s="153"/>
      <c r="C207" s="153"/>
      <c r="D207" s="153"/>
      <c r="E207" s="153"/>
      <c r="F207" s="237"/>
      <c r="L207" s="237"/>
      <c r="M207" s="237"/>
      <c r="N207" s="237"/>
      <c r="O207" s="237"/>
      <c r="P207" s="237"/>
      <c r="Q207" s="237"/>
      <c r="R207" s="237"/>
      <c r="S207" s="237"/>
      <c r="T207" s="237"/>
      <c r="U207" s="237"/>
      <c r="V207" s="237"/>
      <c r="W207" s="237"/>
      <c r="X207" s="237"/>
      <c r="Y207" s="237"/>
      <c r="Z207" s="237"/>
    </row>
    <row r="208" ht="18.75" customHeight="1" spans="1:26">
      <c r="A208" s="108"/>
      <c r="B208" s="109"/>
      <c r="C208" s="109"/>
      <c r="D208" s="109"/>
      <c r="E208" s="110"/>
      <c r="F208" s="237"/>
      <c r="L208" s="237"/>
      <c r="M208" s="237"/>
      <c r="N208" s="237"/>
      <c r="O208" s="237"/>
      <c r="P208" s="237"/>
      <c r="Q208" s="237"/>
      <c r="R208" s="237"/>
      <c r="S208" s="237"/>
      <c r="T208" s="237"/>
      <c r="U208" s="237"/>
      <c r="V208" s="237"/>
      <c r="W208" s="237"/>
      <c r="X208" s="237"/>
      <c r="Y208" s="237"/>
      <c r="Z208" s="237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D70</f>
        <v>1464.96</v>
      </c>
      <c r="E209" s="114"/>
      <c r="F209" s="237"/>
      <c r="L209" s="237"/>
      <c r="M209" s="237"/>
      <c r="N209" s="237"/>
      <c r="O209" s="237"/>
      <c r="P209" s="237"/>
      <c r="Q209" s="237"/>
      <c r="R209" s="237"/>
      <c r="S209" s="237"/>
      <c r="T209" s="237"/>
      <c r="U209" s="237"/>
      <c r="V209" s="237"/>
      <c r="W209" s="237"/>
      <c r="X209" s="237"/>
      <c r="Y209" s="237"/>
      <c r="Z209" s="237"/>
    </row>
    <row r="210" ht="18.75" customHeight="1" spans="1:26">
      <c r="A210" s="116"/>
      <c r="B210" s="117"/>
      <c r="C210" s="118"/>
      <c r="D210" s="117"/>
      <c r="E210" s="114"/>
      <c r="F210" s="237"/>
      <c r="L210" s="237"/>
      <c r="M210" s="237"/>
      <c r="N210" s="237"/>
      <c r="O210" s="237"/>
      <c r="P210" s="237"/>
      <c r="Q210" s="237"/>
      <c r="R210" s="237"/>
      <c r="S210" s="237"/>
      <c r="T210" s="237"/>
      <c r="U210" s="237"/>
      <c r="V210" s="237"/>
      <c r="W210" s="237"/>
      <c r="X210" s="237"/>
      <c r="Y210" s="237"/>
      <c r="Z210" s="237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519.99</v>
      </c>
      <c r="E211" s="114"/>
      <c r="F211" s="237"/>
      <c r="L211" s="237"/>
      <c r="M211" s="237"/>
      <c r="N211" s="237"/>
      <c r="O211" s="237"/>
      <c r="P211" s="237"/>
      <c r="Q211" s="237"/>
      <c r="R211" s="237"/>
      <c r="S211" s="237"/>
      <c r="T211" s="237"/>
      <c r="U211" s="237"/>
      <c r="V211" s="237"/>
      <c r="W211" s="237"/>
      <c r="X211" s="237"/>
      <c r="Y211" s="237"/>
      <c r="Z211" s="237"/>
    </row>
    <row r="212" ht="18.75" customHeight="1" spans="1:26">
      <c r="A212" s="111"/>
      <c r="B212" s="174"/>
      <c r="C212" s="113"/>
      <c r="D212" s="112"/>
      <c r="E212" s="114"/>
      <c r="F212" s="237"/>
      <c r="L212" s="237"/>
      <c r="M212" s="237"/>
      <c r="N212" s="237"/>
      <c r="O212" s="237"/>
      <c r="P212" s="237"/>
      <c r="Q212" s="237"/>
      <c r="R212" s="237"/>
      <c r="S212" s="237"/>
      <c r="T212" s="237"/>
      <c r="U212" s="237"/>
      <c r="V212" s="237"/>
      <c r="W212" s="237"/>
      <c r="X212" s="237"/>
      <c r="Y212" s="237"/>
      <c r="Z212" s="237"/>
    </row>
    <row r="213" ht="18.75" customHeight="1" spans="1:26">
      <c r="A213" s="116" t="s">
        <v>220</v>
      </c>
      <c r="B213" s="113">
        <f>E223</f>
        <v>1775.67</v>
      </c>
      <c r="C213" s="118"/>
      <c r="D213" s="113"/>
      <c r="E213" s="114"/>
      <c r="F213" s="237"/>
      <c r="L213" s="237"/>
      <c r="M213" s="237"/>
      <c r="N213" s="237"/>
      <c r="O213" s="237"/>
      <c r="P213" s="237"/>
      <c r="Q213" s="237"/>
      <c r="R213" s="237"/>
      <c r="S213" s="237"/>
      <c r="T213" s="237"/>
      <c r="U213" s="237"/>
      <c r="V213" s="237"/>
      <c r="W213" s="237"/>
      <c r="X213" s="237"/>
      <c r="Y213" s="237"/>
      <c r="Z213" s="237"/>
    </row>
    <row r="214" ht="18.75" customHeight="1" spans="1:26">
      <c r="A214" s="108"/>
      <c r="B214" s="138"/>
      <c r="C214" s="109"/>
      <c r="D214" s="109"/>
      <c r="E214" s="110"/>
      <c r="F214" s="237"/>
      <c r="L214" s="237"/>
      <c r="M214" s="237"/>
      <c r="N214" s="237"/>
      <c r="O214" s="237"/>
      <c r="P214" s="237"/>
      <c r="Q214" s="237"/>
      <c r="R214" s="237"/>
      <c r="S214" s="237"/>
      <c r="T214" s="237"/>
      <c r="U214" s="237"/>
      <c r="V214" s="237"/>
      <c r="W214" s="237"/>
      <c r="X214" s="237"/>
      <c r="Y214" s="237"/>
      <c r="Z214" s="237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</row>
    <row r="216" ht="18.75" customHeight="1" spans="1:26">
      <c r="A216" s="20"/>
      <c r="B216" s="129"/>
      <c r="C216" s="109"/>
      <c r="D216" s="127"/>
      <c r="E216" s="110"/>
      <c r="F216" s="237"/>
      <c r="L216" s="237"/>
      <c r="M216" s="237"/>
      <c r="N216" s="237"/>
      <c r="O216" s="237"/>
      <c r="P216" s="237"/>
      <c r="Q216" s="237"/>
      <c r="R216" s="237"/>
      <c r="S216" s="237"/>
      <c r="T216" s="237"/>
      <c r="U216" s="237"/>
      <c r="V216" s="237"/>
      <c r="W216" s="237"/>
      <c r="X216" s="237"/>
      <c r="Y216" s="237"/>
      <c r="Z216" s="237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37"/>
      <c r="L217" s="237"/>
      <c r="M217" s="237"/>
      <c r="N217" s="237"/>
      <c r="O217" s="237"/>
      <c r="P217" s="237"/>
      <c r="Q217" s="237"/>
      <c r="R217" s="237"/>
      <c r="S217" s="237"/>
      <c r="T217" s="237"/>
      <c r="U217" s="237"/>
      <c r="V217" s="237"/>
      <c r="W217" s="237"/>
      <c r="X217" s="237"/>
      <c r="Y217" s="237"/>
      <c r="Z217" s="237"/>
    </row>
    <row r="218" ht="18.75" customHeight="1" spans="1:26">
      <c r="A218" s="132"/>
      <c r="B218" s="129"/>
      <c r="C218" s="130"/>
      <c r="D218" s="131"/>
      <c r="E218" s="110"/>
      <c r="F218" s="237"/>
      <c r="L218" s="237"/>
      <c r="M218" s="237"/>
      <c r="N218" s="237"/>
      <c r="O218" s="237"/>
      <c r="P218" s="237"/>
      <c r="Q218" s="237"/>
      <c r="R218" s="237"/>
      <c r="S218" s="237"/>
      <c r="T218" s="237"/>
      <c r="U218" s="237"/>
      <c r="V218" s="237"/>
      <c r="W218" s="237"/>
      <c r="X218" s="237"/>
      <c r="Y218" s="237"/>
      <c r="Z218" s="237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37"/>
      <c r="L219" s="237"/>
      <c r="M219" s="237"/>
      <c r="N219" s="237"/>
      <c r="O219" s="237"/>
      <c r="P219" s="237"/>
      <c r="Q219" s="237"/>
      <c r="R219" s="237"/>
      <c r="S219" s="237"/>
      <c r="T219" s="237"/>
      <c r="U219" s="237"/>
      <c r="V219" s="237"/>
      <c r="W219" s="237"/>
      <c r="X219" s="237"/>
      <c r="Y219" s="237"/>
      <c r="Z219" s="237"/>
    </row>
    <row r="220" ht="18.75" customHeight="1" spans="1:26">
      <c r="A220" s="134"/>
      <c r="B220" s="138"/>
      <c r="C220" s="130"/>
      <c r="D220" s="109"/>
      <c r="E220" s="110"/>
      <c r="F220" s="237"/>
      <c r="L220" s="237"/>
      <c r="M220" s="237"/>
      <c r="N220" s="237"/>
      <c r="O220" s="237"/>
      <c r="P220" s="237"/>
      <c r="Q220" s="237"/>
      <c r="R220" s="237"/>
      <c r="S220" s="237"/>
      <c r="T220" s="237"/>
      <c r="U220" s="237"/>
      <c r="V220" s="237"/>
      <c r="W220" s="237"/>
      <c r="X220" s="237"/>
      <c r="Y220" s="237"/>
      <c r="Z220" s="237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37"/>
      <c r="L221" s="237"/>
      <c r="M221" s="237"/>
      <c r="N221" s="237"/>
      <c r="O221" s="237"/>
      <c r="P221" s="237"/>
      <c r="Q221" s="237"/>
      <c r="R221" s="237"/>
      <c r="S221" s="237"/>
      <c r="T221" s="237"/>
      <c r="U221" s="237"/>
      <c r="V221" s="237"/>
      <c r="W221" s="237"/>
      <c r="X221" s="237"/>
      <c r="Y221" s="237"/>
      <c r="Z221" s="237"/>
    </row>
    <row r="222" ht="18.75" customHeight="1" spans="1:26">
      <c r="A222" s="134"/>
      <c r="B222" s="129"/>
      <c r="C222" s="130"/>
      <c r="D222" s="127"/>
      <c r="E222" s="110"/>
      <c r="F222" s="237"/>
      <c r="L222" s="237"/>
      <c r="M222" s="237"/>
      <c r="N222" s="237"/>
      <c r="O222" s="237"/>
      <c r="P222" s="237"/>
      <c r="Q222" s="237"/>
      <c r="R222" s="237"/>
      <c r="S222" s="237"/>
      <c r="T222" s="237"/>
      <c r="U222" s="237"/>
      <c r="V222" s="237"/>
      <c r="W222" s="237"/>
      <c r="X222" s="237"/>
      <c r="Y222" s="237"/>
      <c r="Z222" s="237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1775.67</v>
      </c>
      <c r="F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</row>
    <row r="224" ht="18.75" customHeight="1" spans="1:26">
      <c r="A224" s="181"/>
      <c r="B224" s="140"/>
      <c r="C224" s="127"/>
      <c r="D224" s="140"/>
      <c r="E224" s="106"/>
      <c r="F224" s="237"/>
      <c r="L224" s="237"/>
      <c r="M224" s="237"/>
      <c r="N224" s="237"/>
      <c r="O224" s="237"/>
      <c r="P224" s="237"/>
      <c r="Q224" s="237"/>
      <c r="R224" s="237"/>
      <c r="S224" s="237"/>
      <c r="T224" s="237"/>
      <c r="U224" s="237"/>
      <c r="V224" s="237"/>
      <c r="W224" s="237"/>
      <c r="X224" s="237"/>
      <c r="Y224" s="237"/>
      <c r="Z224" s="237"/>
    </row>
    <row r="225" ht="18.75" customHeight="1" spans="1:26">
      <c r="A225" s="181" t="s">
        <v>328</v>
      </c>
      <c r="B225" s="140">
        <f>D197/0.1</f>
        <v>180</v>
      </c>
      <c r="C225" s="127"/>
      <c r="D225" s="140"/>
      <c r="E225" s="106"/>
      <c r="F225" s="237"/>
      <c r="L225" s="237"/>
      <c r="M225" s="237"/>
      <c r="N225" s="237"/>
      <c r="O225" s="237"/>
      <c r="P225" s="237"/>
      <c r="Q225" s="237"/>
      <c r="R225" s="237"/>
      <c r="S225" s="237"/>
      <c r="T225" s="237"/>
      <c r="U225" s="237"/>
      <c r="V225" s="237"/>
      <c r="W225" s="237"/>
      <c r="X225" s="237"/>
      <c r="Y225" s="237"/>
      <c r="Z225" s="237"/>
    </row>
    <row r="226" ht="18.75" customHeight="1" spans="1:26">
      <c r="A226" s="181"/>
      <c r="B226" s="140"/>
      <c r="C226" s="127"/>
      <c r="D226" s="140"/>
      <c r="E226" s="106"/>
      <c r="F226" s="237"/>
      <c r="L226" s="237"/>
      <c r="M226" s="237"/>
      <c r="N226" s="237"/>
      <c r="O226" s="237"/>
      <c r="P226" s="237"/>
      <c r="Q226" s="237"/>
      <c r="R226" s="237"/>
      <c r="S226" s="237"/>
      <c r="T226" s="237"/>
      <c r="U226" s="237"/>
      <c r="V226" s="237"/>
      <c r="W226" s="237"/>
      <c r="X226" s="237"/>
      <c r="Y226" s="237"/>
      <c r="Z226" s="237"/>
    </row>
    <row r="227" ht="18.75" customHeight="1" spans="1:26">
      <c r="A227" s="145" t="s">
        <v>329</v>
      </c>
      <c r="B227" s="182"/>
      <c r="C227" s="147"/>
      <c r="D227" s="146"/>
      <c r="E227" s="148"/>
      <c r="F227" s="237"/>
      <c r="L227" s="237"/>
      <c r="M227" s="237"/>
      <c r="N227" s="237"/>
      <c r="O227" s="237"/>
      <c r="P227" s="237"/>
      <c r="Q227" s="237"/>
      <c r="R227" s="237"/>
      <c r="S227" s="237"/>
      <c r="T227" s="237"/>
      <c r="U227" s="237"/>
      <c r="V227" s="237"/>
      <c r="W227" s="237"/>
      <c r="X227" s="237"/>
      <c r="Y227" s="237"/>
      <c r="Z227" s="237"/>
    </row>
    <row r="228" ht="18.75" customHeight="1" spans="1:26">
      <c r="A228" s="142"/>
      <c r="B228" s="183"/>
      <c r="C228" s="109"/>
      <c r="D228" s="143"/>
      <c r="E228" s="110"/>
      <c r="F228" s="237"/>
      <c r="L228" s="237"/>
      <c r="M228" s="237"/>
      <c r="N228" s="237"/>
      <c r="O228" s="237"/>
      <c r="P228" s="237"/>
      <c r="Q228" s="237"/>
      <c r="R228" s="237"/>
      <c r="S228" s="237"/>
      <c r="T228" s="237"/>
      <c r="U228" s="237"/>
      <c r="V228" s="237"/>
      <c r="W228" s="237"/>
      <c r="X228" s="237"/>
      <c r="Y228" s="237"/>
      <c r="Z228" s="237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37"/>
      <c r="L229" s="237"/>
      <c r="M229" s="237"/>
      <c r="N229" s="237"/>
      <c r="O229" s="237"/>
      <c r="P229" s="237"/>
      <c r="Q229" s="237"/>
      <c r="R229" s="237"/>
      <c r="S229" s="237"/>
      <c r="T229" s="237"/>
      <c r="U229" s="237"/>
      <c r="V229" s="237"/>
      <c r="W229" s="237"/>
      <c r="X229" s="237"/>
      <c r="Y229" s="237"/>
      <c r="Z229" s="237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37"/>
      <c r="L230" s="237"/>
      <c r="M230" s="237"/>
      <c r="N230" s="237"/>
      <c r="O230" s="237"/>
      <c r="P230" s="237"/>
      <c r="Q230" s="237"/>
      <c r="R230" s="237"/>
      <c r="S230" s="237"/>
      <c r="T230" s="237"/>
      <c r="U230" s="237"/>
      <c r="V230" s="237"/>
      <c r="W230" s="237"/>
      <c r="X230" s="237"/>
      <c r="Y230" s="237"/>
      <c r="Z230" s="237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37"/>
      <c r="L231" s="237"/>
      <c r="M231" s="237"/>
      <c r="N231" s="237"/>
      <c r="O231" s="237"/>
      <c r="P231" s="237"/>
      <c r="Q231" s="237"/>
      <c r="R231" s="237"/>
      <c r="S231" s="237"/>
      <c r="T231" s="237"/>
      <c r="U231" s="237"/>
      <c r="V231" s="237"/>
      <c r="W231" s="237"/>
      <c r="X231" s="237"/>
      <c r="Y231" s="237"/>
      <c r="Z231" s="237"/>
    </row>
    <row r="232" ht="18.75" customHeight="1" spans="1:26">
      <c r="A232" s="142"/>
      <c r="B232" s="183"/>
      <c r="C232" s="130" t="s">
        <v>232</v>
      </c>
      <c r="D232" s="143"/>
      <c r="E232" s="180">
        <f>B92</f>
        <v>53.6700927793465</v>
      </c>
      <c r="F232" s="237"/>
      <c r="L232" s="237"/>
      <c r="M232" s="237"/>
      <c r="N232" s="237"/>
      <c r="O232" s="237"/>
      <c r="P232" s="237"/>
      <c r="Q232" s="237"/>
      <c r="R232" s="237"/>
      <c r="S232" s="237"/>
      <c r="T232" s="237"/>
      <c r="U232" s="237"/>
      <c r="V232" s="237"/>
      <c r="W232" s="237"/>
      <c r="X232" s="237"/>
      <c r="Y232" s="237"/>
      <c r="Z232" s="237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</row>
    <row r="234" ht="18.75" customHeight="1" spans="1:26">
      <c r="A234" s="176"/>
      <c r="B234" s="138"/>
      <c r="C234" s="186"/>
      <c r="D234" s="188"/>
      <c r="E234" s="189"/>
      <c r="F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37"/>
      <c r="L235" s="237"/>
      <c r="M235" s="237"/>
      <c r="N235" s="237"/>
      <c r="O235" s="237"/>
      <c r="P235" s="237"/>
      <c r="Q235" s="237"/>
      <c r="R235" s="237"/>
      <c r="S235" s="237"/>
      <c r="T235" s="237"/>
      <c r="U235" s="237"/>
      <c r="V235" s="237"/>
      <c r="W235" s="237"/>
      <c r="X235" s="237"/>
      <c r="Y235" s="237"/>
      <c r="Z235" s="237"/>
    </row>
    <row r="236" ht="18.75" customHeight="1" spans="1:26">
      <c r="A236" s="108"/>
      <c r="B236" s="109"/>
      <c r="C236" s="109"/>
      <c r="D236" s="109"/>
      <c r="E236" s="110"/>
      <c r="F236" s="237"/>
      <c r="L236" s="237"/>
      <c r="M236" s="237"/>
      <c r="N236" s="237"/>
      <c r="O236" s="237"/>
      <c r="P236" s="237"/>
      <c r="Q236" s="237"/>
      <c r="R236" s="237"/>
      <c r="S236" s="237"/>
      <c r="T236" s="237"/>
      <c r="U236" s="237"/>
      <c r="V236" s="237"/>
      <c r="W236" s="237"/>
      <c r="X236" s="237"/>
      <c r="Y236" s="237"/>
      <c r="Z236" s="237"/>
    </row>
    <row r="237" ht="18.75" customHeight="1" spans="1:26">
      <c r="A237" s="108"/>
      <c r="B237" s="109"/>
      <c r="C237" s="109"/>
      <c r="D237" s="109"/>
      <c r="E237" s="110"/>
      <c r="F237" s="237"/>
      <c r="L237" s="237"/>
      <c r="M237" s="237"/>
      <c r="N237" s="237"/>
      <c r="O237" s="237"/>
      <c r="P237" s="237"/>
      <c r="Q237" s="237"/>
      <c r="R237" s="237"/>
      <c r="S237" s="237"/>
      <c r="T237" s="237"/>
      <c r="U237" s="237"/>
      <c r="V237" s="237"/>
      <c r="W237" s="237"/>
      <c r="X237" s="237"/>
      <c r="Y237" s="237"/>
      <c r="Z237" s="237"/>
    </row>
    <row r="238" ht="18.75" customHeight="1" spans="1:26">
      <c r="A238" s="134"/>
      <c r="B238" s="127"/>
      <c r="C238" s="127"/>
      <c r="D238" s="127"/>
      <c r="E238" s="141"/>
      <c r="F238" s="237"/>
      <c r="L238" s="237"/>
      <c r="M238" s="237"/>
      <c r="N238" s="237"/>
      <c r="O238" s="237"/>
      <c r="P238" s="237"/>
      <c r="Q238" s="237"/>
      <c r="R238" s="237"/>
      <c r="S238" s="237"/>
      <c r="T238" s="237"/>
      <c r="U238" s="237"/>
      <c r="V238" s="237"/>
      <c r="W238" s="237"/>
      <c r="X238" s="237"/>
      <c r="Y238" s="237"/>
      <c r="Z238" s="237"/>
    </row>
    <row r="239" ht="18.75" customHeight="1" spans="1:26">
      <c r="A239" s="108"/>
      <c r="B239" s="109"/>
      <c r="C239" s="109"/>
      <c r="D239" s="109"/>
      <c r="E239" s="110"/>
      <c r="F239" s="237"/>
      <c r="L239" s="237"/>
      <c r="M239" s="237"/>
      <c r="N239" s="237"/>
      <c r="O239" s="237"/>
      <c r="P239" s="237"/>
      <c r="Q239" s="237"/>
      <c r="R239" s="237"/>
      <c r="S239" s="237"/>
      <c r="T239" s="237"/>
      <c r="U239" s="237"/>
      <c r="V239" s="237"/>
      <c r="W239" s="237"/>
      <c r="X239" s="237"/>
      <c r="Y239" s="237"/>
      <c r="Z239" s="237"/>
    </row>
    <row r="240" ht="18.75" customHeight="1" spans="1:26">
      <c r="A240" s="108"/>
      <c r="B240" s="109"/>
      <c r="C240" s="109"/>
      <c r="D240" s="109"/>
      <c r="E240" s="110"/>
      <c r="F240" s="237"/>
      <c r="L240" s="237"/>
      <c r="M240" s="237"/>
      <c r="N240" s="237"/>
      <c r="O240" s="237"/>
      <c r="P240" s="237"/>
      <c r="Q240" s="237"/>
      <c r="R240" s="237"/>
      <c r="S240" s="237"/>
      <c r="T240" s="237"/>
      <c r="U240" s="237"/>
      <c r="V240" s="237"/>
      <c r="W240" s="237"/>
      <c r="X240" s="237"/>
      <c r="Y240" s="237"/>
      <c r="Z240" s="237"/>
    </row>
    <row r="241" ht="18.75" customHeight="1" spans="1:26">
      <c r="A241" s="134"/>
      <c r="B241" s="127"/>
      <c r="C241" s="109"/>
      <c r="D241" s="109"/>
      <c r="E241" s="110"/>
      <c r="F241" s="237"/>
      <c r="L241" s="237"/>
      <c r="M241" s="237"/>
      <c r="N241" s="237"/>
      <c r="O241" s="237"/>
      <c r="P241" s="237"/>
      <c r="Q241" s="237"/>
      <c r="R241" s="237"/>
      <c r="S241" s="237"/>
      <c r="T241" s="237"/>
      <c r="U241" s="237"/>
      <c r="V241" s="237"/>
      <c r="W241" s="237"/>
      <c r="X241" s="237"/>
      <c r="Y241" s="237"/>
      <c r="Z241" s="237"/>
    </row>
    <row r="242" ht="18.75" customHeight="1" spans="1:26">
      <c r="A242" s="169"/>
      <c r="B242" s="170"/>
      <c r="C242" s="170"/>
      <c r="D242" s="170"/>
      <c r="E242" s="171"/>
      <c r="F242" s="237"/>
      <c r="L242" s="237"/>
      <c r="M242" s="237"/>
      <c r="N242" s="237"/>
      <c r="O242" s="237"/>
      <c r="P242" s="237"/>
      <c r="Q242" s="237"/>
      <c r="R242" s="237"/>
      <c r="S242" s="237"/>
      <c r="T242" s="237"/>
      <c r="U242" s="237"/>
      <c r="V242" s="237"/>
      <c r="W242" s="237"/>
      <c r="X242" s="237"/>
      <c r="Y242" s="237"/>
      <c r="Z242" s="237"/>
    </row>
    <row r="243" ht="18.75" customHeight="1" spans="1:26">
      <c r="A243" s="108"/>
      <c r="B243" s="109"/>
      <c r="C243" s="109"/>
      <c r="D243" s="109"/>
      <c r="E243" s="110"/>
      <c r="F243" s="237"/>
      <c r="L243" s="237"/>
      <c r="M243" s="237"/>
      <c r="N243" s="237"/>
      <c r="O243" s="237"/>
      <c r="P243" s="237"/>
      <c r="Q243" s="237"/>
      <c r="R243" s="237"/>
      <c r="S243" s="237"/>
      <c r="T243" s="237"/>
      <c r="U243" s="237"/>
      <c r="V243" s="237"/>
      <c r="W243" s="237"/>
      <c r="X243" s="237"/>
      <c r="Y243" s="237"/>
      <c r="Z243" s="237"/>
    </row>
    <row r="244" ht="18.75" customHeight="1" spans="1:26">
      <c r="A244" s="134"/>
      <c r="B244" s="127"/>
      <c r="C244" s="127"/>
      <c r="D244" s="127"/>
      <c r="E244" s="141"/>
      <c r="F244" s="237"/>
      <c r="L244" s="237"/>
      <c r="M244" s="237"/>
      <c r="N244" s="237"/>
      <c r="O244" s="237"/>
      <c r="P244" s="237"/>
      <c r="Q244" s="237"/>
      <c r="R244" s="237"/>
      <c r="S244" s="237"/>
      <c r="T244" s="237"/>
      <c r="U244" s="237"/>
      <c r="V244" s="237"/>
      <c r="W244" s="237"/>
      <c r="X244" s="237"/>
      <c r="Y244" s="237"/>
      <c r="Z244" s="237"/>
    </row>
    <row r="245" ht="18.75" customHeight="1" spans="1:26">
      <c r="A245" s="108"/>
      <c r="B245" s="109"/>
      <c r="C245" s="109"/>
      <c r="D245" s="109"/>
      <c r="E245" s="110"/>
      <c r="F245" s="237"/>
      <c r="L245" s="237"/>
      <c r="M245" s="237"/>
      <c r="N245" s="237"/>
      <c r="O245" s="237"/>
      <c r="P245" s="237"/>
      <c r="Q245" s="237"/>
      <c r="R245" s="237"/>
      <c r="S245" s="237"/>
      <c r="T245" s="237"/>
      <c r="U245" s="237"/>
      <c r="V245" s="237"/>
      <c r="W245" s="237"/>
      <c r="X245" s="237"/>
      <c r="Y245" s="237"/>
      <c r="Z245" s="237"/>
    </row>
    <row r="246" ht="18.75" customHeight="1" spans="1:26">
      <c r="A246" s="108"/>
      <c r="B246" s="109"/>
      <c r="C246" s="109"/>
      <c r="D246" s="109"/>
      <c r="E246" s="110"/>
      <c r="F246" s="237"/>
      <c r="L246" s="237"/>
      <c r="M246" s="237"/>
      <c r="N246" s="237"/>
      <c r="O246" s="237"/>
      <c r="P246" s="237"/>
      <c r="Q246" s="237"/>
      <c r="R246" s="237"/>
      <c r="S246" s="237"/>
      <c r="T246" s="237"/>
      <c r="U246" s="237"/>
      <c r="V246" s="237"/>
      <c r="W246" s="237"/>
      <c r="X246" s="237"/>
      <c r="Y246" s="237"/>
      <c r="Z246" s="237"/>
    </row>
    <row r="247" ht="18.75" customHeight="1" spans="1:26">
      <c r="A247" s="134"/>
      <c r="B247" s="127"/>
      <c r="C247" s="109"/>
      <c r="D247" s="109"/>
      <c r="E247" s="110"/>
      <c r="F247" s="237"/>
      <c r="L247" s="237"/>
      <c r="M247" s="237"/>
      <c r="N247" s="237"/>
      <c r="O247" s="237"/>
      <c r="P247" s="237"/>
      <c r="Q247" s="237"/>
      <c r="R247" s="237"/>
      <c r="S247" s="237"/>
      <c r="T247" s="237"/>
      <c r="U247" s="237"/>
      <c r="V247" s="237"/>
      <c r="W247" s="237"/>
      <c r="X247" s="237"/>
      <c r="Y247" s="237"/>
      <c r="Z247" s="237"/>
    </row>
    <row r="248" ht="18.75" customHeight="1" spans="1:26">
      <c r="A248" s="169"/>
      <c r="B248" s="170"/>
      <c r="C248" s="170"/>
      <c r="D248" s="170"/>
      <c r="E248" s="171"/>
      <c r="F248" s="237"/>
      <c r="L248" s="237"/>
      <c r="M248" s="237"/>
      <c r="N248" s="237"/>
      <c r="O248" s="237"/>
      <c r="P248" s="237"/>
      <c r="Q248" s="237"/>
      <c r="R248" s="237"/>
      <c r="S248" s="237"/>
      <c r="T248" s="237"/>
      <c r="U248" s="237"/>
      <c r="V248" s="237"/>
      <c r="W248" s="237"/>
      <c r="X248" s="237"/>
      <c r="Y248" s="237"/>
      <c r="Z248" s="237"/>
    </row>
    <row r="249" ht="18.75" customHeight="1" spans="1:26">
      <c r="A249" s="237"/>
      <c r="B249" s="237"/>
      <c r="C249" s="237"/>
      <c r="D249" s="237"/>
      <c r="E249" s="237"/>
      <c r="F249" s="237"/>
      <c r="G249" s="237"/>
      <c r="H249" s="237"/>
      <c r="I249" s="237"/>
      <c r="J249" s="237"/>
      <c r="K249" s="237"/>
      <c r="L249" s="237"/>
      <c r="M249" s="237"/>
      <c r="N249" s="237"/>
      <c r="O249" s="237"/>
      <c r="P249" s="237"/>
      <c r="Q249" s="237"/>
      <c r="R249" s="237"/>
      <c r="S249" s="237"/>
      <c r="T249" s="237"/>
      <c r="U249" s="237"/>
      <c r="V249" s="237"/>
      <c r="W249" s="237"/>
      <c r="X249" s="237"/>
      <c r="Y249" s="237"/>
      <c r="Z249" s="237"/>
    </row>
    <row r="250" ht="18.75" customHeight="1" spans="1:26">
      <c r="A250" s="237"/>
      <c r="B250" s="237"/>
      <c r="C250" s="237"/>
      <c r="D250" s="237"/>
      <c r="E250" s="237"/>
      <c r="F250" s="237"/>
      <c r="G250" s="237"/>
      <c r="H250" s="237"/>
      <c r="I250" s="237"/>
      <c r="J250" s="237"/>
      <c r="K250" s="237"/>
      <c r="L250" s="237"/>
      <c r="M250" s="237"/>
      <c r="N250" s="237"/>
      <c r="O250" s="237"/>
      <c r="P250" s="237"/>
      <c r="Q250" s="237"/>
      <c r="R250" s="237"/>
      <c r="S250" s="237"/>
      <c r="T250" s="237"/>
      <c r="U250" s="237"/>
      <c r="V250" s="237"/>
      <c r="W250" s="237"/>
      <c r="X250" s="237"/>
      <c r="Y250" s="237"/>
      <c r="Z250" s="237"/>
    </row>
    <row r="251" ht="18.75" customHeight="1" spans="1:26">
      <c r="A251" s="237"/>
      <c r="B251" s="237"/>
      <c r="C251" s="237"/>
      <c r="D251" s="237"/>
      <c r="E251" s="237"/>
      <c r="F251" s="237"/>
      <c r="G251" s="237"/>
      <c r="H251" s="237"/>
      <c r="I251" s="237"/>
      <c r="J251" s="237"/>
      <c r="K251" s="237"/>
      <c r="L251" s="237"/>
      <c r="M251" s="237"/>
      <c r="N251" s="237"/>
      <c r="O251" s="237"/>
      <c r="P251" s="237"/>
      <c r="Q251" s="237"/>
      <c r="R251" s="237"/>
      <c r="S251" s="237"/>
      <c r="T251" s="237"/>
      <c r="U251" s="237"/>
      <c r="V251" s="237"/>
      <c r="W251" s="237"/>
      <c r="X251" s="237"/>
      <c r="Y251" s="237"/>
      <c r="Z251" s="237"/>
    </row>
    <row r="252" ht="18.75" customHeight="1" spans="1:26">
      <c r="A252" s="237"/>
      <c r="B252" s="237"/>
      <c r="C252" s="237"/>
      <c r="D252" s="237"/>
      <c r="E252" s="237"/>
      <c r="F252" s="237"/>
      <c r="G252" s="237"/>
      <c r="H252" s="237"/>
      <c r="I252" s="237"/>
      <c r="J252" s="237"/>
      <c r="K252" s="237"/>
      <c r="L252" s="237"/>
      <c r="M252" s="237"/>
      <c r="N252" s="237"/>
      <c r="O252" s="237"/>
      <c r="P252" s="237"/>
      <c r="Q252" s="237"/>
      <c r="R252" s="237"/>
      <c r="S252" s="237"/>
      <c r="T252" s="237"/>
      <c r="U252" s="237"/>
      <c r="V252" s="237"/>
      <c r="W252" s="237"/>
      <c r="X252" s="237"/>
      <c r="Y252" s="237"/>
      <c r="Z252" s="237"/>
    </row>
    <row r="253" ht="18.75" customHeight="1" spans="1:26">
      <c r="A253" s="237"/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</row>
    <row r="254" ht="18.75" customHeight="1" spans="1:26">
      <c r="A254" s="237"/>
      <c r="B254" s="237"/>
      <c r="C254" s="237"/>
      <c r="D254" s="237"/>
      <c r="E254" s="237"/>
      <c r="F254" s="237"/>
      <c r="G254" s="237"/>
      <c r="H254" s="237"/>
      <c r="I254" s="237"/>
      <c r="J254" s="237"/>
      <c r="K254" s="237"/>
      <c r="L254" s="237"/>
      <c r="M254" s="237"/>
      <c r="N254" s="237"/>
      <c r="O254" s="237"/>
      <c r="P254" s="237"/>
      <c r="Q254" s="237"/>
      <c r="R254" s="237"/>
      <c r="S254" s="237"/>
      <c r="T254" s="237"/>
      <c r="U254" s="237"/>
      <c r="V254" s="237"/>
      <c r="W254" s="237"/>
      <c r="X254" s="237"/>
      <c r="Y254" s="237"/>
      <c r="Z254" s="237"/>
    </row>
    <row r="255" ht="18.75" customHeight="1" spans="1:26">
      <c r="A255" s="237"/>
      <c r="B255" s="237"/>
      <c r="C255" s="237"/>
      <c r="D255" s="237"/>
      <c r="E255" s="237"/>
      <c r="F255" s="237"/>
      <c r="G255" s="237"/>
      <c r="H255" s="237"/>
      <c r="I255" s="237"/>
      <c r="J255" s="237"/>
      <c r="K255" s="237"/>
      <c r="L255" s="237"/>
      <c r="M255" s="237"/>
      <c r="N255" s="237"/>
      <c r="O255" s="237"/>
      <c r="P255" s="237"/>
      <c r="Q255" s="237"/>
      <c r="R255" s="237"/>
      <c r="S255" s="237"/>
      <c r="T255" s="237"/>
      <c r="U255" s="237"/>
      <c r="V255" s="237"/>
      <c r="W255" s="237"/>
      <c r="X255" s="237"/>
      <c r="Y255" s="237"/>
      <c r="Z255" s="237"/>
    </row>
    <row r="256" ht="18.75" customHeight="1" spans="1:26">
      <c r="A256" s="237"/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  <c r="P256" s="237"/>
      <c r="Q256" s="237"/>
      <c r="R256" s="237"/>
      <c r="S256" s="237"/>
      <c r="T256" s="237"/>
      <c r="U256" s="237"/>
      <c r="V256" s="237"/>
      <c r="W256" s="237"/>
      <c r="X256" s="237"/>
      <c r="Y256" s="237"/>
      <c r="Z256" s="237"/>
    </row>
    <row r="257" ht="18.75" customHeight="1" spans="1:26">
      <c r="A257" s="237"/>
      <c r="B257" s="237"/>
      <c r="C257" s="237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7"/>
      <c r="T257" s="237"/>
      <c r="U257" s="237"/>
      <c r="V257" s="237"/>
      <c r="W257" s="237"/>
      <c r="X257" s="237"/>
      <c r="Y257" s="237"/>
      <c r="Z257" s="237"/>
    </row>
    <row r="258" ht="18.75" customHeight="1" spans="1:26">
      <c r="A258" s="237"/>
      <c r="B258" s="237"/>
      <c r="C258" s="237"/>
      <c r="D258" s="237"/>
      <c r="E258" s="237"/>
      <c r="F258" s="237"/>
      <c r="G258" s="237"/>
      <c r="H258" s="237"/>
      <c r="I258" s="237"/>
      <c r="J258" s="237"/>
      <c r="K258" s="237"/>
      <c r="L258" s="237"/>
      <c r="M258" s="237"/>
      <c r="N258" s="237"/>
      <c r="O258" s="237"/>
      <c r="P258" s="237"/>
      <c r="Q258" s="237"/>
      <c r="R258" s="237"/>
      <c r="S258" s="237"/>
      <c r="T258" s="237"/>
      <c r="U258" s="237"/>
      <c r="V258" s="237"/>
      <c r="W258" s="237"/>
      <c r="X258" s="237"/>
      <c r="Y258" s="237"/>
      <c r="Z258" s="237"/>
    </row>
    <row r="259" ht="18.75" customHeight="1" spans="1:26">
      <c r="A259" s="237"/>
      <c r="B259" s="237"/>
      <c r="C259" s="237"/>
      <c r="D259" s="237"/>
      <c r="E259" s="237"/>
      <c r="F259" s="237"/>
      <c r="G259" s="237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</row>
    <row r="260" ht="18.75" customHeight="1" spans="1:26">
      <c r="A260" s="237"/>
      <c r="B260" s="237"/>
      <c r="C260" s="237"/>
      <c r="D260" s="237"/>
      <c r="E260" s="237"/>
      <c r="F260" s="237"/>
      <c r="G260" s="237"/>
      <c r="H260" s="237"/>
      <c r="I260" s="237"/>
      <c r="J260" s="237"/>
      <c r="K260" s="237"/>
      <c r="L260" s="237"/>
      <c r="M260" s="237"/>
      <c r="N260" s="237"/>
      <c r="O260" s="237"/>
      <c r="P260" s="237"/>
      <c r="Q260" s="237"/>
      <c r="R260" s="237"/>
      <c r="S260" s="237"/>
      <c r="T260" s="237"/>
      <c r="U260" s="237"/>
      <c r="V260" s="237"/>
      <c r="W260" s="237"/>
      <c r="X260" s="237"/>
      <c r="Y260" s="237"/>
      <c r="Z260" s="237"/>
    </row>
    <row r="261" ht="18.75" customHeight="1" spans="1:26">
      <c r="A261" s="237"/>
      <c r="B261" s="237"/>
      <c r="C261" s="237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7"/>
      <c r="R261" s="237"/>
      <c r="S261" s="237"/>
      <c r="T261" s="237"/>
      <c r="U261" s="237"/>
      <c r="V261" s="237"/>
      <c r="W261" s="237"/>
      <c r="X261" s="237"/>
      <c r="Y261" s="237"/>
      <c r="Z261" s="237"/>
    </row>
    <row r="262" ht="18.75" customHeight="1" spans="1:26">
      <c r="A262" s="237"/>
      <c r="B262" s="237"/>
      <c r="C262" s="237"/>
      <c r="D262" s="237"/>
      <c r="E262" s="237"/>
      <c r="F262" s="237"/>
      <c r="G262" s="237"/>
      <c r="H262" s="237"/>
      <c r="I262" s="237"/>
      <c r="J262" s="237"/>
      <c r="K262" s="237"/>
      <c r="L262" s="237"/>
      <c r="M262" s="237"/>
      <c r="N262" s="237"/>
      <c r="O262" s="237"/>
      <c r="P262" s="237"/>
      <c r="Q262" s="237"/>
      <c r="R262" s="237"/>
      <c r="S262" s="237"/>
      <c r="T262" s="237"/>
      <c r="U262" s="237"/>
      <c r="V262" s="237"/>
      <c r="W262" s="237"/>
      <c r="X262" s="237"/>
      <c r="Y262" s="237"/>
      <c r="Z262" s="237"/>
    </row>
    <row r="263" ht="18.75" customHeight="1" spans="1:26">
      <c r="A263" s="237"/>
      <c r="B263" s="237"/>
      <c r="C263" s="237"/>
      <c r="D263" s="237"/>
      <c r="E263" s="237"/>
      <c r="F263" s="237"/>
      <c r="G263" s="237"/>
      <c r="H263" s="237"/>
      <c r="I263" s="237"/>
      <c r="J263" s="237"/>
      <c r="K263" s="237"/>
      <c r="L263" s="237"/>
      <c r="M263" s="237"/>
      <c r="N263" s="237"/>
      <c r="O263" s="237"/>
      <c r="P263" s="237"/>
      <c r="Q263" s="237"/>
      <c r="R263" s="237"/>
      <c r="S263" s="237"/>
      <c r="T263" s="237"/>
      <c r="U263" s="237"/>
      <c r="V263" s="237"/>
      <c r="W263" s="237"/>
      <c r="X263" s="237"/>
      <c r="Y263" s="237"/>
      <c r="Z263" s="237"/>
    </row>
    <row r="264" ht="18.75" customHeight="1" spans="1:26">
      <c r="A264" s="237"/>
      <c r="B264" s="237"/>
      <c r="C264" s="237"/>
      <c r="D264" s="237"/>
      <c r="E264" s="237"/>
      <c r="F264" s="237"/>
      <c r="G264" s="237"/>
      <c r="H264" s="237"/>
      <c r="I264" s="237"/>
      <c r="J264" s="237"/>
      <c r="K264" s="237"/>
      <c r="L264" s="237"/>
      <c r="M264" s="237"/>
      <c r="N264" s="237"/>
      <c r="O264" s="237"/>
      <c r="P264" s="237"/>
      <c r="Q264" s="237"/>
      <c r="R264" s="237"/>
      <c r="S264" s="237"/>
      <c r="T264" s="237"/>
      <c r="U264" s="237"/>
      <c r="V264" s="237"/>
      <c r="W264" s="237"/>
      <c r="X264" s="237"/>
      <c r="Y264" s="237"/>
      <c r="Z264" s="237"/>
    </row>
    <row r="265" ht="18.75" customHeight="1" spans="1:26">
      <c r="A265" s="237"/>
      <c r="B265" s="237"/>
      <c r="C265" s="237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7"/>
      <c r="R265" s="237"/>
      <c r="S265" s="237"/>
      <c r="T265" s="237"/>
      <c r="U265" s="237"/>
      <c r="V265" s="237"/>
      <c r="W265" s="237"/>
      <c r="X265" s="237"/>
      <c r="Y265" s="237"/>
      <c r="Z265" s="237"/>
    </row>
    <row r="266" ht="18.75" customHeight="1" spans="1:26">
      <c r="A266" s="237"/>
      <c r="B266" s="237"/>
      <c r="C266" s="237"/>
      <c r="D266" s="237"/>
      <c r="E266" s="237"/>
      <c r="F266" s="237"/>
      <c r="G266" s="237"/>
      <c r="H266" s="237"/>
      <c r="I266" s="237"/>
      <c r="J266" s="237"/>
      <c r="K266" s="237"/>
      <c r="L266" s="237"/>
      <c r="M266" s="237"/>
      <c r="N266" s="237"/>
      <c r="O266" s="237"/>
      <c r="P266" s="237"/>
      <c r="Q266" s="237"/>
      <c r="R266" s="237"/>
      <c r="S266" s="237"/>
      <c r="T266" s="237"/>
      <c r="U266" s="237"/>
      <c r="V266" s="237"/>
      <c r="W266" s="237"/>
      <c r="X266" s="237"/>
      <c r="Y266" s="237"/>
      <c r="Z266" s="237"/>
    </row>
    <row r="267" ht="18.75" customHeight="1" spans="1:26">
      <c r="A267" s="237"/>
      <c r="B267" s="237"/>
      <c r="C267" s="237"/>
      <c r="D267" s="237"/>
      <c r="E267" s="237"/>
      <c r="F267" s="237"/>
      <c r="G267" s="237"/>
      <c r="H267" s="237"/>
      <c r="I267" s="237"/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237"/>
      <c r="U267" s="237"/>
      <c r="V267" s="237"/>
      <c r="W267" s="237"/>
      <c r="X267" s="237"/>
      <c r="Y267" s="237"/>
      <c r="Z267" s="237"/>
    </row>
    <row r="268" ht="18.75" customHeight="1" spans="1:26">
      <c r="A268" s="237"/>
      <c r="B268" s="237"/>
      <c r="C268" s="237"/>
      <c r="D268" s="237"/>
      <c r="E268" s="237"/>
      <c r="F268" s="237"/>
      <c r="G268" s="237"/>
      <c r="H268" s="237"/>
      <c r="I268" s="237"/>
      <c r="J268" s="237"/>
      <c r="K268" s="237"/>
      <c r="L268" s="237"/>
      <c r="M268" s="237"/>
      <c r="N268" s="237"/>
      <c r="O268" s="237"/>
      <c r="P268" s="237"/>
      <c r="Q268" s="237"/>
      <c r="R268" s="237"/>
      <c r="S268" s="237"/>
      <c r="T268" s="237"/>
      <c r="U268" s="237"/>
      <c r="V268" s="237"/>
      <c r="W268" s="237"/>
      <c r="X268" s="237"/>
      <c r="Y268" s="237"/>
      <c r="Z268" s="237"/>
    </row>
    <row r="269" ht="18.75" customHeight="1" spans="1:26">
      <c r="A269" s="237"/>
      <c r="B269" s="237"/>
      <c r="C269" s="237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237"/>
      <c r="U269" s="237"/>
      <c r="V269" s="237"/>
      <c r="W269" s="237"/>
      <c r="X269" s="237"/>
      <c r="Y269" s="237"/>
      <c r="Z269" s="237"/>
    </row>
    <row r="270" ht="18.75" customHeight="1" spans="1:26">
      <c r="A270" s="237"/>
      <c r="B270" s="237"/>
      <c r="C270" s="237"/>
      <c r="D270" s="237"/>
      <c r="E270" s="237"/>
      <c r="F270" s="237"/>
      <c r="G270" s="237"/>
      <c r="H270" s="237"/>
      <c r="I270" s="237"/>
      <c r="J270" s="237"/>
      <c r="K270" s="237"/>
      <c r="L270" s="237"/>
      <c r="M270" s="237"/>
      <c r="N270" s="237"/>
      <c r="O270" s="237"/>
      <c r="P270" s="237"/>
      <c r="Q270" s="237"/>
      <c r="R270" s="237"/>
      <c r="S270" s="237"/>
      <c r="T270" s="237"/>
      <c r="U270" s="237"/>
      <c r="V270" s="237"/>
      <c r="W270" s="237"/>
      <c r="X270" s="237"/>
      <c r="Y270" s="237"/>
      <c r="Z270" s="237"/>
    </row>
    <row r="271" ht="18.75" customHeight="1" spans="1:26">
      <c r="A271" s="237"/>
      <c r="B271" s="237"/>
      <c r="C271" s="237"/>
      <c r="D271" s="237"/>
      <c r="E271" s="237"/>
      <c r="F271" s="237"/>
      <c r="G271" s="237"/>
      <c r="H271" s="237"/>
      <c r="I271" s="237"/>
      <c r="J271" s="237"/>
      <c r="K271" s="237"/>
      <c r="L271" s="237"/>
      <c r="M271" s="237"/>
      <c r="N271" s="237"/>
      <c r="O271" s="237"/>
      <c r="P271" s="237"/>
      <c r="Q271" s="237"/>
      <c r="R271" s="237"/>
      <c r="S271" s="237"/>
      <c r="T271" s="237"/>
      <c r="U271" s="237"/>
      <c r="V271" s="237"/>
      <c r="W271" s="237"/>
      <c r="X271" s="237"/>
      <c r="Y271" s="237"/>
      <c r="Z271" s="237"/>
    </row>
    <row r="272" ht="18.75" customHeight="1" spans="1:26">
      <c r="A272" s="237"/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</row>
    <row r="273" ht="18.75" customHeight="1" spans="1:26">
      <c r="A273" s="237"/>
      <c r="B273" s="237"/>
      <c r="C273" s="237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7"/>
      <c r="R273" s="237"/>
      <c r="S273" s="237"/>
      <c r="T273" s="237"/>
      <c r="U273" s="237"/>
      <c r="V273" s="237"/>
      <c r="W273" s="237"/>
      <c r="X273" s="237"/>
      <c r="Y273" s="237"/>
      <c r="Z273" s="237"/>
    </row>
    <row r="274" ht="18.75" customHeight="1" spans="1:26">
      <c r="A274" s="237"/>
      <c r="B274" s="237"/>
      <c r="C274" s="237"/>
      <c r="D274" s="237"/>
      <c r="E274" s="237"/>
      <c r="F274" s="237"/>
      <c r="G274" s="237"/>
      <c r="H274" s="237"/>
      <c r="I274" s="237"/>
      <c r="J274" s="237"/>
      <c r="K274" s="237"/>
      <c r="L274" s="237"/>
      <c r="M274" s="237"/>
      <c r="N274" s="237"/>
      <c r="O274" s="237"/>
      <c r="P274" s="237"/>
      <c r="Q274" s="237"/>
      <c r="R274" s="237"/>
      <c r="S274" s="237"/>
      <c r="T274" s="237"/>
      <c r="U274" s="237"/>
      <c r="V274" s="237"/>
      <c r="W274" s="237"/>
      <c r="X274" s="237"/>
      <c r="Y274" s="237"/>
      <c r="Z274" s="237"/>
    </row>
    <row r="275" ht="18.75" customHeight="1" spans="1:26">
      <c r="A275" s="237"/>
      <c r="B275" s="237"/>
      <c r="C275" s="237"/>
      <c r="D275" s="237"/>
      <c r="E275" s="237"/>
      <c r="F275" s="237"/>
      <c r="G275" s="237"/>
      <c r="H275" s="237"/>
      <c r="I275" s="237"/>
      <c r="J275" s="237"/>
      <c r="K275" s="237"/>
      <c r="L275" s="237"/>
      <c r="M275" s="237"/>
      <c r="N275" s="237"/>
      <c r="O275" s="237"/>
      <c r="P275" s="237"/>
      <c r="Q275" s="237"/>
      <c r="R275" s="237"/>
      <c r="S275" s="237"/>
      <c r="T275" s="237"/>
      <c r="U275" s="237"/>
      <c r="V275" s="237"/>
      <c r="W275" s="237"/>
      <c r="X275" s="237"/>
      <c r="Y275" s="237"/>
      <c r="Z275" s="237"/>
    </row>
    <row r="276" ht="18.75" customHeight="1" spans="1:26">
      <c r="A276" s="237"/>
      <c r="B276" s="237"/>
      <c r="C276" s="237"/>
      <c r="D276" s="237"/>
      <c r="E276" s="237"/>
      <c r="F276" s="237"/>
      <c r="G276" s="237"/>
      <c r="H276" s="237"/>
      <c r="I276" s="237"/>
      <c r="J276" s="237"/>
      <c r="K276" s="237"/>
      <c r="L276" s="237"/>
      <c r="M276" s="237"/>
      <c r="N276" s="237"/>
      <c r="O276" s="237"/>
      <c r="P276" s="237"/>
      <c r="Q276" s="237"/>
      <c r="R276" s="237"/>
      <c r="S276" s="237"/>
      <c r="T276" s="237"/>
      <c r="U276" s="237"/>
      <c r="V276" s="237"/>
      <c r="W276" s="237"/>
      <c r="X276" s="237"/>
      <c r="Y276" s="237"/>
      <c r="Z276" s="237"/>
    </row>
    <row r="277" ht="18.75" customHeight="1" spans="1:26">
      <c r="A277" s="237"/>
      <c r="B277" s="237"/>
      <c r="C277" s="237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7"/>
      <c r="R277" s="237"/>
      <c r="S277" s="237"/>
      <c r="T277" s="237"/>
      <c r="U277" s="237"/>
      <c r="V277" s="237"/>
      <c r="W277" s="237"/>
      <c r="X277" s="237"/>
      <c r="Y277" s="237"/>
      <c r="Z277" s="237"/>
    </row>
    <row r="278" ht="18.75" customHeight="1" spans="1:26">
      <c r="A278" s="237"/>
      <c r="B278" s="237"/>
      <c r="C278" s="237"/>
      <c r="D278" s="237"/>
      <c r="E278" s="237"/>
      <c r="F278" s="237"/>
      <c r="G278" s="237"/>
      <c r="H278" s="237"/>
      <c r="I278" s="237"/>
      <c r="J278" s="237"/>
      <c r="K278" s="237"/>
      <c r="L278" s="237"/>
      <c r="M278" s="237"/>
      <c r="N278" s="237"/>
      <c r="O278" s="237"/>
      <c r="P278" s="237"/>
      <c r="Q278" s="237"/>
      <c r="R278" s="237"/>
      <c r="S278" s="237"/>
      <c r="T278" s="237"/>
      <c r="U278" s="237"/>
      <c r="V278" s="237"/>
      <c r="W278" s="237"/>
      <c r="X278" s="237"/>
      <c r="Y278" s="237"/>
      <c r="Z278" s="237"/>
    </row>
    <row r="279" ht="18.75" customHeight="1" spans="1:26">
      <c r="A279" s="237"/>
      <c r="B279" s="237"/>
      <c r="C279" s="237"/>
      <c r="D279" s="237"/>
      <c r="E279" s="237"/>
      <c r="F279" s="237"/>
      <c r="G279" s="237"/>
      <c r="H279" s="237"/>
      <c r="I279" s="237"/>
      <c r="J279" s="237"/>
      <c r="K279" s="237"/>
      <c r="L279" s="237"/>
      <c r="M279" s="237"/>
      <c r="N279" s="237"/>
      <c r="O279" s="237"/>
      <c r="P279" s="237"/>
      <c r="Q279" s="237"/>
      <c r="R279" s="237"/>
      <c r="S279" s="237"/>
      <c r="T279" s="237"/>
      <c r="U279" s="237"/>
      <c r="V279" s="237"/>
      <c r="W279" s="237"/>
      <c r="X279" s="237"/>
      <c r="Y279" s="237"/>
      <c r="Z279" s="237"/>
    </row>
    <row r="280" ht="18.75" customHeight="1" spans="1:26">
      <c r="A280" s="237"/>
      <c r="B280" s="237"/>
      <c r="C280" s="237"/>
      <c r="D280" s="237"/>
      <c r="E280" s="237"/>
      <c r="F280" s="237"/>
      <c r="G280" s="237"/>
      <c r="H280" s="237"/>
      <c r="I280" s="237"/>
      <c r="J280" s="237"/>
      <c r="K280" s="237"/>
      <c r="L280" s="237"/>
      <c r="M280" s="237"/>
      <c r="N280" s="237"/>
      <c r="O280" s="237"/>
      <c r="P280" s="237"/>
      <c r="Q280" s="237"/>
      <c r="R280" s="237"/>
      <c r="S280" s="237"/>
      <c r="T280" s="237"/>
      <c r="U280" s="237"/>
      <c r="V280" s="237"/>
      <c r="W280" s="237"/>
      <c r="X280" s="237"/>
      <c r="Y280" s="237"/>
      <c r="Z280" s="237"/>
    </row>
    <row r="281" ht="18.75" customHeight="1" spans="1:26">
      <c r="A281" s="237"/>
      <c r="B281" s="237"/>
      <c r="C281" s="237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7"/>
      <c r="R281" s="237"/>
      <c r="S281" s="237"/>
      <c r="T281" s="237"/>
      <c r="U281" s="237"/>
      <c r="V281" s="237"/>
      <c r="W281" s="237"/>
      <c r="X281" s="237"/>
      <c r="Y281" s="237"/>
      <c r="Z281" s="237"/>
    </row>
    <row r="282" ht="18.75" customHeight="1" spans="1:26">
      <c r="A282" s="237"/>
      <c r="B282" s="237"/>
      <c r="C282" s="237"/>
      <c r="D282" s="237"/>
      <c r="E282" s="237"/>
      <c r="F282" s="237"/>
      <c r="G282" s="237"/>
      <c r="H282" s="237"/>
      <c r="I282" s="237"/>
      <c r="J282" s="237"/>
      <c r="K282" s="237"/>
      <c r="L282" s="237"/>
      <c r="M282" s="237"/>
      <c r="N282" s="237"/>
      <c r="O282" s="237"/>
      <c r="P282" s="237"/>
      <c r="Q282" s="237"/>
      <c r="R282" s="237"/>
      <c r="S282" s="237"/>
      <c r="T282" s="237"/>
      <c r="U282" s="237"/>
      <c r="V282" s="237"/>
      <c r="W282" s="237"/>
      <c r="X282" s="237"/>
      <c r="Y282" s="237"/>
      <c r="Z282" s="237"/>
    </row>
    <row r="283" ht="18.75" customHeight="1" spans="1:26">
      <c r="A283" s="237"/>
      <c r="B283" s="237"/>
      <c r="C283" s="237"/>
      <c r="D283" s="237"/>
      <c r="E283" s="237"/>
      <c r="F283" s="237"/>
      <c r="G283" s="237"/>
      <c r="H283" s="237"/>
      <c r="I283" s="237"/>
      <c r="J283" s="237"/>
      <c r="K283" s="237"/>
      <c r="L283" s="237"/>
      <c r="M283" s="237"/>
      <c r="N283" s="237"/>
      <c r="O283" s="237"/>
      <c r="P283" s="237"/>
      <c r="Q283" s="237"/>
      <c r="R283" s="237"/>
      <c r="S283" s="237"/>
      <c r="T283" s="237"/>
      <c r="U283" s="237"/>
      <c r="V283" s="237"/>
      <c r="W283" s="237"/>
      <c r="X283" s="237"/>
      <c r="Y283" s="237"/>
      <c r="Z283" s="237"/>
    </row>
    <row r="284" ht="18.75" customHeight="1" spans="1:26">
      <c r="A284" s="237"/>
      <c r="B284" s="237"/>
      <c r="C284" s="237"/>
      <c r="D284" s="237"/>
      <c r="E284" s="237"/>
      <c r="F284" s="237"/>
      <c r="G284" s="237"/>
      <c r="H284" s="237"/>
      <c r="I284" s="237"/>
      <c r="J284" s="237"/>
      <c r="K284" s="237"/>
      <c r="L284" s="237"/>
      <c r="M284" s="237"/>
      <c r="N284" s="237"/>
      <c r="O284" s="237"/>
      <c r="P284" s="237"/>
      <c r="Q284" s="237"/>
      <c r="R284" s="237"/>
      <c r="S284" s="237"/>
      <c r="T284" s="237"/>
      <c r="U284" s="237"/>
      <c r="V284" s="237"/>
      <c r="W284" s="237"/>
      <c r="X284" s="237"/>
      <c r="Y284" s="237"/>
      <c r="Z284" s="237"/>
    </row>
    <row r="285" ht="18.75" customHeight="1" spans="1:26">
      <c r="A285" s="237"/>
      <c r="B285" s="237"/>
      <c r="C285" s="237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7"/>
      <c r="R285" s="237"/>
      <c r="S285" s="237"/>
      <c r="T285" s="237"/>
      <c r="U285" s="237"/>
      <c r="V285" s="237"/>
      <c r="W285" s="237"/>
      <c r="X285" s="237"/>
      <c r="Y285" s="237"/>
      <c r="Z285" s="237"/>
    </row>
    <row r="286" ht="18.75" customHeight="1" spans="1:26">
      <c r="A286" s="237"/>
      <c r="B286" s="237"/>
      <c r="C286" s="237"/>
      <c r="D286" s="237"/>
      <c r="E286" s="237"/>
      <c r="F286" s="237"/>
      <c r="G286" s="237"/>
      <c r="H286" s="237"/>
      <c r="I286" s="237"/>
      <c r="J286" s="237"/>
      <c r="K286" s="237"/>
      <c r="L286" s="237"/>
      <c r="M286" s="237"/>
      <c r="N286" s="237"/>
      <c r="O286" s="237"/>
      <c r="P286" s="237"/>
      <c r="Q286" s="237"/>
      <c r="R286" s="237"/>
      <c r="S286" s="237"/>
      <c r="T286" s="237"/>
      <c r="U286" s="237"/>
      <c r="V286" s="237"/>
      <c r="W286" s="237"/>
      <c r="X286" s="237"/>
      <c r="Y286" s="237"/>
      <c r="Z286" s="237"/>
    </row>
    <row r="287" ht="18.75" customHeight="1" spans="1:26">
      <c r="A287" s="237"/>
      <c r="B287" s="237"/>
      <c r="C287" s="237"/>
      <c r="D287" s="237"/>
      <c r="E287" s="237"/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</row>
    <row r="288" ht="18.75" customHeight="1" spans="1:26">
      <c r="A288" s="237"/>
      <c r="B288" s="237"/>
      <c r="C288" s="237"/>
      <c r="D288" s="237"/>
      <c r="E288" s="237"/>
      <c r="F288" s="237"/>
      <c r="G288" s="237"/>
      <c r="H288" s="237"/>
      <c r="I288" s="237"/>
      <c r="J288" s="237"/>
      <c r="K288" s="237"/>
      <c r="L288" s="237"/>
      <c r="M288" s="237"/>
      <c r="N288" s="237"/>
      <c r="O288" s="237"/>
      <c r="P288" s="237"/>
      <c r="Q288" s="237"/>
      <c r="R288" s="237"/>
      <c r="S288" s="237"/>
      <c r="T288" s="237"/>
      <c r="U288" s="237"/>
      <c r="V288" s="237"/>
      <c r="W288" s="237"/>
      <c r="X288" s="237"/>
      <c r="Y288" s="237"/>
      <c r="Z288" s="237"/>
    </row>
    <row r="289" ht="18.75" customHeight="1" spans="1:26">
      <c r="A289" s="237"/>
      <c r="B289" s="237"/>
      <c r="C289" s="237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237"/>
      <c r="U289" s="237"/>
      <c r="V289" s="237"/>
      <c r="W289" s="237"/>
      <c r="X289" s="237"/>
      <c r="Y289" s="237"/>
      <c r="Z289" s="237"/>
    </row>
    <row r="290" ht="18.75" customHeight="1" spans="1:26">
      <c r="A290" s="237"/>
      <c r="B290" s="237"/>
      <c r="C290" s="237"/>
      <c r="D290" s="237"/>
      <c r="E290" s="237"/>
      <c r="F290" s="237"/>
      <c r="G290" s="237"/>
      <c r="H290" s="237"/>
      <c r="I290" s="237"/>
      <c r="J290" s="237"/>
      <c r="K290" s="237"/>
      <c r="L290" s="237"/>
      <c r="M290" s="237"/>
      <c r="N290" s="237"/>
      <c r="O290" s="237"/>
      <c r="P290" s="237"/>
      <c r="Q290" s="237"/>
      <c r="R290" s="237"/>
      <c r="S290" s="237"/>
      <c r="T290" s="237"/>
      <c r="U290" s="237"/>
      <c r="V290" s="237"/>
      <c r="W290" s="237"/>
      <c r="X290" s="237"/>
      <c r="Y290" s="237"/>
      <c r="Z290" s="237"/>
    </row>
    <row r="291" ht="18.75" customHeight="1" spans="1:26">
      <c r="A291" s="237"/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</row>
    <row r="292" ht="18.75" customHeight="1" spans="1:26">
      <c r="A292" s="237"/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</row>
    <row r="293" ht="18.75" customHeight="1" spans="1:26">
      <c r="A293" s="237"/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</row>
    <row r="294" ht="18.75" customHeight="1" spans="1:26">
      <c r="A294" s="237"/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</row>
    <row r="295" ht="18.75" customHeight="1" spans="1:26">
      <c r="A295" s="237"/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</row>
    <row r="296" ht="18.75" customHeight="1" spans="1:26">
      <c r="A296" s="237"/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</row>
    <row r="297" ht="18.75" customHeight="1" spans="1:26">
      <c r="A297" s="237"/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</row>
    <row r="298" ht="18.75" customHeight="1" spans="1:26">
      <c r="A298" s="237"/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</row>
    <row r="299" ht="18.75" customHeight="1" spans="1:26">
      <c r="A299" s="237"/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</row>
    <row r="300" ht="18.75" customHeight="1" spans="1:26">
      <c r="A300" s="237"/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</row>
    <row r="301" ht="18.75" customHeight="1" spans="1:26">
      <c r="A301" s="237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</row>
    <row r="302" ht="18.75" customHeight="1" spans="1:26">
      <c r="A302" s="237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</row>
    <row r="303" ht="18.75" customHeight="1" spans="1:26">
      <c r="A303" s="237"/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</row>
    <row r="304" ht="18.75" customHeight="1" spans="1:26">
      <c r="A304" s="237"/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</row>
    <row r="305" ht="18.75" customHeight="1" spans="1:26">
      <c r="A305" s="237"/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</row>
    <row r="306" ht="18.75" customHeight="1" spans="1:26">
      <c r="A306" s="237"/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</row>
    <row r="307" ht="18.75" customHeight="1" spans="1:26">
      <c r="A307" s="237"/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</row>
    <row r="308" ht="18.75" customHeight="1" spans="1:26">
      <c r="A308" s="237"/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</row>
    <row r="309" ht="18.75" customHeight="1" spans="1:26">
      <c r="A309" s="237"/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</row>
    <row r="310" ht="18.75" customHeight="1" spans="1:26">
      <c r="A310" s="237"/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</row>
    <row r="311" ht="18.75" customHeight="1" spans="1:26">
      <c r="A311" s="237"/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</row>
    <row r="312" ht="18.75" customHeight="1" spans="1:26">
      <c r="A312" s="237"/>
      <c r="B312" s="237"/>
      <c r="C312" s="237"/>
      <c r="D312" s="237"/>
      <c r="E312" s="237"/>
      <c r="F312" s="237"/>
      <c r="G312" s="237"/>
      <c r="H312" s="237"/>
      <c r="I312" s="237"/>
      <c r="J312" s="237"/>
      <c r="K312" s="237"/>
      <c r="L312" s="237"/>
      <c r="M312" s="237"/>
      <c r="N312" s="237"/>
      <c r="O312" s="237"/>
      <c r="P312" s="237"/>
      <c r="Q312" s="237"/>
      <c r="R312" s="237"/>
      <c r="S312" s="237"/>
      <c r="T312" s="237"/>
      <c r="U312" s="237"/>
      <c r="V312" s="237"/>
      <c r="W312" s="237"/>
      <c r="X312" s="237"/>
      <c r="Y312" s="237"/>
      <c r="Z312" s="237"/>
    </row>
    <row r="313" ht="18.75" customHeight="1" spans="1:26">
      <c r="A313" s="237"/>
      <c r="B313" s="237"/>
      <c r="C313" s="237"/>
      <c r="D313" s="237"/>
      <c r="E313" s="237"/>
      <c r="F313" s="237"/>
      <c r="G313" s="237"/>
      <c r="H313" s="237"/>
      <c r="I313" s="237"/>
      <c r="J313" s="237"/>
      <c r="K313" s="237"/>
      <c r="L313" s="237"/>
      <c r="M313" s="237"/>
      <c r="N313" s="237"/>
      <c r="O313" s="237"/>
      <c r="P313" s="237"/>
      <c r="Q313" s="237"/>
      <c r="R313" s="237"/>
      <c r="S313" s="237"/>
      <c r="T313" s="237"/>
      <c r="U313" s="237"/>
      <c r="V313" s="237"/>
      <c r="W313" s="237"/>
      <c r="X313" s="237"/>
      <c r="Y313" s="237"/>
      <c r="Z313" s="237"/>
    </row>
    <row r="314" ht="18.75" customHeight="1" spans="1:26">
      <c r="A314" s="237"/>
      <c r="B314" s="237"/>
      <c r="C314" s="237"/>
      <c r="D314" s="237"/>
      <c r="E314" s="237"/>
      <c r="F314" s="237"/>
      <c r="G314" s="237"/>
      <c r="H314" s="237"/>
      <c r="I314" s="237"/>
      <c r="J314" s="237"/>
      <c r="K314" s="237"/>
      <c r="L314" s="237"/>
      <c r="M314" s="237"/>
      <c r="N314" s="237"/>
      <c r="O314" s="237"/>
      <c r="P314" s="237"/>
      <c r="Q314" s="237"/>
      <c r="R314" s="237"/>
      <c r="S314" s="237"/>
      <c r="T314" s="237"/>
      <c r="U314" s="237"/>
      <c r="V314" s="237"/>
      <c r="W314" s="237"/>
      <c r="X314" s="237"/>
      <c r="Y314" s="237"/>
      <c r="Z314" s="237"/>
    </row>
    <row r="315" ht="18.75" customHeight="1" spans="1:26">
      <c r="A315" s="237"/>
      <c r="B315" s="237"/>
      <c r="C315" s="237"/>
      <c r="D315" s="237"/>
      <c r="E315" s="237"/>
      <c r="F315" s="237"/>
      <c r="G315" s="237"/>
      <c r="H315" s="237"/>
      <c r="I315" s="237"/>
      <c r="J315" s="237"/>
      <c r="K315" s="237"/>
      <c r="L315" s="237"/>
      <c r="M315" s="237"/>
      <c r="N315" s="237"/>
      <c r="O315" s="237"/>
      <c r="P315" s="237"/>
      <c r="Q315" s="237"/>
      <c r="R315" s="237"/>
      <c r="S315" s="237"/>
      <c r="T315" s="237"/>
      <c r="U315" s="237"/>
      <c r="V315" s="237"/>
      <c r="W315" s="237"/>
      <c r="X315" s="237"/>
      <c r="Y315" s="237"/>
      <c r="Z315" s="237"/>
    </row>
    <row r="316" ht="18.75" customHeight="1" spans="1:26">
      <c r="A316" s="237"/>
      <c r="B316" s="237"/>
      <c r="C316" s="237"/>
      <c r="D316" s="237"/>
      <c r="E316" s="237"/>
      <c r="F316" s="237"/>
      <c r="G316" s="237"/>
      <c r="H316" s="237"/>
      <c r="I316" s="237"/>
      <c r="J316" s="237"/>
      <c r="K316" s="237"/>
      <c r="L316" s="237"/>
      <c r="M316" s="237"/>
      <c r="N316" s="237"/>
      <c r="O316" s="237"/>
      <c r="P316" s="237"/>
      <c r="Q316" s="237"/>
      <c r="R316" s="237"/>
      <c r="S316" s="237"/>
      <c r="T316" s="237"/>
      <c r="U316" s="237"/>
      <c r="V316" s="237"/>
      <c r="W316" s="237"/>
      <c r="X316" s="237"/>
      <c r="Y316" s="237"/>
      <c r="Z316" s="237"/>
    </row>
    <row r="317" ht="18.75" customHeight="1" spans="1:26">
      <c r="A317" s="237"/>
      <c r="B317" s="237"/>
      <c r="C317" s="237"/>
      <c r="D317" s="237"/>
      <c r="E317" s="237"/>
      <c r="F317" s="237"/>
      <c r="G317" s="237"/>
      <c r="H317" s="237"/>
      <c r="I317" s="237"/>
      <c r="J317" s="237"/>
      <c r="K317" s="237"/>
      <c r="L317" s="237"/>
      <c r="M317" s="237"/>
      <c r="N317" s="237"/>
      <c r="O317" s="237"/>
      <c r="P317" s="237"/>
      <c r="Q317" s="237"/>
      <c r="R317" s="237"/>
      <c r="S317" s="237"/>
      <c r="T317" s="237"/>
      <c r="U317" s="237"/>
      <c r="V317" s="237"/>
      <c r="W317" s="237"/>
      <c r="X317" s="237"/>
      <c r="Y317" s="237"/>
      <c r="Z317" s="237"/>
    </row>
    <row r="318" ht="18.75" customHeight="1" spans="1:26">
      <c r="A318" s="237"/>
      <c r="B318" s="237"/>
      <c r="C318" s="237"/>
      <c r="D318" s="237"/>
      <c r="E318" s="237"/>
      <c r="F318" s="237"/>
      <c r="G318" s="237"/>
      <c r="H318" s="237"/>
      <c r="I318" s="237"/>
      <c r="J318" s="237"/>
      <c r="K318" s="237"/>
      <c r="L318" s="237"/>
      <c r="M318" s="237"/>
      <c r="N318" s="237"/>
      <c r="O318" s="237"/>
      <c r="P318" s="237"/>
      <c r="Q318" s="237"/>
      <c r="R318" s="237"/>
      <c r="S318" s="237"/>
      <c r="T318" s="237"/>
      <c r="U318" s="237"/>
      <c r="V318" s="237"/>
      <c r="W318" s="237"/>
      <c r="X318" s="237"/>
      <c r="Y318" s="237"/>
      <c r="Z318" s="237"/>
    </row>
    <row r="319" ht="18.75" customHeight="1" spans="1:26">
      <c r="A319" s="237"/>
      <c r="B319" s="237"/>
      <c r="C319" s="237"/>
      <c r="D319" s="237"/>
      <c r="E319" s="237"/>
      <c r="F319" s="237"/>
      <c r="G319" s="237"/>
      <c r="H319" s="237"/>
      <c r="I319" s="237"/>
      <c r="J319" s="237"/>
      <c r="K319" s="237"/>
      <c r="L319" s="237"/>
      <c r="M319" s="237"/>
      <c r="N319" s="237"/>
      <c r="O319" s="237"/>
      <c r="P319" s="237"/>
      <c r="Q319" s="237"/>
      <c r="R319" s="237"/>
      <c r="S319" s="237"/>
      <c r="T319" s="237"/>
      <c r="U319" s="237"/>
      <c r="V319" s="237"/>
      <c r="W319" s="237"/>
      <c r="X319" s="237"/>
      <c r="Y319" s="237"/>
      <c r="Z319" s="237"/>
    </row>
    <row r="320" ht="18.75" customHeight="1" spans="1:26">
      <c r="A320" s="237"/>
      <c r="B320" s="237"/>
      <c r="C320" s="237"/>
      <c r="D320" s="237"/>
      <c r="E320" s="237"/>
      <c r="F320" s="237"/>
      <c r="G320" s="237"/>
      <c r="H320" s="237"/>
      <c r="I320" s="237"/>
      <c r="J320" s="237"/>
      <c r="K320" s="237"/>
      <c r="L320" s="237"/>
      <c r="M320" s="237"/>
      <c r="N320" s="237"/>
      <c r="O320" s="237"/>
      <c r="P320" s="237"/>
      <c r="Q320" s="237"/>
      <c r="R320" s="237"/>
      <c r="S320" s="237"/>
      <c r="T320" s="237"/>
      <c r="U320" s="237"/>
      <c r="V320" s="237"/>
      <c r="W320" s="237"/>
      <c r="X320" s="237"/>
      <c r="Y320" s="237"/>
      <c r="Z320" s="237"/>
    </row>
    <row r="321" ht="18.75" customHeight="1" spans="1:26">
      <c r="A321" s="237"/>
      <c r="B321" s="237"/>
      <c r="C321" s="237"/>
      <c r="D321" s="237"/>
      <c r="E321" s="237"/>
      <c r="F321" s="237"/>
      <c r="G321" s="237"/>
      <c r="H321" s="237"/>
      <c r="I321" s="237"/>
      <c r="J321" s="237"/>
      <c r="K321" s="237"/>
      <c r="L321" s="237"/>
      <c r="M321" s="237"/>
      <c r="N321" s="237"/>
      <c r="O321" s="237"/>
      <c r="P321" s="237"/>
      <c r="Q321" s="237"/>
      <c r="R321" s="237"/>
      <c r="S321" s="237"/>
      <c r="T321" s="237"/>
      <c r="U321" s="237"/>
      <c r="V321" s="237"/>
      <c r="W321" s="237"/>
      <c r="X321" s="237"/>
      <c r="Y321" s="237"/>
      <c r="Z321" s="237"/>
    </row>
    <row r="322" ht="18.75" customHeight="1" spans="1:26">
      <c r="A322" s="237"/>
      <c r="B322" s="237"/>
      <c r="C322" s="237"/>
      <c r="D322" s="237"/>
      <c r="E322" s="237"/>
      <c r="F322" s="237"/>
      <c r="G322" s="237"/>
      <c r="H322" s="237"/>
      <c r="I322" s="237"/>
      <c r="J322" s="237"/>
      <c r="K322" s="237"/>
      <c r="L322" s="237"/>
      <c r="M322" s="237"/>
      <c r="N322" s="237"/>
      <c r="O322" s="237"/>
      <c r="P322" s="237"/>
      <c r="Q322" s="237"/>
      <c r="R322" s="237"/>
      <c r="S322" s="237"/>
      <c r="T322" s="237"/>
      <c r="U322" s="237"/>
      <c r="V322" s="237"/>
      <c r="W322" s="237"/>
      <c r="X322" s="237"/>
      <c r="Y322" s="237"/>
      <c r="Z322" s="237"/>
    </row>
    <row r="323" ht="18.75" customHeight="1" spans="1:26">
      <c r="A323" s="237"/>
      <c r="B323" s="237"/>
      <c r="C323" s="237"/>
      <c r="D323" s="237"/>
      <c r="E323" s="237"/>
      <c r="F323" s="237"/>
      <c r="G323" s="237"/>
      <c r="H323" s="237"/>
      <c r="I323" s="237"/>
      <c r="J323" s="237"/>
      <c r="K323" s="237"/>
      <c r="L323" s="237"/>
      <c r="M323" s="237"/>
      <c r="N323" s="237"/>
      <c r="O323" s="237"/>
      <c r="P323" s="237"/>
      <c r="Q323" s="237"/>
      <c r="R323" s="237"/>
      <c r="S323" s="237"/>
      <c r="T323" s="237"/>
      <c r="U323" s="237"/>
      <c r="V323" s="237"/>
      <c r="W323" s="237"/>
      <c r="X323" s="237"/>
      <c r="Y323" s="237"/>
      <c r="Z323" s="237"/>
    </row>
    <row r="324" ht="18.75" customHeight="1" spans="1:26">
      <c r="A324" s="237"/>
      <c r="B324" s="237"/>
      <c r="C324" s="237"/>
      <c r="D324" s="237"/>
      <c r="E324" s="237"/>
      <c r="F324" s="237"/>
      <c r="G324" s="237"/>
      <c r="H324" s="237"/>
      <c r="I324" s="237"/>
      <c r="J324" s="237"/>
      <c r="K324" s="237"/>
      <c r="L324" s="237"/>
      <c r="M324" s="237"/>
      <c r="N324" s="237"/>
      <c r="O324" s="237"/>
      <c r="P324" s="237"/>
      <c r="Q324" s="237"/>
      <c r="R324" s="237"/>
      <c r="S324" s="237"/>
      <c r="T324" s="237"/>
      <c r="U324" s="237"/>
      <c r="V324" s="237"/>
      <c r="W324" s="237"/>
      <c r="X324" s="237"/>
      <c r="Y324" s="237"/>
      <c r="Z324" s="237"/>
    </row>
    <row r="325" ht="18.75" customHeight="1" spans="1:26">
      <c r="A325" s="237"/>
      <c r="B325" s="237"/>
      <c r="C325" s="237"/>
      <c r="D325" s="237"/>
      <c r="E325" s="237"/>
      <c r="F325" s="237"/>
      <c r="G325" s="237"/>
      <c r="H325" s="237"/>
      <c r="I325" s="237"/>
      <c r="J325" s="237"/>
      <c r="K325" s="237"/>
      <c r="L325" s="237"/>
      <c r="M325" s="237"/>
      <c r="N325" s="237"/>
      <c r="O325" s="237"/>
      <c r="P325" s="237"/>
      <c r="Q325" s="237"/>
      <c r="R325" s="237"/>
      <c r="S325" s="237"/>
      <c r="T325" s="237"/>
      <c r="U325" s="237"/>
      <c r="V325" s="237"/>
      <c r="W325" s="237"/>
      <c r="X325" s="237"/>
      <c r="Y325" s="237"/>
      <c r="Z325" s="237"/>
    </row>
    <row r="326" ht="18.75" customHeight="1" spans="1:26">
      <c r="A326" s="237"/>
      <c r="B326" s="237"/>
      <c r="C326" s="237"/>
      <c r="D326" s="237"/>
      <c r="E326" s="237"/>
      <c r="F326" s="237"/>
      <c r="G326" s="237"/>
      <c r="H326" s="237"/>
      <c r="I326" s="237"/>
      <c r="J326" s="237"/>
      <c r="K326" s="237"/>
      <c r="L326" s="237"/>
      <c r="M326" s="237"/>
      <c r="N326" s="237"/>
      <c r="O326" s="237"/>
      <c r="P326" s="237"/>
      <c r="Q326" s="237"/>
      <c r="R326" s="237"/>
      <c r="S326" s="237"/>
      <c r="T326" s="237"/>
      <c r="U326" s="237"/>
      <c r="V326" s="237"/>
      <c r="W326" s="237"/>
      <c r="X326" s="237"/>
      <c r="Y326" s="237"/>
      <c r="Z326" s="237"/>
    </row>
    <row r="327" ht="18.75" customHeight="1" spans="1:26">
      <c r="A327" s="237"/>
      <c r="B327" s="237"/>
      <c r="C327" s="237"/>
      <c r="D327" s="237"/>
      <c r="E327" s="237"/>
      <c r="F327" s="237"/>
      <c r="G327" s="237"/>
      <c r="H327" s="237"/>
      <c r="I327" s="237"/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237"/>
      <c r="U327" s="237"/>
      <c r="V327" s="237"/>
      <c r="W327" s="237"/>
      <c r="X327" s="237"/>
      <c r="Y327" s="237"/>
      <c r="Z327" s="237"/>
    </row>
    <row r="328" ht="18.75" customHeight="1" spans="1:26">
      <c r="A328" s="237"/>
      <c r="B328" s="237"/>
      <c r="C328" s="237"/>
      <c r="D328" s="237"/>
      <c r="E328" s="237"/>
      <c r="F328" s="237"/>
      <c r="G328" s="237"/>
      <c r="H328" s="237"/>
      <c r="I328" s="237"/>
      <c r="J328" s="237"/>
      <c r="K328" s="237"/>
      <c r="L328" s="237"/>
      <c r="M328" s="237"/>
      <c r="N328" s="237"/>
      <c r="O328" s="237"/>
      <c r="P328" s="237"/>
      <c r="Q328" s="237"/>
      <c r="R328" s="237"/>
      <c r="S328" s="237"/>
      <c r="T328" s="237"/>
      <c r="U328" s="237"/>
      <c r="V328" s="237"/>
      <c r="W328" s="237"/>
      <c r="X328" s="237"/>
      <c r="Y328" s="237"/>
      <c r="Z328" s="237"/>
    </row>
    <row r="329" ht="18.75" customHeight="1" spans="1:26">
      <c r="A329" s="237"/>
      <c r="B329" s="237"/>
      <c r="C329" s="237"/>
      <c r="D329" s="237"/>
      <c r="E329" s="237"/>
      <c r="F329" s="237"/>
      <c r="G329" s="237"/>
      <c r="H329" s="237"/>
      <c r="I329" s="237"/>
      <c r="J329" s="237"/>
      <c r="K329" s="237"/>
      <c r="L329" s="237"/>
      <c r="M329" s="237"/>
      <c r="N329" s="237"/>
      <c r="O329" s="237"/>
      <c r="P329" s="237"/>
      <c r="Q329" s="237"/>
      <c r="R329" s="237"/>
      <c r="S329" s="237"/>
      <c r="T329" s="237"/>
      <c r="U329" s="237"/>
      <c r="V329" s="237"/>
      <c r="W329" s="237"/>
      <c r="X329" s="237"/>
      <c r="Y329" s="237"/>
      <c r="Z329" s="237"/>
    </row>
    <row r="330" ht="18.75" customHeight="1" spans="1:26">
      <c r="A330" s="237"/>
      <c r="B330" s="237"/>
      <c r="C330" s="237"/>
      <c r="D330" s="237"/>
      <c r="E330" s="237"/>
      <c r="F330" s="237"/>
      <c r="G330" s="237"/>
      <c r="H330" s="237"/>
      <c r="I330" s="237"/>
      <c r="J330" s="237"/>
      <c r="K330" s="237"/>
      <c r="L330" s="237"/>
      <c r="M330" s="237"/>
      <c r="N330" s="237"/>
      <c r="O330" s="237"/>
      <c r="P330" s="237"/>
      <c r="Q330" s="237"/>
      <c r="R330" s="237"/>
      <c r="S330" s="237"/>
      <c r="T330" s="237"/>
      <c r="U330" s="237"/>
      <c r="V330" s="237"/>
      <c r="W330" s="237"/>
      <c r="X330" s="237"/>
      <c r="Y330" s="237"/>
      <c r="Z330" s="237"/>
    </row>
    <row r="331" ht="18.75" customHeight="1" spans="1:26">
      <c r="A331" s="237"/>
      <c r="B331" s="237"/>
      <c r="C331" s="237"/>
      <c r="D331" s="237"/>
      <c r="E331" s="237"/>
      <c r="F331" s="237"/>
      <c r="G331" s="237"/>
      <c r="H331" s="237"/>
      <c r="I331" s="237"/>
      <c r="J331" s="237"/>
      <c r="K331" s="237"/>
      <c r="L331" s="237"/>
      <c r="M331" s="237"/>
      <c r="N331" s="237"/>
      <c r="O331" s="237"/>
      <c r="P331" s="237"/>
      <c r="Q331" s="237"/>
      <c r="R331" s="237"/>
      <c r="S331" s="237"/>
      <c r="T331" s="237"/>
      <c r="U331" s="237"/>
      <c r="V331" s="237"/>
      <c r="W331" s="237"/>
      <c r="X331" s="237"/>
      <c r="Y331" s="237"/>
      <c r="Z331" s="237"/>
    </row>
    <row r="332" ht="18.75" customHeight="1" spans="1:26">
      <c r="A332" s="237"/>
      <c r="B332" s="237"/>
      <c r="C332" s="237"/>
      <c r="D332" s="237"/>
      <c r="E332" s="237"/>
      <c r="F332" s="237"/>
      <c r="G332" s="237"/>
      <c r="H332" s="237"/>
      <c r="I332" s="237"/>
      <c r="J332" s="237"/>
      <c r="K332" s="237"/>
      <c r="L332" s="237"/>
      <c r="M332" s="237"/>
      <c r="N332" s="237"/>
      <c r="O332" s="237"/>
      <c r="P332" s="237"/>
      <c r="Q332" s="237"/>
      <c r="R332" s="237"/>
      <c r="S332" s="237"/>
      <c r="T332" s="237"/>
      <c r="U332" s="237"/>
      <c r="V332" s="237"/>
      <c r="W332" s="237"/>
      <c r="X332" s="237"/>
      <c r="Y332" s="237"/>
      <c r="Z332" s="237"/>
    </row>
    <row r="333" ht="18.75" customHeight="1" spans="1:26">
      <c r="A333" s="237"/>
      <c r="B333" s="237"/>
      <c r="C333" s="237"/>
      <c r="D333" s="237"/>
      <c r="E333" s="237"/>
      <c r="F333" s="237"/>
      <c r="G333" s="237"/>
      <c r="H333" s="237"/>
      <c r="I333" s="237"/>
      <c r="J333" s="237"/>
      <c r="K333" s="237"/>
      <c r="L333" s="237"/>
      <c r="M333" s="237"/>
      <c r="N333" s="237"/>
      <c r="O333" s="237"/>
      <c r="P333" s="237"/>
      <c r="Q333" s="237"/>
      <c r="R333" s="237"/>
      <c r="S333" s="237"/>
      <c r="T333" s="237"/>
      <c r="U333" s="237"/>
      <c r="V333" s="237"/>
      <c r="W333" s="237"/>
      <c r="X333" s="237"/>
      <c r="Y333" s="237"/>
      <c r="Z333" s="237"/>
    </row>
    <row r="334" ht="18.75" customHeight="1" spans="1:26">
      <c r="A334" s="237"/>
      <c r="B334" s="237"/>
      <c r="C334" s="237"/>
      <c r="D334" s="237"/>
      <c r="E334" s="237"/>
      <c r="F334" s="237"/>
      <c r="G334" s="237"/>
      <c r="H334" s="237"/>
      <c r="I334" s="237"/>
      <c r="J334" s="237"/>
      <c r="K334" s="237"/>
      <c r="L334" s="237"/>
      <c r="M334" s="237"/>
      <c r="N334" s="237"/>
      <c r="O334" s="237"/>
      <c r="P334" s="237"/>
      <c r="Q334" s="237"/>
      <c r="R334" s="237"/>
      <c r="S334" s="237"/>
      <c r="T334" s="237"/>
      <c r="U334" s="237"/>
      <c r="V334" s="237"/>
      <c r="W334" s="237"/>
      <c r="X334" s="237"/>
      <c r="Y334" s="237"/>
      <c r="Z334" s="237"/>
    </row>
    <row r="335" ht="18.75" customHeight="1" spans="1:26">
      <c r="A335" s="237"/>
      <c r="B335" s="237"/>
      <c r="C335" s="237"/>
      <c r="D335" s="237"/>
      <c r="E335" s="237"/>
      <c r="F335" s="237"/>
      <c r="G335" s="237"/>
      <c r="H335" s="237"/>
      <c r="I335" s="237"/>
      <c r="J335" s="237"/>
      <c r="K335" s="237"/>
      <c r="L335" s="237"/>
      <c r="M335" s="237"/>
      <c r="N335" s="237"/>
      <c r="O335" s="237"/>
      <c r="P335" s="237"/>
      <c r="Q335" s="237"/>
      <c r="R335" s="237"/>
      <c r="S335" s="237"/>
      <c r="T335" s="237"/>
      <c r="U335" s="237"/>
      <c r="V335" s="237"/>
      <c r="W335" s="237"/>
      <c r="X335" s="237"/>
      <c r="Y335" s="237"/>
      <c r="Z335" s="237"/>
    </row>
    <row r="336" ht="18.75" customHeight="1" spans="1:26">
      <c r="A336" s="237"/>
      <c r="B336" s="237"/>
      <c r="C336" s="237"/>
      <c r="D336" s="237"/>
      <c r="E336" s="237"/>
      <c r="F336" s="237"/>
      <c r="G336" s="237"/>
      <c r="H336" s="237"/>
      <c r="I336" s="237"/>
      <c r="J336" s="237"/>
      <c r="K336" s="237"/>
      <c r="L336" s="237"/>
      <c r="M336" s="237"/>
      <c r="N336" s="237"/>
      <c r="O336" s="237"/>
      <c r="P336" s="237"/>
      <c r="Q336" s="237"/>
      <c r="R336" s="237"/>
      <c r="S336" s="237"/>
      <c r="T336" s="237"/>
      <c r="U336" s="237"/>
      <c r="V336" s="237"/>
      <c r="W336" s="237"/>
      <c r="X336" s="237"/>
      <c r="Y336" s="237"/>
      <c r="Z336" s="237"/>
    </row>
    <row r="337" ht="18.75" customHeight="1" spans="1:26">
      <c r="A337" s="237"/>
      <c r="B337" s="237"/>
      <c r="C337" s="237"/>
      <c r="D337" s="237"/>
      <c r="E337" s="237"/>
      <c r="F337" s="237"/>
      <c r="G337" s="237"/>
      <c r="H337" s="237"/>
      <c r="I337" s="237"/>
      <c r="J337" s="237"/>
      <c r="K337" s="237"/>
      <c r="L337" s="237"/>
      <c r="M337" s="237"/>
      <c r="N337" s="237"/>
      <c r="O337" s="237"/>
      <c r="P337" s="237"/>
      <c r="Q337" s="237"/>
      <c r="R337" s="237"/>
      <c r="S337" s="237"/>
      <c r="T337" s="237"/>
      <c r="U337" s="237"/>
      <c r="V337" s="237"/>
      <c r="W337" s="237"/>
      <c r="X337" s="237"/>
      <c r="Y337" s="237"/>
      <c r="Z337" s="237"/>
    </row>
    <row r="338" ht="18.75" customHeight="1" spans="1:26">
      <c r="A338" s="237"/>
      <c r="B338" s="237"/>
      <c r="C338" s="237"/>
      <c r="D338" s="237"/>
      <c r="E338" s="237"/>
      <c r="F338" s="237"/>
      <c r="G338" s="237"/>
      <c r="H338" s="237"/>
      <c r="I338" s="237"/>
      <c r="J338" s="237"/>
      <c r="K338" s="237"/>
      <c r="L338" s="237"/>
      <c r="M338" s="237"/>
      <c r="N338" s="237"/>
      <c r="O338" s="237"/>
      <c r="P338" s="237"/>
      <c r="Q338" s="237"/>
      <c r="R338" s="237"/>
      <c r="S338" s="237"/>
      <c r="T338" s="237"/>
      <c r="U338" s="237"/>
      <c r="V338" s="237"/>
      <c r="W338" s="237"/>
      <c r="X338" s="237"/>
      <c r="Y338" s="237"/>
      <c r="Z338" s="237"/>
    </row>
    <row r="339" ht="18.75" customHeight="1" spans="1:26">
      <c r="A339" s="237"/>
      <c r="B339" s="237"/>
      <c r="C339" s="237"/>
      <c r="D339" s="237"/>
      <c r="E339" s="237"/>
      <c r="F339" s="237"/>
      <c r="G339" s="237"/>
      <c r="H339" s="237"/>
      <c r="I339" s="237"/>
      <c r="J339" s="237"/>
      <c r="K339" s="237"/>
      <c r="L339" s="237"/>
      <c r="M339" s="237"/>
      <c r="N339" s="237"/>
      <c r="O339" s="237"/>
      <c r="P339" s="237"/>
      <c r="Q339" s="237"/>
      <c r="R339" s="237"/>
      <c r="S339" s="237"/>
      <c r="T339" s="237"/>
      <c r="U339" s="237"/>
      <c r="V339" s="237"/>
      <c r="W339" s="237"/>
      <c r="X339" s="237"/>
      <c r="Y339" s="237"/>
      <c r="Z339" s="237"/>
    </row>
    <row r="340" ht="18.75" customHeight="1" spans="1:26">
      <c r="A340" s="237"/>
      <c r="B340" s="237"/>
      <c r="C340" s="237"/>
      <c r="D340" s="237"/>
      <c r="E340" s="237"/>
      <c r="F340" s="237"/>
      <c r="G340" s="237"/>
      <c r="H340" s="237"/>
      <c r="I340" s="237"/>
      <c r="J340" s="237"/>
      <c r="K340" s="237"/>
      <c r="L340" s="237"/>
      <c r="M340" s="237"/>
      <c r="N340" s="237"/>
      <c r="O340" s="237"/>
      <c r="P340" s="237"/>
      <c r="Q340" s="237"/>
      <c r="R340" s="237"/>
      <c r="S340" s="237"/>
      <c r="T340" s="237"/>
      <c r="U340" s="237"/>
      <c r="V340" s="237"/>
      <c r="W340" s="237"/>
      <c r="X340" s="237"/>
      <c r="Y340" s="237"/>
      <c r="Z340" s="237"/>
    </row>
    <row r="341" ht="18.75" customHeight="1" spans="1:26">
      <c r="A341" s="237"/>
      <c r="B341" s="237"/>
      <c r="C341" s="237"/>
      <c r="D341" s="237"/>
      <c r="E341" s="237"/>
      <c r="F341" s="237"/>
      <c r="G341" s="237"/>
      <c r="H341" s="237"/>
      <c r="I341" s="237"/>
      <c r="J341" s="237"/>
      <c r="K341" s="237"/>
      <c r="L341" s="237"/>
      <c r="M341" s="237"/>
      <c r="N341" s="237"/>
      <c r="O341" s="237"/>
      <c r="P341" s="237"/>
      <c r="Q341" s="237"/>
      <c r="R341" s="237"/>
      <c r="S341" s="237"/>
      <c r="T341" s="237"/>
      <c r="U341" s="237"/>
      <c r="V341" s="237"/>
      <c r="W341" s="237"/>
      <c r="X341" s="237"/>
      <c r="Y341" s="237"/>
      <c r="Z341" s="237"/>
    </row>
    <row r="342" ht="18.75" customHeight="1" spans="1:26">
      <c r="A342" s="237"/>
      <c r="B342" s="237"/>
      <c r="C342" s="237"/>
      <c r="D342" s="237"/>
      <c r="E342" s="237"/>
      <c r="F342" s="237"/>
      <c r="G342" s="237"/>
      <c r="H342" s="237"/>
      <c r="I342" s="237"/>
      <c r="J342" s="237"/>
      <c r="K342" s="237"/>
      <c r="L342" s="237"/>
      <c r="M342" s="237"/>
      <c r="N342" s="237"/>
      <c r="O342" s="237"/>
      <c r="P342" s="237"/>
      <c r="Q342" s="237"/>
      <c r="R342" s="237"/>
      <c r="S342" s="237"/>
      <c r="T342" s="237"/>
      <c r="U342" s="237"/>
      <c r="V342" s="237"/>
      <c r="W342" s="237"/>
      <c r="X342" s="237"/>
      <c r="Y342" s="237"/>
      <c r="Z342" s="237"/>
    </row>
    <row r="343" ht="18.75" customHeight="1" spans="1:26">
      <c r="A343" s="237"/>
      <c r="B343" s="237"/>
      <c r="C343" s="237"/>
      <c r="D343" s="237"/>
      <c r="E343" s="237"/>
      <c r="F343" s="237"/>
      <c r="G343" s="237"/>
      <c r="H343" s="237"/>
      <c r="I343" s="237"/>
      <c r="J343" s="237"/>
      <c r="K343" s="237"/>
      <c r="L343" s="237"/>
      <c r="M343" s="237"/>
      <c r="N343" s="237"/>
      <c r="O343" s="237"/>
      <c r="P343" s="237"/>
      <c r="Q343" s="237"/>
      <c r="R343" s="237"/>
      <c r="S343" s="237"/>
      <c r="T343" s="237"/>
      <c r="U343" s="237"/>
      <c r="V343" s="237"/>
      <c r="W343" s="237"/>
      <c r="X343" s="237"/>
      <c r="Y343" s="237"/>
      <c r="Z343" s="237"/>
    </row>
    <row r="344" ht="18.75" customHeight="1" spans="1:26">
      <c r="A344" s="237"/>
      <c r="B344" s="237"/>
      <c r="C344" s="237"/>
      <c r="D344" s="237"/>
      <c r="E344" s="237"/>
      <c r="F344" s="237"/>
      <c r="G344" s="237"/>
      <c r="H344" s="237"/>
      <c r="I344" s="237"/>
      <c r="J344" s="237"/>
      <c r="K344" s="237"/>
      <c r="L344" s="237"/>
      <c r="M344" s="237"/>
      <c r="N344" s="237"/>
      <c r="O344" s="237"/>
      <c r="P344" s="237"/>
      <c r="Q344" s="237"/>
      <c r="R344" s="237"/>
      <c r="S344" s="237"/>
      <c r="T344" s="237"/>
      <c r="U344" s="237"/>
      <c r="V344" s="237"/>
      <c r="W344" s="237"/>
      <c r="X344" s="237"/>
      <c r="Y344" s="237"/>
      <c r="Z344" s="237"/>
    </row>
    <row r="345" ht="18.75" customHeight="1" spans="1:26">
      <c r="A345" s="237"/>
      <c r="B345" s="237"/>
      <c r="C345" s="237"/>
      <c r="D345" s="237"/>
      <c r="E345" s="237"/>
      <c r="F345" s="237"/>
      <c r="G345" s="237"/>
      <c r="H345" s="237"/>
      <c r="I345" s="237"/>
      <c r="J345" s="237"/>
      <c r="K345" s="237"/>
      <c r="L345" s="237"/>
      <c r="M345" s="237"/>
      <c r="N345" s="237"/>
      <c r="O345" s="237"/>
      <c r="P345" s="237"/>
      <c r="Q345" s="237"/>
      <c r="R345" s="237"/>
      <c r="S345" s="237"/>
      <c r="T345" s="237"/>
      <c r="U345" s="237"/>
      <c r="V345" s="237"/>
      <c r="W345" s="237"/>
      <c r="X345" s="237"/>
      <c r="Y345" s="237"/>
      <c r="Z345" s="237"/>
    </row>
    <row r="346" ht="18.75" customHeight="1" spans="1:26">
      <c r="A346" s="237"/>
      <c r="B346" s="237"/>
      <c r="C346" s="237"/>
      <c r="D346" s="237"/>
      <c r="E346" s="237"/>
      <c r="F346" s="237"/>
      <c r="G346" s="237"/>
      <c r="H346" s="237"/>
      <c r="I346" s="237"/>
      <c r="J346" s="237"/>
      <c r="K346" s="237"/>
      <c r="L346" s="237"/>
      <c r="M346" s="237"/>
      <c r="N346" s="237"/>
      <c r="O346" s="237"/>
      <c r="P346" s="237"/>
      <c r="Q346" s="237"/>
      <c r="R346" s="237"/>
      <c r="S346" s="237"/>
      <c r="T346" s="237"/>
      <c r="U346" s="237"/>
      <c r="V346" s="237"/>
      <c r="W346" s="237"/>
      <c r="X346" s="237"/>
      <c r="Y346" s="237"/>
      <c r="Z346" s="237"/>
    </row>
    <row r="347" ht="18.75" customHeight="1" spans="1:26">
      <c r="A347" s="237"/>
      <c r="B347" s="237"/>
      <c r="C347" s="237"/>
      <c r="D347" s="237"/>
      <c r="E347" s="237"/>
      <c r="F347" s="237"/>
      <c r="G347" s="237"/>
      <c r="H347" s="237"/>
      <c r="I347" s="237"/>
      <c r="J347" s="237"/>
      <c r="K347" s="237"/>
      <c r="L347" s="237"/>
      <c r="M347" s="237"/>
      <c r="N347" s="237"/>
      <c r="O347" s="237"/>
      <c r="P347" s="237"/>
      <c r="Q347" s="237"/>
      <c r="R347" s="237"/>
      <c r="S347" s="237"/>
      <c r="T347" s="237"/>
      <c r="U347" s="237"/>
      <c r="V347" s="237"/>
      <c r="W347" s="237"/>
      <c r="X347" s="237"/>
      <c r="Y347" s="237"/>
      <c r="Z347" s="237"/>
    </row>
    <row r="348" ht="18.75" customHeight="1" spans="1:26">
      <c r="A348" s="237"/>
      <c r="B348" s="237"/>
      <c r="C348" s="237"/>
      <c r="D348" s="237"/>
      <c r="E348" s="237"/>
      <c r="F348" s="237"/>
      <c r="G348" s="237"/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  <c r="V348" s="237"/>
      <c r="W348" s="237"/>
      <c r="X348" s="237"/>
      <c r="Y348" s="237"/>
      <c r="Z348" s="237"/>
    </row>
    <row r="349" ht="18.75" customHeight="1" spans="1:26">
      <c r="A349" s="237"/>
      <c r="B349" s="237"/>
      <c r="C349" s="237"/>
      <c r="D349" s="237"/>
      <c r="E349" s="237"/>
      <c r="F349" s="237"/>
      <c r="G349" s="237"/>
      <c r="H349" s="237"/>
      <c r="I349" s="237"/>
      <c r="J349" s="237"/>
      <c r="K349" s="237"/>
      <c r="L349" s="237"/>
      <c r="M349" s="237"/>
      <c r="N349" s="237"/>
      <c r="O349" s="237"/>
      <c r="P349" s="237"/>
      <c r="Q349" s="237"/>
      <c r="R349" s="237"/>
      <c r="S349" s="237"/>
      <c r="T349" s="237"/>
      <c r="U349" s="237"/>
      <c r="V349" s="237"/>
      <c r="W349" s="237"/>
      <c r="X349" s="237"/>
      <c r="Y349" s="237"/>
      <c r="Z349" s="237"/>
    </row>
    <row r="350" ht="18.75" customHeight="1" spans="1:26">
      <c r="A350" s="237"/>
      <c r="B350" s="237"/>
      <c r="C350" s="237"/>
      <c r="D350" s="237"/>
      <c r="E350" s="237"/>
      <c r="F350" s="237"/>
      <c r="G350" s="237"/>
      <c r="H350" s="237"/>
      <c r="I350" s="237"/>
      <c r="J350" s="237"/>
      <c r="K350" s="237"/>
      <c r="L350" s="237"/>
      <c r="M350" s="237"/>
      <c r="N350" s="237"/>
      <c r="O350" s="237"/>
      <c r="P350" s="237"/>
      <c r="Q350" s="237"/>
      <c r="R350" s="237"/>
      <c r="S350" s="237"/>
      <c r="T350" s="237"/>
      <c r="U350" s="237"/>
      <c r="V350" s="237"/>
      <c r="W350" s="237"/>
      <c r="X350" s="237"/>
      <c r="Y350" s="237"/>
      <c r="Z350" s="237"/>
    </row>
    <row r="351" ht="18.75" customHeight="1" spans="1:26">
      <c r="A351" s="237"/>
      <c r="B351" s="237"/>
      <c r="C351" s="237"/>
      <c r="D351" s="237"/>
      <c r="E351" s="237"/>
      <c r="F351" s="237"/>
      <c r="G351" s="237"/>
      <c r="H351" s="237"/>
      <c r="I351" s="237"/>
      <c r="J351" s="237"/>
      <c r="K351" s="237"/>
      <c r="L351" s="237"/>
      <c r="M351" s="237"/>
      <c r="N351" s="237"/>
      <c r="O351" s="237"/>
      <c r="P351" s="237"/>
      <c r="Q351" s="237"/>
      <c r="R351" s="237"/>
      <c r="S351" s="237"/>
      <c r="T351" s="237"/>
      <c r="U351" s="237"/>
      <c r="V351" s="237"/>
      <c r="W351" s="237"/>
      <c r="X351" s="237"/>
      <c r="Y351" s="237"/>
      <c r="Z351" s="237"/>
    </row>
    <row r="352" ht="18.75" customHeight="1" spans="1:26">
      <c r="A352" s="237"/>
      <c r="B352" s="237"/>
      <c r="C352" s="237"/>
      <c r="D352" s="237"/>
      <c r="E352" s="237"/>
      <c r="F352" s="237"/>
      <c r="G352" s="237"/>
      <c r="H352" s="237"/>
      <c r="I352" s="237"/>
      <c r="J352" s="237"/>
      <c r="K352" s="237"/>
      <c r="L352" s="237"/>
      <c r="M352" s="237"/>
      <c r="N352" s="237"/>
      <c r="O352" s="237"/>
      <c r="P352" s="237"/>
      <c r="Q352" s="237"/>
      <c r="R352" s="237"/>
      <c r="S352" s="237"/>
      <c r="T352" s="237"/>
      <c r="U352" s="237"/>
      <c r="V352" s="237"/>
      <c r="W352" s="237"/>
      <c r="X352" s="237"/>
      <c r="Y352" s="237"/>
      <c r="Z352" s="237"/>
    </row>
    <row r="353" ht="18.75" customHeight="1" spans="1:26">
      <c r="A353" s="237"/>
      <c r="B353" s="237"/>
      <c r="C353" s="237"/>
      <c r="D353" s="237"/>
      <c r="E353" s="237"/>
      <c r="F353" s="237"/>
      <c r="G353" s="237"/>
      <c r="H353" s="237"/>
      <c r="I353" s="237"/>
      <c r="J353" s="237"/>
      <c r="K353" s="237"/>
      <c r="L353" s="237"/>
      <c r="M353" s="237"/>
      <c r="N353" s="237"/>
      <c r="O353" s="237"/>
      <c r="P353" s="237"/>
      <c r="Q353" s="237"/>
      <c r="R353" s="237"/>
      <c r="S353" s="237"/>
      <c r="T353" s="237"/>
      <c r="U353" s="237"/>
      <c r="V353" s="237"/>
      <c r="W353" s="237"/>
      <c r="X353" s="237"/>
      <c r="Y353" s="237"/>
      <c r="Z353" s="237"/>
    </row>
    <row r="354" ht="18.75" customHeight="1" spans="1:26">
      <c r="A354" s="237"/>
      <c r="B354" s="237"/>
      <c r="C354" s="237"/>
      <c r="D354" s="237"/>
      <c r="E354" s="237"/>
      <c r="F354" s="237"/>
      <c r="G354" s="237"/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  <c r="V354" s="237"/>
      <c r="W354" s="237"/>
      <c r="X354" s="237"/>
      <c r="Y354" s="237"/>
      <c r="Z354" s="237"/>
    </row>
    <row r="355" ht="18.75" customHeight="1" spans="1:26">
      <c r="A355" s="237"/>
      <c r="B355" s="237"/>
      <c r="C355" s="237"/>
      <c r="D355" s="237"/>
      <c r="E355" s="237"/>
      <c r="F355" s="237"/>
      <c r="G355" s="237"/>
      <c r="H355" s="237"/>
      <c r="I355" s="237"/>
      <c r="J355" s="237"/>
      <c r="K355" s="237"/>
      <c r="L355" s="237"/>
      <c r="M355" s="237"/>
      <c r="N355" s="237"/>
      <c r="O355" s="237"/>
      <c r="P355" s="237"/>
      <c r="Q355" s="237"/>
      <c r="R355" s="237"/>
      <c r="S355" s="237"/>
      <c r="T355" s="237"/>
      <c r="U355" s="237"/>
      <c r="V355" s="237"/>
      <c r="W355" s="237"/>
      <c r="X355" s="237"/>
      <c r="Y355" s="237"/>
      <c r="Z355" s="237"/>
    </row>
    <row r="356" ht="18.75" customHeight="1" spans="1:26">
      <c r="A356" s="237"/>
      <c r="B356" s="237"/>
      <c r="C356" s="237"/>
      <c r="D356" s="237"/>
      <c r="E356" s="237"/>
      <c r="F356" s="237"/>
      <c r="G356" s="237"/>
      <c r="H356" s="237"/>
      <c r="I356" s="237"/>
      <c r="J356" s="237"/>
      <c r="K356" s="237"/>
      <c r="L356" s="237"/>
      <c r="M356" s="237"/>
      <c r="N356" s="237"/>
      <c r="O356" s="237"/>
      <c r="P356" s="237"/>
      <c r="Q356" s="237"/>
      <c r="R356" s="237"/>
      <c r="S356" s="237"/>
      <c r="T356" s="237"/>
      <c r="U356" s="237"/>
      <c r="V356" s="237"/>
      <c r="W356" s="237"/>
      <c r="X356" s="237"/>
      <c r="Y356" s="237"/>
      <c r="Z356" s="237"/>
    </row>
    <row r="357" ht="18.75" customHeight="1" spans="1:26">
      <c r="A357" s="237"/>
      <c r="B357" s="237"/>
      <c r="C357" s="237"/>
      <c r="D357" s="237"/>
      <c r="E357" s="237"/>
      <c r="F357" s="237"/>
      <c r="G357" s="237"/>
      <c r="H357" s="237"/>
      <c r="I357" s="237"/>
      <c r="J357" s="237"/>
      <c r="K357" s="237"/>
      <c r="L357" s="237"/>
      <c r="M357" s="237"/>
      <c r="N357" s="237"/>
      <c r="O357" s="237"/>
      <c r="P357" s="237"/>
      <c r="Q357" s="237"/>
      <c r="R357" s="237"/>
      <c r="S357" s="237"/>
      <c r="T357" s="237"/>
      <c r="U357" s="237"/>
      <c r="V357" s="237"/>
      <c r="W357" s="237"/>
      <c r="X357" s="237"/>
      <c r="Y357" s="237"/>
      <c r="Z357" s="237"/>
    </row>
    <row r="358" ht="18.75" customHeight="1" spans="1:26">
      <c r="A358" s="237"/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  <c r="P358" s="237"/>
      <c r="Q358" s="237"/>
      <c r="R358" s="237"/>
      <c r="S358" s="237"/>
      <c r="T358" s="237"/>
      <c r="U358" s="237"/>
      <c r="V358" s="237"/>
      <c r="W358" s="237"/>
      <c r="X358" s="237"/>
      <c r="Y358" s="237"/>
      <c r="Z358" s="237"/>
    </row>
    <row r="359" ht="18.75" customHeight="1" spans="1:26">
      <c r="A359" s="237"/>
      <c r="B359" s="237"/>
      <c r="C359" s="237"/>
      <c r="D359" s="237"/>
      <c r="E359" s="237"/>
      <c r="F359" s="237"/>
      <c r="G359" s="237"/>
      <c r="H359" s="237"/>
      <c r="I359" s="237"/>
      <c r="J359" s="237"/>
      <c r="K359" s="237"/>
      <c r="L359" s="237"/>
      <c r="M359" s="237"/>
      <c r="N359" s="237"/>
      <c r="O359" s="237"/>
      <c r="P359" s="237"/>
      <c r="Q359" s="237"/>
      <c r="R359" s="237"/>
      <c r="S359" s="237"/>
      <c r="T359" s="237"/>
      <c r="U359" s="237"/>
      <c r="V359" s="237"/>
      <c r="W359" s="237"/>
      <c r="X359" s="237"/>
      <c r="Y359" s="237"/>
      <c r="Z359" s="237"/>
    </row>
    <row r="360" ht="18.75" customHeight="1" spans="1:26">
      <c r="A360" s="237"/>
      <c r="B360" s="237"/>
      <c r="C360" s="237"/>
      <c r="D360" s="237"/>
      <c r="E360" s="237"/>
      <c r="F360" s="237"/>
      <c r="G360" s="237"/>
      <c r="H360" s="237"/>
      <c r="I360" s="237"/>
      <c r="J360" s="237"/>
      <c r="K360" s="237"/>
      <c r="L360" s="237"/>
      <c r="M360" s="237"/>
      <c r="N360" s="237"/>
      <c r="O360" s="237"/>
      <c r="P360" s="237"/>
      <c r="Q360" s="237"/>
      <c r="R360" s="237"/>
      <c r="S360" s="237"/>
      <c r="T360" s="237"/>
      <c r="U360" s="237"/>
      <c r="V360" s="237"/>
      <c r="W360" s="237"/>
      <c r="X360" s="237"/>
      <c r="Y360" s="237"/>
      <c r="Z360" s="237"/>
    </row>
    <row r="361" ht="18.75" customHeight="1" spans="1:26">
      <c r="A361" s="237"/>
      <c r="B361" s="237"/>
      <c r="C361" s="237"/>
      <c r="D361" s="237"/>
      <c r="E361" s="237"/>
      <c r="F361" s="237"/>
      <c r="G361" s="237"/>
      <c r="H361" s="237"/>
      <c r="I361" s="237"/>
      <c r="J361" s="237"/>
      <c r="K361" s="237"/>
      <c r="L361" s="237"/>
      <c r="M361" s="237"/>
      <c r="N361" s="237"/>
      <c r="O361" s="237"/>
      <c r="P361" s="237"/>
      <c r="Q361" s="237"/>
      <c r="R361" s="237"/>
      <c r="S361" s="237"/>
      <c r="T361" s="237"/>
      <c r="U361" s="237"/>
      <c r="V361" s="237"/>
      <c r="W361" s="237"/>
      <c r="X361" s="237"/>
      <c r="Y361" s="237"/>
      <c r="Z361" s="23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4">
    <dataValidation type="list" allowBlank="1" showErrorMessage="1" sqref="D41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68" workbookViewId="0">
      <selection activeCell="A38" sqref="A38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/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433">
        <v>0</v>
      </c>
      <c r="C4" s="433"/>
      <c r="D4" s="434">
        <v>0</v>
      </c>
      <c r="E4" s="434"/>
      <c r="F4" s="434">
        <v>0</v>
      </c>
      <c r="G4" s="434"/>
      <c r="H4" s="435"/>
      <c r="I4" s="240"/>
      <c r="J4" s="240"/>
    </row>
    <row r="5" spans="1:10">
      <c r="A5" s="245" t="s">
        <v>153</v>
      </c>
      <c r="B5" s="246">
        <v>0</v>
      </c>
      <c r="C5" s="246"/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/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/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368"/>
      <c r="C8" s="368"/>
      <c r="D8" s="368"/>
      <c r="E8" s="368"/>
      <c r="F8" s="368"/>
      <c r="G8" s="368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/>
      <c r="F9" s="251"/>
      <c r="G9" s="436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/>
      <c r="F10" s="254"/>
      <c r="G10" s="392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92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92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/>
      <c r="F13" s="254"/>
      <c r="G13" s="392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/>
      <c r="F14" s="254"/>
      <c r="G14" s="392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92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/>
      <c r="F16" s="254"/>
      <c r="G16" s="392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27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29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29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29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33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1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>
        <f>A46</f>
        <v>0</v>
      </c>
    </row>
    <row r="33" ht="19.5" spans="1:11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</row>
    <row r="34" ht="19.5" spans="1:11">
      <c r="A34" s="268" t="s">
        <v>248</v>
      </c>
      <c r="B34" s="368"/>
      <c r="C34" s="437" t="s">
        <v>43</v>
      </c>
      <c r="D34" s="437"/>
      <c r="E34" s="368"/>
      <c r="F34" s="437">
        <f>(A34/12)*C34</f>
        <v>13750</v>
      </c>
      <c r="G34" s="437"/>
      <c r="H34" s="271"/>
      <c r="I34" s="240"/>
      <c r="J34" s="240"/>
      <c r="K34" s="240"/>
    </row>
    <row r="35" spans="1:11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443">
        <v>0.065</v>
      </c>
    </row>
    <row r="36" ht="19.5" spans="1:11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32</v>
      </c>
    </row>
    <row r="37" ht="19.5" spans="1:11">
      <c r="A37" s="267">
        <f>H15</f>
        <v>21268</v>
      </c>
      <c r="B37" s="368"/>
      <c r="C37" s="437" t="s">
        <v>45</v>
      </c>
      <c r="D37" s="437"/>
      <c r="E37" s="368"/>
      <c r="F37" s="388">
        <f>A37-C37</f>
        <v>20268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32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H11</f>
        <v>3488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>
        <f>IF(F43="Yes",A46,0)</f>
        <v>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33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75.3939393939394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424.606060606061</v>
      </c>
      <c r="L45" s="240"/>
    </row>
    <row r="46" ht="19.5" spans="1:12">
      <c r="A46" s="268">
        <v>0</v>
      </c>
      <c r="B46" s="368"/>
      <c r="C46" s="437">
        <v>1</v>
      </c>
      <c r="D46" s="437"/>
      <c r="E46" s="368"/>
      <c r="F46" s="437">
        <v>0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0.363636363636364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0.606060606060606</v>
      </c>
      <c r="L48" s="240"/>
    </row>
    <row r="49" spans="1:12">
      <c r="A49" s="267">
        <f>C46+F46</f>
        <v>1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425.575757575758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425.575757575758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381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33</v>
      </c>
      <c r="B60" s="71">
        <f>K49</f>
        <v>425.575757575758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/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/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/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/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32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32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32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32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20928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20928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20928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20928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17490.7715151242</v>
      </c>
      <c r="C74" s="368"/>
      <c r="D74" s="368"/>
      <c r="E74" s="262"/>
      <c r="F74" s="262"/>
      <c r="G74" s="262"/>
      <c r="H74" s="180"/>
      <c r="J74" s="275" t="s">
        <v>91</v>
      </c>
      <c r="K74" s="281">
        <f>(K98*K68)-(K47*K29)</f>
        <v>48703.2190424278</v>
      </c>
      <c r="L74" s="368"/>
      <c r="M74" s="368"/>
      <c r="N74" s="262"/>
      <c r="O74" s="262"/>
      <c r="P74" s="262"/>
      <c r="Q74" s="180"/>
      <c r="S74" s="275" t="s">
        <v>91</v>
      </c>
      <c r="T74" s="281">
        <f>(T98*T68)-(K47*K29)</f>
        <v>20293.5917615192</v>
      </c>
      <c r="U74" s="368"/>
      <c r="V74" s="368"/>
      <c r="W74" s="262"/>
      <c r="X74" s="262"/>
      <c r="Y74" s="262"/>
      <c r="Z74" s="180"/>
      <c r="AB74" s="275" t="s">
        <v>91</v>
      </c>
      <c r="AC74" s="281">
        <f>(AC98*AC68)-(K47*K29)</f>
        <v>20293.5917615192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0.009375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0.071875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0.009375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0.009375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199.3875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1504.2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196.2</v>
      </c>
      <c r="U77" s="368"/>
      <c r="V77" s="368"/>
      <c r="W77" s="262"/>
      <c r="X77" s="262"/>
      <c r="Y77" s="262"/>
      <c r="Z77" s="180"/>
      <c r="AB77" s="275" t="s">
        <v>94</v>
      </c>
      <c r="AC77" s="281">
        <f>AH167*AC76</f>
        <v>161.5734375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425.575757575758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0.363636363636364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425.575757575758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425.575757575758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20268</v>
      </c>
      <c r="C90" s="368"/>
      <c r="D90" s="368"/>
      <c r="E90" s="262"/>
      <c r="F90" s="264" t="s">
        <v>106</v>
      </c>
      <c r="G90" s="266">
        <f>F37</f>
        <v>20268</v>
      </c>
      <c r="H90" s="180"/>
      <c r="J90" s="264" t="s">
        <v>106</v>
      </c>
      <c r="K90" s="266">
        <f>P167</f>
        <v>36519.004</v>
      </c>
      <c r="L90" s="368"/>
      <c r="M90" s="368"/>
      <c r="N90" s="262"/>
      <c r="O90" s="262"/>
      <c r="P90" s="262"/>
      <c r="Q90" s="180"/>
      <c r="S90" s="264" t="s">
        <v>106</v>
      </c>
      <c r="T90" s="266">
        <f>Y167</f>
        <v>17234.5</v>
      </c>
      <c r="U90" s="368"/>
      <c r="V90" s="368"/>
      <c r="W90" s="262"/>
      <c r="X90" s="262"/>
      <c r="Y90" s="262"/>
      <c r="Z90" s="180"/>
      <c r="AB90" s="264" t="s">
        <v>106</v>
      </c>
      <c r="AC90" s="266">
        <f>AH167</f>
        <v>17234.5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IF(A111="YES",A43,0)*1.2</f>
        <v>7200</v>
      </c>
      <c r="C91" s="368"/>
      <c r="D91" s="368"/>
      <c r="E91" s="262"/>
      <c r="F91" s="245" t="s">
        <v>107</v>
      </c>
      <c r="G91" s="180">
        <f>IF(A111="YES",A43,0)*1.2</f>
        <v>7200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0.115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0.00958333333333333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32</v>
      </c>
      <c r="C94" s="368"/>
      <c r="D94" s="368"/>
      <c r="E94" s="262"/>
      <c r="F94" s="245" t="s">
        <v>110</v>
      </c>
      <c r="G94" s="180">
        <f>IF(G91=0,(B68+B67),(B68))</f>
        <v>32</v>
      </c>
      <c r="H94" s="180"/>
      <c r="J94" s="245" t="s">
        <v>110</v>
      </c>
      <c r="K94" s="180">
        <f>IF(K91=0,(K68+K67),(K68))</f>
        <v>33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32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32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5255.82391109543</v>
      </c>
      <c r="C95" s="368"/>
      <c r="D95" s="368"/>
      <c r="E95" s="262"/>
      <c r="F95" s="245" t="s">
        <v>111</v>
      </c>
      <c r="G95" s="180">
        <f>(G91/((1+G93)^(G94+1)))</f>
        <v>6024.37295128565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8.55929138316766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8.55929138316766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27.4464895133802</v>
      </c>
      <c r="C96" s="368"/>
      <c r="D96" s="368"/>
      <c r="E96" s="262"/>
      <c r="F96" s="245" t="s">
        <v>112</v>
      </c>
      <c r="G96" s="180">
        <f>((1-(1/((1+G93)^G94)))/G93)</f>
        <v>29.3075648349115</v>
      </c>
      <c r="H96" s="180"/>
      <c r="J96" s="245" t="s">
        <v>112</v>
      </c>
      <c r="K96" s="180">
        <f>((1-(1/((1+K93)^K94)))/K93)</f>
        <v>23.9885635530494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27.1467145183312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27.1467145183312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15012.1760889046</v>
      </c>
      <c r="C97" s="368"/>
      <c r="D97" s="368"/>
      <c r="E97" s="262"/>
      <c r="F97" s="245" t="s">
        <v>113</v>
      </c>
      <c r="G97" s="180">
        <f>G90-G95</f>
        <v>14243.6270487143</v>
      </c>
      <c r="H97" s="180"/>
      <c r="J97" s="245" t="s">
        <v>113</v>
      </c>
      <c r="K97" s="180">
        <f>K90-K95</f>
        <v>36519.004</v>
      </c>
      <c r="L97" s="368"/>
      <c r="M97" s="368"/>
      <c r="N97" s="262"/>
      <c r="O97" s="262"/>
      <c r="P97" s="262"/>
      <c r="Q97" s="180"/>
      <c r="S97" s="245" t="s">
        <v>113</v>
      </c>
      <c r="T97" s="180">
        <f>T90-T95</f>
        <v>17225.9407086168</v>
      </c>
      <c r="U97" s="368"/>
      <c r="V97" s="368"/>
      <c r="W97" s="262"/>
      <c r="X97" s="262"/>
      <c r="Y97" s="262"/>
      <c r="Z97" s="180"/>
      <c r="AB97" s="245" t="s">
        <v>113</v>
      </c>
      <c r="AC97" s="180">
        <f>AC90-AC95</f>
        <v>17225.9407086168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546.961609847631</v>
      </c>
      <c r="C98" s="368"/>
      <c r="D98" s="368"/>
      <c r="E98" s="262"/>
      <c r="F98" s="245" t="s">
        <v>114</v>
      </c>
      <c r="G98" s="180">
        <f>(G97/G96)</f>
        <v>486.005136521857</v>
      </c>
      <c r="H98" s="180"/>
      <c r="J98" s="245" t="s">
        <v>114</v>
      </c>
      <c r="K98" s="180">
        <f>(K97/K96)</f>
        <v>1522.35059507587</v>
      </c>
      <c r="L98" s="368"/>
      <c r="M98" s="368"/>
      <c r="N98" s="262"/>
      <c r="O98" s="262"/>
      <c r="P98" s="262"/>
      <c r="Q98" s="180"/>
      <c r="S98" s="245" t="s">
        <v>114</v>
      </c>
      <c r="T98" s="180">
        <f>(T97/T96)</f>
        <v>634.549742547474</v>
      </c>
      <c r="U98" s="368"/>
      <c r="V98" s="368"/>
      <c r="W98" s="262"/>
      <c r="X98" s="262"/>
      <c r="Y98" s="262"/>
      <c r="Z98" s="180"/>
      <c r="AB98" s="245" t="s">
        <v>114</v>
      </c>
      <c r="AC98" s="180">
        <f>(AC97/AC96)</f>
        <v>634.549742547474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17502.7715151242</v>
      </c>
      <c r="C99" s="368"/>
      <c r="D99" s="368"/>
      <c r="E99" s="262"/>
      <c r="F99" s="245" t="s">
        <v>115</v>
      </c>
      <c r="G99" s="180">
        <f>((G98*(G94))+G86)</f>
        <v>15552.1643686994</v>
      </c>
      <c r="H99" s="180"/>
      <c r="J99" s="245" t="s">
        <v>115</v>
      </c>
      <c r="K99" s="180">
        <f>((K98*(K94))+K86)</f>
        <v>50237.5696375037</v>
      </c>
      <c r="L99" s="368"/>
      <c r="M99" s="368"/>
      <c r="N99" s="262"/>
      <c r="O99" s="262"/>
      <c r="P99" s="262"/>
      <c r="Q99" s="180"/>
      <c r="S99" s="245" t="s">
        <v>115</v>
      </c>
      <c r="T99" s="180">
        <f>(T98*(T94))+T86</f>
        <v>20305.5917615192</v>
      </c>
      <c r="U99" s="368"/>
      <c r="V99" s="368"/>
      <c r="W99" s="262"/>
      <c r="X99" s="262"/>
      <c r="Y99" s="262"/>
      <c r="Z99" s="180"/>
      <c r="AB99" s="245" t="s">
        <v>115</v>
      </c>
      <c r="AC99" s="180">
        <f>(AC98*(AC68))+AC86</f>
        <v>20305.5917615192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>
        <f>(K99/(1-K80))*K80</f>
        <v>0</v>
      </c>
      <c r="L100" s="368"/>
      <c r="M100" s="368"/>
      <c r="N100" s="262"/>
      <c r="O100" s="262"/>
      <c r="P100" s="262"/>
      <c r="Q100" s="180"/>
      <c r="S100" s="245" t="s">
        <v>116</v>
      </c>
      <c r="T100" s="180">
        <f>(T99/(1-T80))*T80</f>
        <v>0</v>
      </c>
      <c r="U100" s="368"/>
      <c r="V100" s="368"/>
      <c r="W100" s="262"/>
      <c r="X100" s="262"/>
      <c r="Y100" s="262"/>
      <c r="Z100" s="180"/>
      <c r="AB100" s="245" t="s">
        <v>116</v>
      </c>
      <c r="AC100" s="180">
        <f>(AC99/(1-AC80))*AC80</f>
        <v>0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17502.7715151242</v>
      </c>
      <c r="C101" s="368"/>
      <c r="D101" s="368"/>
      <c r="E101" s="262"/>
      <c r="F101" s="275" t="s">
        <v>117</v>
      </c>
      <c r="G101" s="281">
        <f>(G99+G100)</f>
        <v>15552.1643686994</v>
      </c>
      <c r="H101" s="180"/>
      <c r="J101" s="275" t="s">
        <v>117</v>
      </c>
      <c r="K101" s="281">
        <f>(K99+K100)</f>
        <v>50237.5696375037</v>
      </c>
      <c r="L101" s="368"/>
      <c r="M101" s="368"/>
      <c r="N101" s="262"/>
      <c r="O101" s="262"/>
      <c r="P101" s="262"/>
      <c r="Q101" s="180"/>
      <c r="S101" s="275" t="s">
        <v>117</v>
      </c>
      <c r="T101" s="281">
        <f>(T99+T100)</f>
        <v>20305.5917615192</v>
      </c>
      <c r="U101" s="368"/>
      <c r="V101" s="368"/>
      <c r="W101" s="262"/>
      <c r="X101" s="262"/>
      <c r="Y101" s="262"/>
      <c r="Z101" s="180"/>
      <c r="AB101" s="275" t="s">
        <v>117</v>
      </c>
      <c r="AC101" s="281">
        <f>(AC99+AC100)</f>
        <v>20305.5917615192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</f>
        <v>0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546.961609847631</v>
      </c>
      <c r="C104" s="368"/>
      <c r="D104" s="368"/>
      <c r="E104" s="262"/>
      <c r="F104" s="319" t="s">
        <v>119</v>
      </c>
      <c r="G104" s="320">
        <f>G101/(G94)</f>
        <v>486.005136521857</v>
      </c>
      <c r="H104" s="180"/>
      <c r="J104" s="319" t="s">
        <v>119</v>
      </c>
      <c r="K104" s="320">
        <f>K101/(K94)</f>
        <v>1522.35059507587</v>
      </c>
      <c r="L104" s="368"/>
      <c r="M104" s="368"/>
      <c r="N104" s="262"/>
      <c r="O104" s="262"/>
      <c r="P104" s="262"/>
      <c r="Q104" s="180"/>
      <c r="S104" s="319" t="s">
        <v>119</v>
      </c>
      <c r="T104" s="320">
        <f>T101/(T94)</f>
        <v>634.549742547474</v>
      </c>
      <c r="U104" s="368"/>
      <c r="V104" s="368"/>
      <c r="W104" s="262"/>
      <c r="X104" s="262"/>
      <c r="Y104" s="262"/>
      <c r="Z104" s="180"/>
      <c r="AB104" s="319" t="s">
        <v>119</v>
      </c>
      <c r="AC104" s="320">
        <f>AC101/(AC68)</f>
        <v>634.549742547474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546.961609847631</v>
      </c>
      <c r="C105" s="368"/>
      <c r="D105" s="368"/>
      <c r="E105" s="262" t="s">
        <v>18</v>
      </c>
      <c r="F105" s="321" t="s">
        <v>120</v>
      </c>
      <c r="G105" s="322">
        <f>G103+G104</f>
        <v>486.005136521857</v>
      </c>
      <c r="H105" s="180"/>
      <c r="J105" s="321" t="s">
        <v>120</v>
      </c>
      <c r="K105" s="322">
        <f>(K103+K104)</f>
        <v>1522.35059507587</v>
      </c>
      <c r="L105" s="368"/>
      <c r="M105" s="368"/>
      <c r="N105" s="262"/>
      <c r="O105" s="262"/>
      <c r="P105" s="262"/>
      <c r="Q105" s="180"/>
      <c r="S105" s="321" t="s">
        <v>120</v>
      </c>
      <c r="T105" s="322">
        <f>T103+T104</f>
        <v>634.549742547474</v>
      </c>
      <c r="U105" s="368"/>
      <c r="V105" s="368"/>
      <c r="W105" s="262"/>
      <c r="X105" s="262"/>
      <c r="Y105" s="262"/>
      <c r="Z105" s="180"/>
      <c r="AB105" s="321" t="s">
        <v>120</v>
      </c>
      <c r="AC105" s="322">
        <f>AC103+AC104</f>
        <v>634.549742547474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 t="s">
        <v>121</v>
      </c>
      <c r="C108" s="262"/>
      <c r="D108" s="262"/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/>
      <c r="C114" s="133"/>
      <c r="D114" s="133"/>
      <c r="E114" s="48" t="s">
        <v>19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0.2</v>
      </c>
      <c r="B117" s="102" t="s">
        <v>134</v>
      </c>
      <c r="C117" s="102"/>
      <c r="D117" s="102"/>
      <c r="E117" s="327">
        <f>B92</f>
        <v>0.115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/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235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62"/>
      <c r="C127" s="262"/>
      <c r="D127" s="262"/>
      <c r="E127" s="262"/>
      <c r="F127" s="262"/>
      <c r="G127" s="262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264">
        <f>B3</f>
        <v>16745</v>
      </c>
      <c r="C130" s="268">
        <f>B130</f>
        <v>16745</v>
      </c>
      <c r="D130" s="264">
        <f>D3</f>
        <v>0</v>
      </c>
      <c r="E130" s="268">
        <f>D130</f>
        <v>0</v>
      </c>
      <c r="F130" s="264">
        <f>F3</f>
        <v>0</v>
      </c>
      <c r="G130" s="268">
        <f>F130</f>
        <v>0</v>
      </c>
      <c r="H130" s="337">
        <f>H3</f>
        <v>0</v>
      </c>
      <c r="J130" s="264" t="s">
        <v>151</v>
      </c>
      <c r="K130" s="264">
        <f>B3</f>
        <v>16745</v>
      </c>
      <c r="L130" s="268">
        <v>28629.17</v>
      </c>
      <c r="M130" s="264">
        <f>D3</f>
        <v>0</v>
      </c>
      <c r="N130" s="268">
        <f>M130</f>
        <v>0</v>
      </c>
      <c r="O130" s="264">
        <f>F3</f>
        <v>0</v>
      </c>
      <c r="P130" s="268">
        <f>O130</f>
        <v>0</v>
      </c>
      <c r="Q130" s="337">
        <f>H3</f>
        <v>0</v>
      </c>
      <c r="S130" s="264" t="s">
        <v>151</v>
      </c>
      <c r="T130" s="264">
        <f>B3</f>
        <v>16745</v>
      </c>
      <c r="U130" s="268">
        <f>T130</f>
        <v>16745</v>
      </c>
      <c r="V130" s="264">
        <f>D3</f>
        <v>0</v>
      </c>
      <c r="W130" s="268">
        <f>V130</f>
        <v>0</v>
      </c>
      <c r="X130" s="264">
        <f>F3</f>
        <v>0</v>
      </c>
      <c r="Y130" s="268">
        <f>X130</f>
        <v>0</v>
      </c>
      <c r="Z130" s="337">
        <f>H3</f>
        <v>0</v>
      </c>
      <c r="AB130" s="264" t="s">
        <v>151</v>
      </c>
      <c r="AC130" s="264">
        <f>B3</f>
        <v>16745</v>
      </c>
      <c r="AD130" s="268">
        <f>AC130</f>
        <v>16745</v>
      </c>
      <c r="AE130" s="264">
        <f>D3</f>
        <v>0</v>
      </c>
      <c r="AF130" s="268">
        <f>AE130</f>
        <v>0</v>
      </c>
      <c r="AG130" s="264">
        <f>F3</f>
        <v>0</v>
      </c>
      <c r="AH130" s="268">
        <f>AG130</f>
        <v>0</v>
      </c>
      <c r="AI130" s="337">
        <f>H3</f>
        <v>0</v>
      </c>
    </row>
    <row r="131" ht="19.5" spans="1:35">
      <c r="A131" s="245" t="s">
        <v>152</v>
      </c>
      <c r="B131" s="449">
        <f>B4</f>
        <v>0</v>
      </c>
      <c r="C131" s="450">
        <f>B131</f>
        <v>0</v>
      </c>
      <c r="D131" s="449">
        <f>D4</f>
        <v>0</v>
      </c>
      <c r="E131" s="451">
        <f>D131</f>
        <v>0</v>
      </c>
      <c r="F131" s="449">
        <f>F4</f>
        <v>0</v>
      </c>
      <c r="G131" s="451">
        <f>F131</f>
        <v>0</v>
      </c>
      <c r="H131" s="435"/>
      <c r="J131" s="245" t="s">
        <v>152</v>
      </c>
      <c r="K131" s="449">
        <f>B4</f>
        <v>0</v>
      </c>
      <c r="L131" s="451">
        <v>0</v>
      </c>
      <c r="M131" s="449">
        <f>D4</f>
        <v>0</v>
      </c>
      <c r="N131" s="451">
        <f>M131</f>
        <v>0</v>
      </c>
      <c r="O131" s="449">
        <f>F4</f>
        <v>0</v>
      </c>
      <c r="P131" s="451">
        <f>O131</f>
        <v>0</v>
      </c>
      <c r="Q131" s="435"/>
      <c r="S131" s="245" t="s">
        <v>152</v>
      </c>
      <c r="T131" s="449">
        <f>B4</f>
        <v>0</v>
      </c>
      <c r="U131" s="451">
        <v>0.25</v>
      </c>
      <c r="V131" s="449">
        <f>D4</f>
        <v>0</v>
      </c>
      <c r="W131" s="451">
        <f>V131</f>
        <v>0</v>
      </c>
      <c r="X131" s="449">
        <f>F4</f>
        <v>0</v>
      </c>
      <c r="Y131" s="451">
        <f>X131</f>
        <v>0</v>
      </c>
      <c r="Z131" s="435"/>
      <c r="AB131" s="245" t="s">
        <v>152</v>
      </c>
      <c r="AC131" s="449">
        <f>B4</f>
        <v>0</v>
      </c>
      <c r="AD131" s="451">
        <v>0.25</v>
      </c>
      <c r="AE131" s="449">
        <f>D4</f>
        <v>0</v>
      </c>
      <c r="AF131" s="451">
        <f>AE131</f>
        <v>0</v>
      </c>
      <c r="AG131" s="449">
        <f>F4</f>
        <v>0</v>
      </c>
      <c r="AH131" s="451">
        <f>AG131</f>
        <v>0</v>
      </c>
      <c r="AI131" s="435"/>
    </row>
    <row r="132" ht="19.5" spans="1:35">
      <c r="A132" s="245" t="s">
        <v>153</v>
      </c>
      <c r="B132" s="245">
        <f>B5</f>
        <v>0</v>
      </c>
      <c r="C132" s="268">
        <f>B132</f>
        <v>0</v>
      </c>
      <c r="D132" s="245">
        <f>D5</f>
        <v>0</v>
      </c>
      <c r="E132" s="268">
        <f>D132</f>
        <v>0</v>
      </c>
      <c r="F132" s="245">
        <f>F5</f>
        <v>0</v>
      </c>
      <c r="G132" s="268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>
        <f>F5</f>
        <v>0</v>
      </c>
      <c r="P132" s="268">
        <f>O132</f>
        <v>0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>
        <f>F5</f>
        <v>0</v>
      </c>
      <c r="Y132" s="268">
        <f>X132</f>
        <v>0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>
        <f>F5</f>
        <v>0</v>
      </c>
      <c r="AH132" s="268">
        <f>AG132</f>
        <v>0</v>
      </c>
      <c r="AI132" s="180"/>
    </row>
    <row r="133" spans="1:35">
      <c r="A133" s="245" t="s">
        <v>154</v>
      </c>
      <c r="B133" s="245">
        <f>(B130*B131)+B132</f>
        <v>0</v>
      </c>
      <c r="C133" s="266">
        <f>(C130*C131/100)+C132</f>
        <v>0</v>
      </c>
      <c r="D133" s="245">
        <f>(D130*D131)+D132</f>
        <v>0</v>
      </c>
      <c r="E133" s="266">
        <f>(E130*E131/100)+E132</f>
        <v>0</v>
      </c>
      <c r="F133" s="245">
        <f>(F130*F131)+F132</f>
        <v>0</v>
      </c>
      <c r="G133" s="266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>
        <f t="shared" si="0"/>
        <v>0</v>
      </c>
      <c r="P133" s="266">
        <f t="shared" si="0"/>
        <v>0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4186.25</v>
      </c>
      <c r="V133" s="245">
        <f t="shared" si="1"/>
        <v>0</v>
      </c>
      <c r="W133" s="266">
        <f t="shared" si="1"/>
        <v>0</v>
      </c>
      <c r="X133" s="245">
        <f t="shared" si="1"/>
        <v>0</v>
      </c>
      <c r="Y133" s="266">
        <f t="shared" si="1"/>
        <v>0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4186.25</v>
      </c>
      <c r="AE133" s="245">
        <f t="shared" si="2"/>
        <v>0</v>
      </c>
      <c r="AF133" s="266">
        <f t="shared" si="2"/>
        <v>0</v>
      </c>
      <c r="AG133" s="245">
        <f t="shared" si="2"/>
        <v>0</v>
      </c>
      <c r="AH133" s="266">
        <f t="shared" si="2"/>
        <v>0</v>
      </c>
      <c r="AI133" s="180"/>
    </row>
    <row r="134" ht="19.5" spans="1:35">
      <c r="A134" s="275" t="s">
        <v>155</v>
      </c>
      <c r="B134" s="275">
        <f t="shared" ref="B134:G134" si="3">B130-B133</f>
        <v>16745</v>
      </c>
      <c r="C134" s="281">
        <f t="shared" si="3"/>
        <v>16745</v>
      </c>
      <c r="D134" s="275">
        <f t="shared" si="3"/>
        <v>0</v>
      </c>
      <c r="E134" s="281">
        <f t="shared" si="3"/>
        <v>0</v>
      </c>
      <c r="F134" s="275">
        <f t="shared" si="3"/>
        <v>0</v>
      </c>
      <c r="G134" s="281">
        <f t="shared" si="3"/>
        <v>0</v>
      </c>
      <c r="H134" s="281"/>
      <c r="J134" s="275" t="s">
        <v>155</v>
      </c>
      <c r="K134" s="275">
        <f t="shared" ref="K134:P134" si="4">K130-K133</f>
        <v>16745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>
        <f t="shared" si="4"/>
        <v>0</v>
      </c>
      <c r="P134" s="281">
        <f t="shared" si="4"/>
        <v>0</v>
      </c>
      <c r="Q134" s="281"/>
      <c r="S134" s="275" t="s">
        <v>155</v>
      </c>
      <c r="T134" s="275">
        <f t="shared" ref="T134:Y134" si="5">T130-T133</f>
        <v>16745</v>
      </c>
      <c r="U134" s="281">
        <f t="shared" si="5"/>
        <v>12558.75</v>
      </c>
      <c r="V134" s="275">
        <f t="shared" si="5"/>
        <v>0</v>
      </c>
      <c r="W134" s="281">
        <f t="shared" si="5"/>
        <v>0</v>
      </c>
      <c r="X134" s="275">
        <f t="shared" si="5"/>
        <v>0</v>
      </c>
      <c r="Y134" s="281">
        <f t="shared" si="5"/>
        <v>0</v>
      </c>
      <c r="Z134" s="281"/>
      <c r="AB134" s="275" t="s">
        <v>155</v>
      </c>
      <c r="AC134" s="275">
        <f t="shared" ref="AC134:AH134" si="6">AC130-AC133</f>
        <v>16745</v>
      </c>
      <c r="AD134" s="281">
        <f t="shared" si="6"/>
        <v>12558.75</v>
      </c>
      <c r="AE134" s="275">
        <f t="shared" si="6"/>
        <v>0</v>
      </c>
      <c r="AF134" s="281">
        <f t="shared" si="6"/>
        <v>0</v>
      </c>
      <c r="AG134" s="275">
        <f t="shared" si="6"/>
        <v>0</v>
      </c>
      <c r="AH134" s="281">
        <f t="shared" si="6"/>
        <v>0</v>
      </c>
      <c r="AI134" s="281"/>
    </row>
    <row r="135" spans="1:35">
      <c r="A135" s="245"/>
      <c r="B135" s="368"/>
      <c r="C135" s="368"/>
      <c r="D135" s="368"/>
      <c r="E135" s="368"/>
      <c r="F135" s="368"/>
      <c r="G135" s="368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452"/>
      <c r="C136" s="452"/>
      <c r="D136" s="452"/>
      <c r="E136" s="452"/>
      <c r="F136" s="452"/>
      <c r="G136" s="436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368"/>
      <c r="C138" s="368"/>
      <c r="D138" s="368"/>
      <c r="E138" s="368"/>
      <c r="F138" s="368"/>
      <c r="G138" s="389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368"/>
      <c r="C143" s="368"/>
      <c r="D143" s="368"/>
      <c r="E143" s="368"/>
      <c r="F143" s="368"/>
      <c r="G143" s="389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436">
        <f t="shared" ref="G144:G151" si="7">H9</f>
        <v>16745</v>
      </c>
      <c r="H144" s="354">
        <f>C134+E134+G134+H137</f>
        <v>16745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8">H9</f>
        <v>16745</v>
      </c>
      <c r="Q144" s="354">
        <f>L134+N134+P134+Q137</f>
        <v>28629.17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9">H9</f>
        <v>16745</v>
      </c>
      <c r="Z144" s="354">
        <f>U134+W134+Y134+Z137</f>
        <v>12558.75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10">H9</f>
        <v>16745</v>
      </c>
      <c r="AI144" s="354">
        <f>AD134+AF134+AH134+AI137</f>
        <v>12558.75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92">
        <f t="shared" si="7"/>
        <v>695</v>
      </c>
      <c r="H145" s="180">
        <f>G145</f>
        <v>695</v>
      </c>
      <c r="J145" s="254" t="s">
        <v>164</v>
      </c>
      <c r="K145" s="254"/>
      <c r="L145" s="254"/>
      <c r="M145" s="254"/>
      <c r="N145" s="254"/>
      <c r="O145" s="254"/>
      <c r="P145" s="392">
        <f t="shared" si="8"/>
        <v>695</v>
      </c>
      <c r="Q145" s="180">
        <f>P145</f>
        <v>695</v>
      </c>
      <c r="S145" s="254" t="s">
        <v>164</v>
      </c>
      <c r="T145" s="254"/>
      <c r="U145" s="254"/>
      <c r="V145" s="254"/>
      <c r="W145" s="254"/>
      <c r="X145" s="254"/>
      <c r="Y145" s="392">
        <f t="shared" si="9"/>
        <v>695</v>
      </c>
      <c r="Z145" s="180">
        <f>Y145</f>
        <v>695</v>
      </c>
      <c r="AB145" s="254" t="s">
        <v>164</v>
      </c>
      <c r="AC145" s="254"/>
      <c r="AD145" s="254"/>
      <c r="AE145" s="254"/>
      <c r="AF145" s="254"/>
      <c r="AG145" s="254"/>
      <c r="AH145" s="392">
        <f t="shared" si="10"/>
        <v>695</v>
      </c>
      <c r="AI145" s="180">
        <f>AH145</f>
        <v>695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392">
        <f t="shared" si="7"/>
        <v>3488</v>
      </c>
      <c r="H146" s="180">
        <f>(H144+H145)*20%</f>
        <v>3488</v>
      </c>
      <c r="J146" s="254" t="s">
        <v>165</v>
      </c>
      <c r="K146" s="254"/>
      <c r="L146" s="254"/>
      <c r="M146" s="254"/>
      <c r="N146" s="254"/>
      <c r="O146" s="254"/>
      <c r="P146" s="392">
        <f t="shared" si="8"/>
        <v>3488</v>
      </c>
      <c r="Q146" s="180">
        <f>(Q144+Q145)*20%</f>
        <v>5864.834</v>
      </c>
      <c r="S146" s="254" t="s">
        <v>165</v>
      </c>
      <c r="T146" s="254"/>
      <c r="U146" s="254"/>
      <c r="V146" s="254"/>
      <c r="W146" s="254"/>
      <c r="X146" s="254"/>
      <c r="Y146" s="392">
        <f t="shared" si="9"/>
        <v>3488</v>
      </c>
      <c r="Z146" s="180">
        <f>(Z144+Z145)*20%</f>
        <v>2650.75</v>
      </c>
      <c r="AB146" s="254" t="s">
        <v>165</v>
      </c>
      <c r="AC146" s="254"/>
      <c r="AD146" s="254"/>
      <c r="AE146" s="254"/>
      <c r="AF146" s="254"/>
      <c r="AG146" s="254"/>
      <c r="AH146" s="392">
        <f t="shared" si="10"/>
        <v>3488</v>
      </c>
      <c r="AI146" s="180">
        <f>(AI144+AI145)*20%</f>
        <v>2650.75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92">
        <f t="shared" si="7"/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8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9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10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92">
        <f t="shared" si="7"/>
        <v>275</v>
      </c>
      <c r="H148" s="180">
        <f>G148</f>
        <v>275</v>
      </c>
      <c r="J148" s="254" t="s">
        <v>167</v>
      </c>
      <c r="K148" s="254"/>
      <c r="L148" s="254"/>
      <c r="M148" s="254"/>
      <c r="N148" s="254"/>
      <c r="O148" s="254"/>
      <c r="P148" s="392">
        <f t="shared" si="8"/>
        <v>275</v>
      </c>
      <c r="Q148" s="180">
        <f>P148</f>
        <v>275</v>
      </c>
      <c r="S148" s="254" t="s">
        <v>167</v>
      </c>
      <c r="T148" s="254"/>
      <c r="U148" s="254"/>
      <c r="V148" s="254"/>
      <c r="W148" s="254"/>
      <c r="X148" s="254"/>
      <c r="Y148" s="392">
        <f t="shared" si="9"/>
        <v>275</v>
      </c>
      <c r="Z148" s="180">
        <f>Y148</f>
        <v>275</v>
      </c>
      <c r="AB148" s="254" t="s">
        <v>167</v>
      </c>
      <c r="AC148" s="254"/>
      <c r="AD148" s="254"/>
      <c r="AE148" s="254"/>
      <c r="AF148" s="254"/>
      <c r="AG148" s="254"/>
      <c r="AH148" s="392">
        <f t="shared" si="10"/>
        <v>275</v>
      </c>
      <c r="AI148" s="180">
        <f>AH148</f>
        <v>275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92">
        <f t="shared" si="7"/>
        <v>65</v>
      </c>
      <c r="H149" s="180">
        <f>G149</f>
        <v>65</v>
      </c>
      <c r="J149" s="254" t="s">
        <v>168</v>
      </c>
      <c r="K149" s="254"/>
      <c r="L149" s="254"/>
      <c r="M149" s="254"/>
      <c r="N149" s="254"/>
      <c r="O149" s="254"/>
      <c r="P149" s="392">
        <f t="shared" si="8"/>
        <v>65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9"/>
        <v>65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10"/>
        <v>65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453">
        <f t="shared" si="7"/>
        <v>21268</v>
      </c>
      <c r="H150" s="356">
        <f>(H144+H145+H148+H149+H146)-H147</f>
        <v>21268</v>
      </c>
      <c r="J150" s="254" t="s">
        <v>169</v>
      </c>
      <c r="K150" s="254"/>
      <c r="L150" s="254"/>
      <c r="M150" s="254"/>
      <c r="N150" s="254"/>
      <c r="O150" s="254"/>
      <c r="P150" s="453">
        <f t="shared" si="8"/>
        <v>21268</v>
      </c>
      <c r="Q150" s="356">
        <f>(Q144+Q145+Q148+Q149+Q146)-Q147</f>
        <v>35519.004</v>
      </c>
      <c r="S150" s="254" t="s">
        <v>169</v>
      </c>
      <c r="T150" s="254"/>
      <c r="U150" s="254"/>
      <c r="V150" s="254"/>
      <c r="W150" s="254"/>
      <c r="X150" s="254"/>
      <c r="Y150" s="453">
        <f t="shared" si="9"/>
        <v>21268</v>
      </c>
      <c r="Z150" s="356">
        <f>(Z144+Z145+Z148+Z149+Z146)-Z147</f>
        <v>16234.5</v>
      </c>
      <c r="AB150" s="254" t="s">
        <v>169</v>
      </c>
      <c r="AC150" s="254"/>
      <c r="AD150" s="254"/>
      <c r="AE150" s="254"/>
      <c r="AF150" s="254"/>
      <c r="AG150" s="254"/>
      <c r="AH150" s="453">
        <f t="shared" si="10"/>
        <v>21268</v>
      </c>
      <c r="AI150" s="356">
        <f>(AI144+AI145+AI148+AI149+AI146)-AI147</f>
        <v>16234.5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392">
        <f t="shared" si="7"/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8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9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10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27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 t="s">
        <v>172</v>
      </c>
      <c r="C153" s="257"/>
      <c r="D153" s="257"/>
      <c r="E153" s="257"/>
      <c r="F153" s="257"/>
      <c r="G153" s="392">
        <f>H18</f>
        <v>0</v>
      </c>
      <c r="H153" s="268">
        <f>G153</f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392">
        <f>H19</f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392">
        <f>H20</f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453">
        <f>G150-((G153*1.2)+(G154*1.2)+(G155*1.2)+(G151*1.2))</f>
        <v>21268</v>
      </c>
      <c r="H156" s="359">
        <f>H150-((H153*1.2)+(H154*1.2)+(H155*1.2)+(H151*1.2))</f>
        <v>21268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21268</v>
      </c>
      <c r="Q156" s="359">
        <f>Q150-((Q153*1.2)+(Q154*1.2)+(Q155*1.2)+(Q151*1.2))</f>
        <v>35519.004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21268</v>
      </c>
      <c r="Z156" s="359">
        <f>Z150-((Z153*1.2)+(Z154*1.2)+(Z155*1.2)+(Z151*1.2))</f>
        <v>16234.5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21268</v>
      </c>
      <c r="AI156" s="359">
        <f>AI150-((AI153*1.2)+(AI154*1.2)+(AI155*1.2)+(AI151*1.2))</f>
        <v>16234.5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92"/>
      <c r="H157" s="268">
        <f>((H156-G156)-(H146-G146))+((I155-I154)*0.2)</f>
        <v>0</v>
      </c>
      <c r="I157" s="239">
        <f>(H157-G90)/1.2</f>
        <v>-16890</v>
      </c>
      <c r="J157" s="254" t="s">
        <v>174</v>
      </c>
      <c r="K157" s="254"/>
      <c r="L157" s="254"/>
      <c r="M157" s="254"/>
      <c r="N157" s="254"/>
      <c r="O157" s="254"/>
      <c r="P157" s="392"/>
      <c r="Q157" s="268">
        <f>Q156-P156</f>
        <v>14251.004</v>
      </c>
      <c r="S157" s="254" t="s">
        <v>174</v>
      </c>
      <c r="T157" s="254"/>
      <c r="U157" s="254"/>
      <c r="V157" s="254"/>
      <c r="W157" s="254"/>
      <c r="X157" s="254"/>
      <c r="Y157" s="392"/>
      <c r="Z157" s="268">
        <f>Z156-Y156</f>
        <v>-5033.5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>
        <f>AI156-AH156</f>
        <v>-5033.5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21268</v>
      </c>
      <c r="H167" s="362"/>
      <c r="J167" s="361" t="s">
        <v>181</v>
      </c>
      <c r="K167" s="368"/>
      <c r="L167" s="368"/>
      <c r="M167" s="262"/>
      <c r="N167" s="368"/>
      <c r="O167" s="262"/>
      <c r="P167" s="362">
        <f>Q156-P163-P166</f>
        <v>36519.004</v>
      </c>
      <c r="Q167" s="362"/>
      <c r="S167" s="361" t="s">
        <v>181</v>
      </c>
      <c r="T167" s="368"/>
      <c r="U167" s="368"/>
      <c r="V167" s="262"/>
      <c r="W167" s="368"/>
      <c r="X167" s="262"/>
      <c r="Y167" s="362">
        <f>Z156-Y163-Y166</f>
        <v>17234.5</v>
      </c>
      <c r="Z167" s="362"/>
      <c r="AB167" s="361" t="s">
        <v>181</v>
      </c>
      <c r="AC167" s="368"/>
      <c r="AD167" s="368"/>
      <c r="AE167" s="262"/>
      <c r="AF167" s="368"/>
      <c r="AG167" s="262"/>
      <c r="AH167" s="362">
        <f>AI156-AH163-AH166</f>
        <v>17234.5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199.99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7200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546.961609847631</v>
      </c>
      <c r="B176" s="126">
        <f>B103</f>
        <v>0</v>
      </c>
      <c r="C176" s="365"/>
      <c r="D176" s="365"/>
      <c r="E176" s="126">
        <f>B105</f>
        <v>546.961609847631</v>
      </c>
      <c r="F176" s="262"/>
      <c r="G176" s="262">
        <f>ROUND(G104,2)</f>
        <v>486.01</v>
      </c>
      <c r="H176" s="180"/>
      <c r="J176" s="366">
        <f>K104</f>
        <v>1522.35059507587</v>
      </c>
      <c r="K176" s="458">
        <f>K103</f>
        <v>0</v>
      </c>
      <c r="L176" s="457"/>
      <c r="M176" s="457"/>
      <c r="N176" s="458">
        <f>K105</f>
        <v>1522.35059507587</v>
      </c>
      <c r="O176" s="262"/>
      <c r="P176" s="262"/>
      <c r="Q176" s="180"/>
      <c r="S176" s="366">
        <f>T104</f>
        <v>634.549742547474</v>
      </c>
      <c r="T176" s="458">
        <f>T103</f>
        <v>0</v>
      </c>
      <c r="U176" s="457"/>
      <c r="V176" s="457"/>
      <c r="W176" s="458">
        <f>T105</f>
        <v>634.549742547474</v>
      </c>
      <c r="X176" s="262"/>
      <c r="Y176" s="262"/>
      <c r="Z176" s="180"/>
      <c r="AB176" s="366">
        <f>AC104</f>
        <v>634.549742547474</v>
      </c>
      <c r="AC176" s="458">
        <f>AC103</f>
        <v>0</v>
      </c>
      <c r="AD176" s="457"/>
      <c r="AE176" s="457"/>
      <c r="AF176" s="458">
        <f>AC105</f>
        <v>634.549742547474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 t="str">
        <f>K29</f>
        <v>33</v>
      </c>
      <c r="B179" s="42" t="str">
        <f>K30</f>
        <v>5000</v>
      </c>
      <c r="C179" s="367"/>
      <c r="D179" s="262"/>
      <c r="E179" s="274">
        <f>B91</f>
        <v>7200</v>
      </c>
      <c r="F179" s="262"/>
      <c r="G179" s="262"/>
      <c r="H179" s="180"/>
      <c r="J179" s="270" t="str">
        <f>K29</f>
        <v>33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33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33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17440</v>
      </c>
      <c r="B182" s="133">
        <f>H146</f>
        <v>3488</v>
      </c>
      <c r="C182" s="272"/>
      <c r="D182" s="262"/>
      <c r="E182" s="274">
        <f>H148+H149</f>
        <v>340</v>
      </c>
      <c r="F182" s="262"/>
      <c r="G182" s="262"/>
      <c r="H182" s="180"/>
      <c r="J182" s="132">
        <f>Q150-Q146-Q148-Q149</f>
        <v>29324.17</v>
      </c>
      <c r="K182" s="127">
        <f>Q146</f>
        <v>5864.834</v>
      </c>
      <c r="L182" s="388"/>
      <c r="M182" s="262"/>
      <c r="N182" s="53">
        <f>Q148+Q149</f>
        <v>330</v>
      </c>
      <c r="O182" s="262"/>
      <c r="P182" s="262"/>
      <c r="Q182" s="180"/>
      <c r="S182" s="132">
        <f>Z150-Z146-Z148-Z149</f>
        <v>13253.75</v>
      </c>
      <c r="T182" s="127">
        <f>Z146</f>
        <v>2650.75</v>
      </c>
      <c r="U182" s="388"/>
      <c r="V182" s="262"/>
      <c r="W182" s="53">
        <f>Z148+Z149</f>
        <v>330</v>
      </c>
      <c r="X182" s="262"/>
      <c r="Y182" s="262"/>
      <c r="Z182" s="180"/>
      <c r="AB182" s="132">
        <f>AI150-AI146-AI148-AI149</f>
        <v>13253.75</v>
      </c>
      <c r="AC182" s="127">
        <f>AI146</f>
        <v>2650.75</v>
      </c>
      <c r="AD182" s="388"/>
      <c r="AE182" s="262"/>
      <c r="AF182" s="53">
        <f>AI148+AI149</f>
        <v>330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21268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>
        <f>Q150</f>
        <v>35519.004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>
        <f>Z150</f>
        <v>16234.5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>
        <f>AI150</f>
        <v>16234.5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21268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>
        <f>J185-J188-K188</f>
        <v>36519.004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>
        <f>S185-S188-T188</f>
        <v>17234.5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>
        <f>AB185-AB188-AC188</f>
        <v>17234.5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3434.77151512419</v>
      </c>
      <c r="B191" s="133" t="str">
        <f>B123</f>
        <v>199.99</v>
      </c>
      <c r="C191" s="133"/>
      <c r="D191" s="262"/>
      <c r="E191" s="133">
        <f>E188+A191+(B191*1.2)+A194</f>
        <v>24952.7595151242</v>
      </c>
      <c r="F191" s="262"/>
      <c r="G191" s="262"/>
      <c r="H191" s="141"/>
      <c r="J191" s="134">
        <f>(J176*K68)+N194-N188-J194</f>
        <v>12208.2150424278</v>
      </c>
      <c r="K191" s="127">
        <f>K123</f>
        <v>239.99</v>
      </c>
      <c r="L191" s="127"/>
      <c r="M191" s="262"/>
      <c r="N191" s="127">
        <f>N188+J191+K191+J194</f>
        <v>48987.2090424278</v>
      </c>
      <c r="O191" s="262"/>
      <c r="P191" s="262"/>
      <c r="Q191" s="141"/>
      <c r="S191" s="134">
        <f>(S176*T68)+W194-W188-S194</f>
        <v>3083.09176151916</v>
      </c>
      <c r="T191" s="127">
        <f>T123</f>
        <v>199.99</v>
      </c>
      <c r="U191" s="127"/>
      <c r="V191" s="262"/>
      <c r="W191" s="127">
        <f>W188+S191+T191+S194</f>
        <v>20527.5817615192</v>
      </c>
      <c r="X191" s="262"/>
      <c r="Y191" s="262"/>
      <c r="Z191" s="141"/>
      <c r="AB191" s="134">
        <f>(AB176*AC68)+AF194-AF188-AB194</f>
        <v>3083.09176151916</v>
      </c>
      <c r="AC191" s="127">
        <f>AC123</f>
        <v>239.99</v>
      </c>
      <c r="AD191" s="127"/>
      <c r="AE191" s="262"/>
      <c r="AF191" s="127">
        <f>AF188+AB191+AC191+AB194</f>
        <v>20567.5817615192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A188+B191*1.2</f>
        <v>239.988</v>
      </c>
      <c r="C194" s="133"/>
      <c r="D194" s="262"/>
      <c r="E194" s="133">
        <f>E179+A194</f>
        <v>7210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</f>
        <v>4.1856</v>
      </c>
      <c r="B197" s="133">
        <f>(G167*B76)/1.2</f>
        <v>166.15625</v>
      </c>
      <c r="C197" s="250"/>
      <c r="D197" s="250"/>
      <c r="E197" s="133">
        <f>IF(E114="YES",(K55*A117*0.1),0)</f>
        <v>0</v>
      </c>
      <c r="F197" s="262"/>
      <c r="G197" s="262"/>
      <c r="H197" s="180"/>
      <c r="J197" s="134">
        <f>IF(N114="YES",H15*0.000002,0)</f>
        <v>0.042536</v>
      </c>
      <c r="K197" s="127">
        <f>(P167*K76)/1.2</f>
        <v>2187.33617708333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>
        <f>(Y167*T76)/1.2</f>
        <v>134.64453125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>
        <f>(AH167*AC76)/1.2</f>
        <v>134.64453125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B191-100</f>
        <v>99.99</v>
      </c>
      <c r="B200" s="133">
        <f>B197+E197+A200</f>
        <v>266.14625</v>
      </c>
      <c r="C200" s="250"/>
      <c r="D200" s="250"/>
      <c r="E200" s="133">
        <f>H157</f>
        <v>0</v>
      </c>
      <c r="F200" s="262"/>
      <c r="G200" s="262"/>
      <c r="H200" s="180"/>
      <c r="J200" s="134">
        <f>K194-100</f>
        <v>1139.99</v>
      </c>
      <c r="K200" s="127">
        <f>K197+N197+J200</f>
        <v>3327.32617708333</v>
      </c>
      <c r="L200" s="368"/>
      <c r="M200" s="368"/>
      <c r="N200" s="127">
        <f>Q157</f>
        <v>14251.004</v>
      </c>
      <c r="O200" s="262"/>
      <c r="P200" s="262"/>
      <c r="Q200" s="180"/>
      <c r="S200" s="134">
        <f>T194-100</f>
        <v>1099.99</v>
      </c>
      <c r="T200" s="127">
        <f>T197+W197+S200</f>
        <v>1234.63453125</v>
      </c>
      <c r="U200" s="368"/>
      <c r="V200" s="368"/>
      <c r="W200" s="127">
        <f>Z157</f>
        <v>-5033.5</v>
      </c>
      <c r="X200" s="368"/>
      <c r="Y200" s="368"/>
      <c r="Z200" s="180"/>
      <c r="AB200" s="134">
        <f>AC194-100</f>
        <v>1139.99</v>
      </c>
      <c r="AC200" s="127">
        <f>AC197+AF197+AB200</f>
        <v>1274.63453125</v>
      </c>
      <c r="AD200" s="368"/>
      <c r="AE200" s="368"/>
      <c r="AF200" s="127">
        <f>AI157</f>
        <v>-5033.5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33</v>
      </c>
      <c r="B206" s="71">
        <f>B105</f>
        <v>546.961609847631</v>
      </c>
      <c r="C206" s="71"/>
      <c r="D206" s="71"/>
      <c r="E206" s="262"/>
      <c r="F206" s="262"/>
      <c r="G206" s="262"/>
      <c r="H206" s="180"/>
      <c r="J206" s="289" t="str">
        <f>K29</f>
        <v>33</v>
      </c>
      <c r="K206" s="71">
        <f>K105</f>
        <v>1522.35059507587</v>
      </c>
      <c r="L206" s="71"/>
      <c r="M206" s="71"/>
      <c r="N206" s="262"/>
      <c r="O206" s="262"/>
      <c r="P206" s="262"/>
      <c r="Q206" s="180"/>
      <c r="S206" s="289" t="str">
        <f>K29</f>
        <v>33</v>
      </c>
      <c r="T206" s="71">
        <f>T105</f>
        <v>634.549742547474</v>
      </c>
      <c r="U206" s="71"/>
      <c r="V206" s="71"/>
      <c r="W206" s="262"/>
      <c r="X206" s="262"/>
      <c r="Y206" s="262"/>
      <c r="Z206" s="180"/>
      <c r="AB206" s="289" t="str">
        <f>K29</f>
        <v>33</v>
      </c>
      <c r="AC206" s="71">
        <f>AC105</f>
        <v>634.549742547474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ROUND(((G176*B68)+E194-E188-A194),2)</f>
        <v>1484.32</v>
      </c>
      <c r="B210" s="272">
        <f>ROUND((E188+A210+(B191*1.2)+A194),2)</f>
        <v>23002.31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33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546.961609847631</v>
      </c>
      <c r="B221" s="126">
        <f>B176</f>
        <v>0</v>
      </c>
      <c r="C221" s="365"/>
      <c r="D221" s="365"/>
      <c r="E221" s="126">
        <f>E176</f>
        <v>546.961609847631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17440</v>
      </c>
      <c r="B224" s="133">
        <f>B182</f>
        <v>3488</v>
      </c>
      <c r="C224" s="272"/>
      <c r="D224" s="291"/>
      <c r="E224" s="274">
        <f>E182</f>
        <v>340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21268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21268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3434.77151512419</v>
      </c>
      <c r="B233" s="133" t="str">
        <f>B191</f>
        <v>199.99</v>
      </c>
      <c r="C233" s="133"/>
      <c r="D233" s="291"/>
      <c r="E233" s="133">
        <f>E191</f>
        <v>24952.7595151242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239.988</v>
      </c>
      <c r="C236" s="133"/>
      <c r="D236" s="291"/>
      <c r="E236" s="133">
        <f>B68</f>
        <v>32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546.961609847631</v>
      </c>
      <c r="B239" s="133">
        <f>B176</f>
        <v>0</v>
      </c>
      <c r="C239" s="272"/>
      <c r="D239" s="272"/>
      <c r="E239" s="133">
        <f>E176</f>
        <v>546.961609847631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7200</v>
      </c>
      <c r="B242" s="133">
        <f>E194</f>
        <v>7210</v>
      </c>
      <c r="C242" s="250"/>
      <c r="D242" s="250"/>
      <c r="E242" s="133">
        <f>J18*0.000006*100</f>
        <v>12.5568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4.1856</v>
      </c>
      <c r="B245" s="133">
        <f>E242+A245</f>
        <v>16.7424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0</v>
      </c>
      <c r="B249" s="133">
        <f>B197</f>
        <v>166.15625</v>
      </c>
      <c r="C249" s="250"/>
      <c r="D249" s="250"/>
      <c r="E249" s="133">
        <f>E197</f>
        <v>0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</v>
      </c>
      <c r="B252" s="133">
        <f>B249+E249+A252+A249</f>
        <v>266.14625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0.115</v>
      </c>
      <c r="G262" s="262"/>
      <c r="H262" s="180"/>
    </row>
    <row r="263" spans="1:8">
      <c r="A263" s="370" t="s">
        <v>217</v>
      </c>
      <c r="B263" s="378">
        <f>(E191-B191)-(B210-B191-A194)</f>
        <v>1960.44951512419</v>
      </c>
      <c r="C263" s="376"/>
      <c r="D263" s="377" t="s">
        <v>218</v>
      </c>
      <c r="E263" s="377"/>
      <c r="F263" s="378">
        <f>F270+F276+F278+B279+B280</f>
        <v>199.3875</v>
      </c>
      <c r="G263" s="262"/>
      <c r="H263" s="180"/>
    </row>
    <row r="264" spans="1:8">
      <c r="A264" s="370" t="s">
        <v>219</v>
      </c>
      <c r="B264" s="378">
        <f>F271+B272</f>
        <v>99.99</v>
      </c>
      <c r="C264" s="376"/>
      <c r="D264" s="377" t="s">
        <v>220</v>
      </c>
      <c r="E264" s="377"/>
      <c r="F264" s="378">
        <f>(B263-F263)+B264</f>
        <v>1861.05201512419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0.115</v>
      </c>
      <c r="C269" s="388"/>
      <c r="D269" s="105" t="s">
        <v>217</v>
      </c>
      <c r="E269" s="105"/>
      <c r="F269" s="389">
        <f>B263</f>
        <v>1960.44951512419</v>
      </c>
      <c r="G269" s="262"/>
      <c r="H269" s="180"/>
    </row>
    <row r="270" ht="19.5" spans="1:8">
      <c r="A270" s="245" t="s">
        <v>223</v>
      </c>
      <c r="B270" s="387">
        <f>B76</f>
        <v>0.009375</v>
      </c>
      <c r="C270" s="368"/>
      <c r="D270" s="105" t="s">
        <v>223</v>
      </c>
      <c r="E270" s="105"/>
      <c r="F270" s="144">
        <f>B77</f>
        <v>199.3875</v>
      </c>
      <c r="G270" s="262"/>
      <c r="H270" s="180"/>
    </row>
    <row r="271" ht="19.5" spans="1:8">
      <c r="A271" s="245" t="s">
        <v>224</v>
      </c>
      <c r="B271" s="383">
        <f>A117</f>
        <v>0.2</v>
      </c>
      <c r="C271" s="368"/>
      <c r="D271" s="105" t="s">
        <v>224</v>
      </c>
      <c r="E271" s="105"/>
      <c r="F271" s="389">
        <f>E249*10</f>
        <v>0</v>
      </c>
      <c r="G271" s="262"/>
      <c r="H271" s="180"/>
    </row>
    <row r="272" spans="1:8">
      <c r="A272" s="245" t="s">
        <v>225</v>
      </c>
      <c r="B272" s="389">
        <f>A252</f>
        <v>99.99</v>
      </c>
      <c r="C272" s="368"/>
      <c r="D272" s="129" t="s">
        <v>220</v>
      </c>
      <c r="E272" s="129"/>
      <c r="F272" s="389">
        <f>(B263-F263)+B264</f>
        <v>1861.05201512419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</mergeCells>
  <dataValidations count="4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8:A20 A153:A155 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1"/>
  <sheetViews>
    <sheetView zoomScale="85" zoomScaleNormal="85" topLeftCell="A7" workbookViewId="0">
      <selection activeCell="A38" sqref="A38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3333333333333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3333333333333"/>
    <col min="28" max="28" customWidth="true" style="239" width="41.6666666666667"/>
    <col min="29" max="35" customWidth="true" style="239" width="18.8833333333333"/>
    <col min="36" max="1024" style="239" width="8.33333333333333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/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433">
        <v>0</v>
      </c>
      <c r="C4" s="433"/>
      <c r="D4" s="434">
        <v>0</v>
      </c>
      <c r="E4" s="434"/>
      <c r="F4" s="434">
        <v>0</v>
      </c>
      <c r="G4" s="434"/>
      <c r="H4" s="435"/>
      <c r="I4" s="240"/>
      <c r="J4" s="240"/>
    </row>
    <row r="5" spans="1:10">
      <c r="A5" s="245" t="s">
        <v>153</v>
      </c>
      <c r="B5" s="246">
        <v>0</v>
      </c>
      <c r="C5" s="246"/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/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/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368"/>
      <c r="C8" s="368"/>
      <c r="D8" s="368"/>
      <c r="E8" s="368"/>
      <c r="F8" s="368"/>
      <c r="G8" s="368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>
        <v>23125</v>
      </c>
      <c r="C9" s="251"/>
      <c r="D9" s="251"/>
      <c r="E9" s="251"/>
      <c r="F9" s="251"/>
      <c r="G9" s="436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/>
      <c r="F10" s="254"/>
      <c r="G10" s="392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>
        <v>0</v>
      </c>
      <c r="C11" s="254"/>
      <c r="D11" s="254"/>
      <c r="E11" s="254"/>
      <c r="F11" s="254"/>
      <c r="G11" s="392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92"/>
      <c r="H12" s="247">
        <v>0</v>
      </c>
      <c r="I12" s="240"/>
      <c r="J12" s="240"/>
    </row>
    <row r="13" spans="1:10">
      <c r="A13" s="254" t="s">
        <v>167</v>
      </c>
      <c r="B13" s="254">
        <v>0</v>
      </c>
      <c r="C13" s="254"/>
      <c r="D13" s="254"/>
      <c r="E13" s="254"/>
      <c r="F13" s="254"/>
      <c r="G13" s="392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/>
      <c r="F14" s="254"/>
      <c r="G14" s="392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92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/>
      <c r="F16" s="254"/>
      <c r="G16" s="392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27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29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29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29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1">
      <c r="A22" s="262"/>
      <c r="B22" s="262"/>
      <c r="C22" s="262"/>
      <c r="D22" s="262"/>
      <c r="E22" s="262"/>
      <c r="F22" s="262"/>
      <c r="G22" s="262"/>
      <c r="H22" s="262"/>
      <c r="J22" s="240"/>
      <c r="K22" s="240"/>
    </row>
    <row r="23" ht="19.5" spans="1:11">
      <c r="A23" s="262"/>
      <c r="B23" s="262"/>
      <c r="C23" s="262"/>
      <c r="D23" s="262"/>
      <c r="E23" s="262"/>
      <c r="F23" s="262"/>
      <c r="G23" s="262"/>
      <c r="H23" s="262"/>
      <c r="J23" s="240"/>
      <c r="K23" s="240"/>
    </row>
    <row r="24" ht="46.5" customHeight="1" spans="1:11">
      <c r="A24" s="263" t="s">
        <v>21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</row>
    <row r="25" spans="1:11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</row>
    <row r="26" ht="24" spans="1:11">
      <c r="A26" s="269" t="s">
        <v>22</v>
      </c>
      <c r="B26" s="269"/>
      <c r="C26" s="269"/>
      <c r="D26" s="269"/>
      <c r="E26" s="269"/>
      <c r="F26" s="269"/>
      <c r="G26" s="269"/>
      <c r="H26" s="269"/>
      <c r="I26" s="240"/>
      <c r="J26" s="300" t="s">
        <v>23</v>
      </c>
      <c r="K26" s="301" t="s">
        <v>24</v>
      </c>
    </row>
    <row r="27" ht="19.5" spans="1:11">
      <c r="A27" s="245"/>
      <c r="B27" s="368"/>
      <c r="C27" s="368"/>
      <c r="D27" s="368"/>
      <c r="E27" s="368"/>
      <c r="F27" s="368"/>
      <c r="G27" s="368"/>
      <c r="H27" s="180"/>
      <c r="I27" s="240"/>
      <c r="J27" s="302" t="s">
        <v>25</v>
      </c>
      <c r="K27" s="303">
        <v>1</v>
      </c>
    </row>
    <row r="28" spans="1:11">
      <c r="A28" s="267" t="s">
        <v>23</v>
      </c>
      <c r="B28" s="368" t="s">
        <v>26</v>
      </c>
      <c r="C28" s="368"/>
      <c r="D28" s="368"/>
      <c r="E28" s="368"/>
      <c r="F28" s="368"/>
      <c r="G28" s="368"/>
      <c r="H28" s="180"/>
      <c r="I28" s="240"/>
      <c r="J28" s="302" t="s">
        <v>27</v>
      </c>
      <c r="K28" s="303"/>
    </row>
    <row r="29" spans="1:11">
      <c r="A29" s="245"/>
      <c r="B29" s="368"/>
      <c r="C29" s="368"/>
      <c r="D29" s="368"/>
      <c r="E29" s="368"/>
      <c r="F29" s="368"/>
      <c r="G29" s="368"/>
      <c r="H29" s="180"/>
      <c r="I29" s="368"/>
      <c r="J29" s="300" t="s">
        <v>28</v>
      </c>
      <c r="K29" s="305" t="str">
        <f>A34</f>
        <v>33</v>
      </c>
    </row>
    <row r="30" ht="19.5" spans="1:11">
      <c r="A30" s="267" t="s">
        <v>29</v>
      </c>
      <c r="B30" s="368"/>
      <c r="C30" s="127" t="s">
        <v>30</v>
      </c>
      <c r="D30" s="129"/>
      <c r="E30" s="368"/>
      <c r="F30" s="127" t="s">
        <v>31</v>
      </c>
      <c r="G30" s="129"/>
      <c r="H30" s="180"/>
      <c r="I30" s="368"/>
      <c r="J30" s="300" t="s">
        <v>32</v>
      </c>
      <c r="K30" s="305" t="str">
        <f>C34</f>
        <v>5000</v>
      </c>
    </row>
    <row r="31" ht="19.5" spans="1:11">
      <c r="A31" s="268" t="s">
        <v>33</v>
      </c>
      <c r="B31" s="368"/>
      <c r="C31" s="437" t="s">
        <v>34</v>
      </c>
      <c r="D31" s="437"/>
      <c r="E31" s="368"/>
      <c r="F31" s="437"/>
      <c r="G31" s="437"/>
      <c r="H31" s="180"/>
      <c r="I31" s="368"/>
      <c r="J31" s="300" t="s">
        <v>35</v>
      </c>
      <c r="K31" s="442">
        <f>A43</f>
        <v>6000</v>
      </c>
    </row>
    <row r="32" spans="1:11">
      <c r="A32" s="267"/>
      <c r="B32" s="388"/>
      <c r="C32" s="388"/>
      <c r="D32" s="388"/>
      <c r="E32" s="388"/>
      <c r="F32" s="388"/>
      <c r="G32" s="388"/>
      <c r="H32" s="180"/>
      <c r="I32" s="240"/>
      <c r="J32" s="300" t="s">
        <v>36</v>
      </c>
      <c r="K32" s="442" t="str">
        <f>A46</f>
        <v>50</v>
      </c>
    </row>
    <row r="33" ht="19.5" spans="1:11">
      <c r="A33" s="267" t="s">
        <v>39</v>
      </c>
      <c r="B33" s="368"/>
      <c r="C33" s="438" t="s">
        <v>40</v>
      </c>
      <c r="D33" s="129"/>
      <c r="E33" s="368"/>
      <c r="F33" s="127" t="s">
        <v>41</v>
      </c>
      <c r="G33" s="129"/>
      <c r="H33" s="271"/>
      <c r="I33" s="240"/>
      <c r="J33" s="302"/>
      <c r="K33" s="306"/>
    </row>
    <row r="34" ht="19.5" spans="1:11">
      <c r="A34" s="268" t="s">
        <v>248</v>
      </c>
      <c r="B34" s="368"/>
      <c r="C34" s="437" t="s">
        <v>43</v>
      </c>
      <c r="D34" s="437"/>
      <c r="E34" s="368"/>
      <c r="F34" s="437">
        <f>(A34/12)*C34</f>
        <v>13750</v>
      </c>
      <c r="G34" s="437"/>
      <c r="H34" s="271"/>
      <c r="I34" s="240"/>
      <c r="J34" s="240"/>
      <c r="K34" s="240"/>
    </row>
    <row r="35" spans="1:11">
      <c r="A35" s="245"/>
      <c r="B35" s="368"/>
      <c r="C35" s="368"/>
      <c r="E35" s="368"/>
      <c r="F35" s="388"/>
      <c r="G35" s="388"/>
      <c r="H35" s="271"/>
      <c r="I35" s="240"/>
      <c r="J35" s="307" t="s">
        <v>46</v>
      </c>
      <c r="K35" s="443">
        <v>0.065</v>
      </c>
    </row>
    <row r="36" ht="19.5" spans="1:11">
      <c r="A36" s="267" t="s">
        <v>47</v>
      </c>
      <c r="B36" s="368"/>
      <c r="C36" s="127" t="s">
        <v>48</v>
      </c>
      <c r="D36" s="129"/>
      <c r="E36" s="368"/>
      <c r="F36" s="127" t="s">
        <v>49</v>
      </c>
      <c r="G36" s="129"/>
      <c r="H36" s="271"/>
      <c r="I36" s="240"/>
      <c r="J36" s="240" t="s">
        <v>50</v>
      </c>
      <c r="K36" s="240">
        <f>C40</f>
        <v>32</v>
      </c>
    </row>
    <row r="37" ht="19.5" spans="1:11">
      <c r="A37" s="267">
        <f>H15</f>
        <v>21268</v>
      </c>
      <c r="B37" s="368"/>
      <c r="C37" s="437" t="s">
        <v>45</v>
      </c>
      <c r="D37" s="437"/>
      <c r="E37" s="368"/>
      <c r="F37" s="388">
        <f>A37-C37</f>
        <v>20268</v>
      </c>
      <c r="G37" s="388"/>
      <c r="H37" s="271"/>
      <c r="I37" s="240"/>
      <c r="J37" s="240"/>
      <c r="K37" s="240"/>
    </row>
    <row r="38" spans="1:12">
      <c r="A38" s="267"/>
      <c r="B38" s="388"/>
      <c r="C38" s="388"/>
      <c r="D38" s="388"/>
      <c r="E38" s="388"/>
      <c r="F38" s="388"/>
      <c r="G38" s="388"/>
      <c r="H38" s="271"/>
      <c r="J38" s="308" t="s">
        <v>52</v>
      </c>
      <c r="K38" s="308"/>
      <c r="L38" s="240"/>
    </row>
    <row r="39" ht="19.5" spans="1:12">
      <c r="A39" s="267" t="s">
        <v>53</v>
      </c>
      <c r="B39" s="368"/>
      <c r="C39" s="129" t="s">
        <v>54</v>
      </c>
      <c r="D39" s="127"/>
      <c r="E39" s="368"/>
      <c r="F39" s="127" t="s">
        <v>55</v>
      </c>
      <c r="G39" s="129"/>
      <c r="H39" s="271"/>
      <c r="J39" s="240" t="s">
        <v>56</v>
      </c>
      <c r="K39" s="240" t="str">
        <f>F40</f>
        <v>500</v>
      </c>
      <c r="L39" s="240"/>
    </row>
    <row r="40" ht="19.5" spans="1:12">
      <c r="A40" s="268" t="s">
        <v>42</v>
      </c>
      <c r="B40" s="368"/>
      <c r="C40" s="439">
        <f>A34-1</f>
        <v>32</v>
      </c>
      <c r="D40" s="439"/>
      <c r="E40" s="368"/>
      <c r="F40" s="437" t="s">
        <v>57</v>
      </c>
      <c r="G40" s="437"/>
      <c r="H40" s="271"/>
      <c r="J40" s="240" t="s">
        <v>58</v>
      </c>
      <c r="K40" s="240">
        <f>H11</f>
        <v>3488</v>
      </c>
      <c r="L40" s="240"/>
    </row>
    <row r="41" spans="1:12">
      <c r="A41" s="267"/>
      <c r="B41" s="388"/>
      <c r="C41" s="388"/>
      <c r="D41" s="388"/>
      <c r="E41" s="388"/>
      <c r="F41" s="388"/>
      <c r="G41" s="388"/>
      <c r="H41" s="271"/>
      <c r="J41" s="240" t="s">
        <v>59</v>
      </c>
      <c r="K41" s="240" t="str">
        <f>IF(F43="Yes",A46,0)</f>
        <v>50</v>
      </c>
      <c r="L41" s="240"/>
    </row>
    <row r="42" ht="19.5" spans="1:12">
      <c r="A42" s="267" t="s">
        <v>60</v>
      </c>
      <c r="B42" s="368"/>
      <c r="C42" s="127" t="s">
        <v>61</v>
      </c>
      <c r="D42" s="129"/>
      <c r="E42" s="368"/>
      <c r="F42" s="127" t="s">
        <v>62</v>
      </c>
      <c r="G42" s="129"/>
      <c r="H42" s="271"/>
      <c r="J42" s="240" t="s">
        <v>63</v>
      </c>
      <c r="K42" s="240">
        <f>A43</f>
        <v>6000</v>
      </c>
      <c r="L42" s="240"/>
    </row>
    <row r="43" ht="19.5" spans="1:12">
      <c r="A43" s="268">
        <v>6000</v>
      </c>
      <c r="B43" s="368"/>
      <c r="C43" s="437">
        <v>20</v>
      </c>
      <c r="D43" s="437"/>
      <c r="E43" s="368"/>
      <c r="F43" s="437" t="s">
        <v>18</v>
      </c>
      <c r="G43" s="437"/>
      <c r="H43" s="271"/>
      <c r="J43" s="240" t="s">
        <v>64</v>
      </c>
      <c r="K43" s="240" t="str">
        <f>A34</f>
        <v>33</v>
      </c>
      <c r="L43" s="240"/>
    </row>
    <row r="44" spans="1:12">
      <c r="A44" s="267"/>
      <c r="B44" s="388"/>
      <c r="C44" s="388"/>
      <c r="D44" s="388"/>
      <c r="E44" s="388"/>
      <c r="F44" s="388"/>
      <c r="G44" s="388"/>
      <c r="H44" s="271"/>
      <c r="J44" s="240" t="s">
        <v>65</v>
      </c>
      <c r="K44" s="240">
        <f>((K40-(((K42/(1.2))*0.2)))/(K43))</f>
        <v>75.3939393939394</v>
      </c>
      <c r="L44" s="240"/>
    </row>
    <row r="45" ht="19.5" spans="1:12">
      <c r="A45" s="267" t="s">
        <v>66</v>
      </c>
      <c r="B45" s="368"/>
      <c r="C45" s="127" t="s">
        <v>67</v>
      </c>
      <c r="D45" s="129"/>
      <c r="E45" s="368"/>
      <c r="F45" s="127" t="s">
        <v>68</v>
      </c>
      <c r="G45" s="129"/>
      <c r="H45" s="271"/>
      <c r="J45" s="240" t="s">
        <v>69</v>
      </c>
      <c r="K45" s="240">
        <f>(K39-K44)+K41</f>
        <v>474.606060606061</v>
      </c>
      <c r="L45" s="240"/>
    </row>
    <row r="46" ht="19.5" spans="1:12">
      <c r="A46" s="268" t="s">
        <v>70</v>
      </c>
      <c r="B46" s="368"/>
      <c r="C46" s="437">
        <v>1</v>
      </c>
      <c r="D46" s="437"/>
      <c r="E46" s="368"/>
      <c r="F46" s="437">
        <v>0</v>
      </c>
      <c r="G46" s="437"/>
      <c r="H46" s="271"/>
      <c r="J46" s="240" t="s">
        <v>71</v>
      </c>
      <c r="K46" s="240">
        <v>0</v>
      </c>
      <c r="L46" s="240"/>
    </row>
    <row r="47" spans="1:12">
      <c r="A47" s="267"/>
      <c r="B47" s="388"/>
      <c r="C47" s="388"/>
      <c r="D47" s="388"/>
      <c r="E47" s="388"/>
      <c r="F47" s="388"/>
      <c r="G47" s="388"/>
      <c r="H47" s="271"/>
      <c r="J47" s="240" t="s">
        <v>72</v>
      </c>
      <c r="K47" s="240">
        <f>A40/K29</f>
        <v>0.363636363636364</v>
      </c>
      <c r="L47" s="240"/>
    </row>
    <row r="48" spans="1:12">
      <c r="A48" s="267" t="s">
        <v>73</v>
      </c>
      <c r="B48" s="388"/>
      <c r="C48" s="388"/>
      <c r="D48" s="388"/>
      <c r="E48" s="388"/>
      <c r="F48" s="388"/>
      <c r="G48" s="388"/>
      <c r="H48" s="271"/>
      <c r="J48" s="309" t="s">
        <v>74</v>
      </c>
      <c r="K48" s="240">
        <f>C43/A34</f>
        <v>0.606060606060606</v>
      </c>
      <c r="L48" s="240"/>
    </row>
    <row r="49" spans="1:12">
      <c r="A49" s="267">
        <f>C46+F46</f>
        <v>1</v>
      </c>
      <c r="B49" s="388"/>
      <c r="C49" s="388"/>
      <c r="D49" s="388"/>
      <c r="E49" s="368"/>
      <c r="F49" s="388"/>
      <c r="G49" s="388"/>
      <c r="H49" s="271"/>
      <c r="J49" s="309" t="s">
        <v>75</v>
      </c>
      <c r="K49" s="240">
        <f>K45+K48+K47</f>
        <v>475.575757575758</v>
      </c>
      <c r="L49" s="240"/>
    </row>
    <row r="50" ht="19.5" spans="1:11">
      <c r="A50" s="275"/>
      <c r="B50" s="276"/>
      <c r="C50" s="276"/>
      <c r="D50" s="276"/>
      <c r="E50" s="276"/>
      <c r="F50" s="276"/>
      <c r="G50" s="277"/>
      <c r="H50" s="278"/>
      <c r="I50" s="240"/>
      <c r="J50" s="309" t="s">
        <v>76</v>
      </c>
      <c r="K50" s="240">
        <f>K49-A46</f>
        <v>425.575757575758</v>
      </c>
    </row>
    <row r="51" ht="19.5" customHeight="1" spans="1:11">
      <c r="A51" s="264"/>
      <c r="B51" s="265"/>
      <c r="C51" s="265"/>
      <c r="D51" s="265"/>
      <c r="E51" s="265"/>
      <c r="F51" s="265"/>
      <c r="G51" s="265"/>
      <c r="H51" s="266"/>
      <c r="I51" s="240"/>
      <c r="J51" s="240"/>
      <c r="K51" s="240"/>
    </row>
    <row r="52" ht="19.5" spans="1:11">
      <c r="A52" s="137" t="s">
        <v>77</v>
      </c>
      <c r="B52" s="368"/>
      <c r="C52" s="368" t="s">
        <v>78</v>
      </c>
      <c r="D52" s="368"/>
      <c r="E52" s="368"/>
      <c r="F52" s="368"/>
      <c r="G52" s="368"/>
      <c r="H52" s="180"/>
      <c r="I52" s="240"/>
      <c r="J52" s="240"/>
      <c r="K52" s="240"/>
    </row>
    <row r="53" ht="19.5" spans="1:11">
      <c r="A53" s="440">
        <v>1</v>
      </c>
      <c r="B53" s="368"/>
      <c r="C53" s="396">
        <v>1</v>
      </c>
      <c r="D53" s="396"/>
      <c r="E53" s="396"/>
      <c r="F53" s="368"/>
      <c r="G53" s="368"/>
      <c r="H53" s="180"/>
      <c r="I53" s="240"/>
      <c r="J53" s="2" t="s">
        <v>79</v>
      </c>
      <c r="K53" s="399" t="s">
        <v>381</v>
      </c>
    </row>
    <row r="54" ht="19.5" spans="1:11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</row>
    <row r="55" spans="1:11">
      <c r="A55" s="264"/>
      <c r="B55" s="265"/>
      <c r="C55" s="265"/>
      <c r="D55" s="265"/>
      <c r="E55" s="265"/>
      <c r="F55" s="265"/>
      <c r="G55" s="265"/>
      <c r="H55" s="266"/>
      <c r="I55" s="240"/>
      <c r="J55" s="240" t="s">
        <v>81</v>
      </c>
      <c r="K55" s="240">
        <f>A46*A34</f>
        <v>1650</v>
      </c>
    </row>
    <row r="56" spans="1:11">
      <c r="A56" s="282" t="s">
        <v>82</v>
      </c>
      <c r="B56" s="368"/>
      <c r="C56" s="368"/>
      <c r="D56" s="283"/>
      <c r="E56" s="283"/>
      <c r="F56" s="283"/>
      <c r="G56" s="283"/>
      <c r="H56" s="284"/>
      <c r="I56" s="240"/>
      <c r="J56" s="240"/>
      <c r="K56" s="240"/>
    </row>
    <row r="57" ht="19.5" customHeight="1" spans="1:11">
      <c r="A57" s="245"/>
      <c r="B57" s="285"/>
      <c r="C57" s="285"/>
      <c r="D57" s="368"/>
      <c r="E57" s="368"/>
      <c r="F57" s="368"/>
      <c r="G57" s="368"/>
      <c r="H57" s="180"/>
      <c r="I57" s="240"/>
      <c r="J57" s="240"/>
      <c r="K57" s="240"/>
    </row>
    <row r="58" ht="21" spans="1:11">
      <c r="A58" s="441" t="s">
        <v>83</v>
      </c>
      <c r="B58" s="287" t="s">
        <v>84</v>
      </c>
      <c r="C58" s="287"/>
      <c r="D58" s="287"/>
      <c r="E58" s="368"/>
      <c r="F58" s="368"/>
      <c r="G58" s="368"/>
      <c r="H58" s="180"/>
      <c r="I58" s="240"/>
      <c r="J58" s="240"/>
      <c r="K58" s="240"/>
    </row>
    <row r="59" ht="19.5" spans="1:11">
      <c r="A59" s="441"/>
      <c r="B59" s="288" t="str">
        <f>K30</f>
        <v>5000</v>
      </c>
      <c r="C59" s="288"/>
      <c r="D59" s="288"/>
      <c r="E59" s="368"/>
      <c r="F59" s="368"/>
      <c r="G59" s="368"/>
      <c r="H59" s="180"/>
      <c r="I59" s="240"/>
      <c r="J59" s="240"/>
      <c r="K59" s="240"/>
    </row>
    <row r="60" ht="19.5" spans="1:11">
      <c r="A60" s="289" t="str">
        <f>K29</f>
        <v>33</v>
      </c>
      <c r="B60" s="71">
        <f>K49</f>
        <v>475.575757575758</v>
      </c>
      <c r="C60" s="71"/>
      <c r="D60" s="71"/>
      <c r="E60" s="368"/>
      <c r="F60" s="368"/>
      <c r="G60" s="368"/>
      <c r="H60" s="180"/>
      <c r="I60" s="240"/>
      <c r="J60" s="240"/>
      <c r="K60" s="240"/>
    </row>
    <row r="61" spans="1:11">
      <c r="A61" s="245"/>
      <c r="B61" s="368"/>
      <c r="C61" s="368"/>
      <c r="D61" s="368"/>
      <c r="E61" s="368"/>
      <c r="F61" s="368"/>
      <c r="G61" s="368"/>
      <c r="H61" s="180"/>
      <c r="I61" s="240"/>
      <c r="J61" s="240"/>
      <c r="K61" s="240"/>
    </row>
    <row r="62" ht="19.5" spans="1:11">
      <c r="A62" s="275"/>
      <c r="B62" s="276"/>
      <c r="C62" s="276"/>
      <c r="D62" s="276"/>
      <c r="E62" s="276"/>
      <c r="F62" s="276"/>
      <c r="G62" s="276"/>
      <c r="H62" s="281"/>
      <c r="I62" s="240"/>
      <c r="J62" s="240"/>
      <c r="K62" s="240"/>
    </row>
    <row r="63" spans="1:11">
      <c r="A63" s="368"/>
      <c r="B63" s="368"/>
      <c r="C63" s="368"/>
      <c r="D63" s="368"/>
      <c r="E63" s="368"/>
      <c r="F63" s="368"/>
      <c r="G63" s="368"/>
      <c r="H63" s="368"/>
      <c r="I63" s="240"/>
      <c r="J63" s="240"/>
      <c r="K63" s="240"/>
    </row>
    <row r="64" spans="1:11">
      <c r="A64" s="368"/>
      <c r="B64" s="368"/>
      <c r="C64" s="368"/>
      <c r="D64" s="368"/>
      <c r="E64" s="368"/>
      <c r="F64" s="368"/>
      <c r="G64" s="368"/>
      <c r="H64" s="368"/>
      <c r="I64" s="240"/>
      <c r="J64" s="240"/>
      <c r="K64" s="240"/>
    </row>
    <row r="65" ht="19.5" spans="1:11">
      <c r="A65" s="262"/>
      <c r="B65" s="262"/>
      <c r="C65" s="262"/>
      <c r="D65" s="262"/>
      <c r="E65" s="262"/>
      <c r="F65" s="262"/>
      <c r="G65" s="262"/>
      <c r="H65" s="262"/>
      <c r="J65" s="240"/>
      <c r="K65" s="240"/>
    </row>
    <row r="66" spans="1:35">
      <c r="A66" s="264"/>
      <c r="B66" s="265"/>
      <c r="C66" s="265"/>
      <c r="D66" s="265"/>
      <c r="E66" s="290"/>
      <c r="F66" s="290"/>
      <c r="G66" s="290"/>
      <c r="H66" s="266"/>
      <c r="J66" s="264"/>
      <c r="K66" s="265"/>
      <c r="L66" s="265"/>
      <c r="M66" s="265"/>
      <c r="N66" s="290"/>
      <c r="O66" s="290"/>
      <c r="P66" s="290"/>
      <c r="Q66" s="266"/>
      <c r="S66" s="264"/>
      <c r="T66" s="265"/>
      <c r="U66" s="265"/>
      <c r="V66" s="265"/>
      <c r="W66" s="290"/>
      <c r="X66" s="290"/>
      <c r="Y66" s="290"/>
      <c r="Z66" s="266"/>
      <c r="AB66" s="264"/>
      <c r="AC66" s="265"/>
      <c r="AD66" s="265"/>
      <c r="AE66" s="265"/>
      <c r="AF66" s="290"/>
      <c r="AG66" s="290"/>
      <c r="AH66" s="290"/>
      <c r="AI66" s="266"/>
    </row>
    <row r="67" spans="1:35">
      <c r="A67" s="245" t="s">
        <v>85</v>
      </c>
      <c r="B67" s="368">
        <v>1</v>
      </c>
      <c r="C67" s="368"/>
      <c r="D67" s="368"/>
      <c r="E67" s="262"/>
      <c r="F67" s="262"/>
      <c r="G67" s="262"/>
      <c r="H67" s="180"/>
      <c r="J67" s="245" t="s">
        <v>85</v>
      </c>
      <c r="K67" s="368">
        <v>1</v>
      </c>
      <c r="L67" s="368"/>
      <c r="M67" s="368"/>
      <c r="N67" s="262"/>
      <c r="O67" s="262"/>
      <c r="P67" s="262"/>
      <c r="Q67" s="180"/>
      <c r="S67" s="245" t="s">
        <v>85</v>
      </c>
      <c r="T67" s="368">
        <v>1</v>
      </c>
      <c r="U67" s="368"/>
      <c r="V67" s="368"/>
      <c r="W67" s="262"/>
      <c r="X67" s="262"/>
      <c r="Y67" s="262"/>
      <c r="Z67" s="180"/>
      <c r="AB67" s="245" t="s">
        <v>85</v>
      </c>
      <c r="AC67" s="368">
        <v>1</v>
      </c>
      <c r="AD67" s="368"/>
      <c r="AE67" s="368"/>
      <c r="AF67" s="262"/>
      <c r="AG67" s="262"/>
      <c r="AH67" s="262"/>
      <c r="AI67" s="180"/>
    </row>
    <row r="68" spans="1:35">
      <c r="A68" s="245" t="s">
        <v>86</v>
      </c>
      <c r="B68" s="368">
        <f>K29-B67</f>
        <v>32</v>
      </c>
      <c r="C68" s="368"/>
      <c r="D68" s="368"/>
      <c r="E68" s="262"/>
      <c r="F68" s="262"/>
      <c r="G68" s="262"/>
      <c r="H68" s="180"/>
      <c r="J68" s="245" t="s">
        <v>86</v>
      </c>
      <c r="K68" s="368">
        <f>K29-K67</f>
        <v>32</v>
      </c>
      <c r="L68" s="368"/>
      <c r="M68" s="368"/>
      <c r="N68" s="262"/>
      <c r="O68" s="262"/>
      <c r="P68" s="262"/>
      <c r="Q68" s="180"/>
      <c r="S68" s="245" t="s">
        <v>86</v>
      </c>
      <c r="T68" s="368">
        <f>K29-T67</f>
        <v>32</v>
      </c>
      <c r="U68" s="368"/>
      <c r="V68" s="368"/>
      <c r="W68" s="262"/>
      <c r="X68" s="262"/>
      <c r="Y68" s="262"/>
      <c r="Z68" s="180"/>
      <c r="AB68" s="245" t="s">
        <v>86</v>
      </c>
      <c r="AC68" s="368">
        <f>K29-AC67</f>
        <v>32</v>
      </c>
      <c r="AD68" s="368"/>
      <c r="AE68" s="368"/>
      <c r="AF68" s="262"/>
      <c r="AG68" s="262"/>
      <c r="AH68" s="262"/>
      <c r="AI68" s="180"/>
    </row>
    <row r="69" spans="1:35">
      <c r="A69" s="292" t="s">
        <v>87</v>
      </c>
      <c r="B69" s="293">
        <v>10</v>
      </c>
      <c r="C69" s="368"/>
      <c r="D69" s="368"/>
      <c r="E69" s="262"/>
      <c r="F69" s="262"/>
      <c r="G69" s="262"/>
      <c r="H69" s="180"/>
      <c r="J69" s="292" t="s">
        <v>87</v>
      </c>
      <c r="K69" s="293">
        <v>20</v>
      </c>
      <c r="L69" s="368"/>
      <c r="M69" s="368"/>
      <c r="N69" s="262"/>
      <c r="O69" s="262"/>
      <c r="P69" s="262"/>
      <c r="Q69" s="180"/>
      <c r="S69" s="292" t="s">
        <v>87</v>
      </c>
      <c r="T69" s="293">
        <v>10</v>
      </c>
      <c r="U69" s="368"/>
      <c r="V69" s="368"/>
      <c r="W69" s="262"/>
      <c r="X69" s="262"/>
      <c r="Y69" s="262"/>
      <c r="Z69" s="180"/>
      <c r="AB69" s="292" t="s">
        <v>87</v>
      </c>
      <c r="AC69" s="293">
        <v>10</v>
      </c>
      <c r="AD69" s="368"/>
      <c r="AE69" s="368"/>
      <c r="AF69" s="262"/>
      <c r="AG69" s="262"/>
      <c r="AH69" s="262"/>
      <c r="AI69" s="180"/>
    </row>
    <row r="70" ht="19.5" spans="1:35">
      <c r="A70" s="245" t="s">
        <v>14</v>
      </c>
      <c r="B70" s="368">
        <f>J18</f>
        <v>20928</v>
      </c>
      <c r="C70" s="368"/>
      <c r="D70" s="368"/>
      <c r="E70" s="262"/>
      <c r="F70" s="262"/>
      <c r="G70" s="262"/>
      <c r="H70" s="180"/>
      <c r="J70" s="245" t="s">
        <v>14</v>
      </c>
      <c r="K70" s="368">
        <f>J18</f>
        <v>20928</v>
      </c>
      <c r="L70" s="368"/>
      <c r="M70" s="368"/>
      <c r="N70" s="262"/>
      <c r="O70" s="262"/>
      <c r="P70" s="262"/>
      <c r="Q70" s="180"/>
      <c r="S70" s="245" t="s">
        <v>14</v>
      </c>
      <c r="T70" s="368">
        <f>J18</f>
        <v>20928</v>
      </c>
      <c r="U70" s="368"/>
      <c r="V70" s="368"/>
      <c r="W70" s="262"/>
      <c r="X70" s="262"/>
      <c r="Y70" s="262"/>
      <c r="Z70" s="180"/>
      <c r="AB70" s="245" t="s">
        <v>14</v>
      </c>
      <c r="AC70" s="368">
        <f>J18</f>
        <v>20928</v>
      </c>
      <c r="AD70" s="368"/>
      <c r="AE70" s="368"/>
      <c r="AF70" s="262"/>
      <c r="AG70" s="262"/>
      <c r="AH70" s="262"/>
      <c r="AI70" s="180"/>
    </row>
    <row r="71" spans="1:35">
      <c r="A71" s="294" t="s">
        <v>88</v>
      </c>
      <c r="B71" s="444">
        <v>0</v>
      </c>
      <c r="C71" s="368"/>
      <c r="D71" s="368"/>
      <c r="E71" s="262"/>
      <c r="F71" s="262"/>
      <c r="G71" s="262"/>
      <c r="H71" s="180"/>
      <c r="J71" s="294" t="s">
        <v>88</v>
      </c>
      <c r="K71" s="444">
        <v>0.06</v>
      </c>
      <c r="L71" s="368"/>
      <c r="M71" s="368"/>
      <c r="N71" s="262"/>
      <c r="O71" s="262"/>
      <c r="P71" s="262"/>
      <c r="Q71" s="180"/>
      <c r="S71" s="294" t="s">
        <v>88</v>
      </c>
      <c r="T71" s="444">
        <f>IF(AND(K29&gt;=12,K29&lt;=24),0.0105,IF(AND(K29&gt;=48),-0.0075,0))</f>
        <v>-0.0075</v>
      </c>
      <c r="U71" s="368"/>
      <c r="V71" s="368"/>
      <c r="W71" s="262"/>
      <c r="X71" s="262"/>
      <c r="Y71" s="262"/>
      <c r="Z71" s="180"/>
      <c r="AB71" s="294" t="s">
        <v>88</v>
      </c>
      <c r="AC71" s="444">
        <f>IF(AND(K29&gt;=12,K29&lt;=24),0.0105,IF(AND(K29&gt;=48),-0.0075,0))</f>
        <v>-0.0075</v>
      </c>
      <c r="AD71" s="368"/>
      <c r="AE71" s="368"/>
      <c r="AF71" s="262"/>
      <c r="AG71" s="262"/>
      <c r="AH71" s="262"/>
      <c r="AI71" s="180"/>
    </row>
    <row r="72" spans="1:35">
      <c r="A72" s="242" t="s">
        <v>89</v>
      </c>
      <c r="B72" s="445">
        <v>0.065</v>
      </c>
      <c r="C72" s="368"/>
      <c r="D72" s="368"/>
      <c r="E72" s="262"/>
      <c r="F72" s="262"/>
      <c r="G72" s="262"/>
      <c r="H72" s="180"/>
      <c r="J72" s="242" t="s">
        <v>89</v>
      </c>
      <c r="K72" s="445">
        <v>0.08</v>
      </c>
      <c r="L72" s="368"/>
      <c r="M72" s="368"/>
      <c r="N72" s="262"/>
      <c r="O72" s="262"/>
      <c r="P72" s="262"/>
      <c r="Q72" s="180"/>
      <c r="S72" s="242" t="s">
        <v>89</v>
      </c>
      <c r="T72" s="445">
        <v>0.059</v>
      </c>
      <c r="U72" s="368"/>
      <c r="V72" s="368"/>
      <c r="W72" s="262"/>
      <c r="X72" s="262"/>
      <c r="Y72" s="262"/>
      <c r="Z72" s="180"/>
      <c r="AB72" s="242" t="s">
        <v>89</v>
      </c>
      <c r="AC72" s="445">
        <v>0.059</v>
      </c>
      <c r="AD72" s="368"/>
      <c r="AE72" s="368"/>
      <c r="AF72" s="262"/>
      <c r="AG72" s="262"/>
      <c r="AH72" s="262"/>
      <c r="AI72" s="180"/>
    </row>
    <row r="73" ht="19.5" spans="1:35">
      <c r="A73" s="297" t="s">
        <v>90</v>
      </c>
      <c r="B73" s="446">
        <v>0.05</v>
      </c>
      <c r="C73" s="368"/>
      <c r="D73" s="368"/>
      <c r="E73" s="262"/>
      <c r="F73" s="262"/>
      <c r="G73" s="262"/>
      <c r="H73" s="180"/>
      <c r="J73" s="297" t="s">
        <v>90</v>
      </c>
      <c r="K73" s="446">
        <v>0.1</v>
      </c>
      <c r="L73" s="368"/>
      <c r="M73" s="368"/>
      <c r="N73" s="262"/>
      <c r="O73" s="262"/>
      <c r="P73" s="262"/>
      <c r="Q73" s="180"/>
      <c r="S73" s="297" t="s">
        <v>90</v>
      </c>
      <c r="T73" s="446">
        <f>IF(T117=AP117,2.4%,7.2%)</f>
        <v>0.072</v>
      </c>
      <c r="U73" s="368"/>
      <c r="V73" s="368"/>
      <c r="W73" s="262"/>
      <c r="X73" s="262"/>
      <c r="Y73" s="262"/>
      <c r="Z73" s="180"/>
      <c r="AB73" s="297" t="s">
        <v>90</v>
      </c>
      <c r="AC73" s="446">
        <f>IF(AC117=AP117,2.4%,7.2%)</f>
        <v>0.072</v>
      </c>
      <c r="AD73" s="368"/>
      <c r="AE73" s="368"/>
      <c r="AF73" s="262"/>
      <c r="AG73" s="262"/>
      <c r="AH73" s="262"/>
      <c r="AI73" s="180"/>
    </row>
    <row r="74" ht="19.5" spans="1:35">
      <c r="A74" s="275" t="s">
        <v>91</v>
      </c>
      <c r="B74" s="281">
        <f>(B98*B68)-(K47*K29)</f>
        <v>17490.7715151242</v>
      </c>
      <c r="C74" s="368"/>
      <c r="D74" s="368"/>
      <c r="E74" s="262"/>
      <c r="F74" s="262"/>
      <c r="G74" s="262"/>
      <c r="H74" s="180"/>
      <c r="J74" s="275" t="s">
        <v>91</v>
      </c>
      <c r="K74" s="281">
        <f>(K98*K68)-(K47*K29)</f>
        <v>48703.2190424278</v>
      </c>
      <c r="L74" s="368"/>
      <c r="M74" s="368"/>
      <c r="N74" s="262"/>
      <c r="O74" s="262"/>
      <c r="P74" s="262"/>
      <c r="Q74" s="180"/>
      <c r="S74" s="275" t="s">
        <v>91</v>
      </c>
      <c r="T74" s="281">
        <f>(T98*T68)-(K47*K29)</f>
        <v>20293.5917615192</v>
      </c>
      <c r="U74" s="368"/>
      <c r="V74" s="368"/>
      <c r="W74" s="262"/>
      <c r="X74" s="262"/>
      <c r="Y74" s="262"/>
      <c r="Z74" s="180"/>
      <c r="AB74" s="275" t="s">
        <v>91</v>
      </c>
      <c r="AC74" s="281">
        <f>(AC98*AC68)-(K47*K29)</f>
        <v>20293.5917615192</v>
      </c>
      <c r="AD74" s="368"/>
      <c r="AE74" s="368"/>
      <c r="AF74" s="262"/>
      <c r="AG74" s="262"/>
      <c r="AH74" s="262"/>
      <c r="AI74" s="180"/>
    </row>
    <row r="75" spans="1:35">
      <c r="A75" s="294" t="s">
        <v>92</v>
      </c>
      <c r="B75" s="444">
        <v>0.005</v>
      </c>
      <c r="C75" s="368"/>
      <c r="D75" s="368"/>
      <c r="E75" s="262"/>
      <c r="F75" s="262"/>
      <c r="G75" s="262"/>
      <c r="H75" s="180"/>
      <c r="J75" s="294" t="s">
        <v>92</v>
      </c>
      <c r="K75" s="444">
        <v>0.05</v>
      </c>
      <c r="L75" s="368"/>
      <c r="M75" s="368"/>
      <c r="N75" s="262"/>
      <c r="O75" s="262"/>
      <c r="P75" s="262"/>
      <c r="Q75" s="180"/>
      <c r="S75" s="294" t="s">
        <v>92</v>
      </c>
      <c r="T75" s="444">
        <v>0.005</v>
      </c>
      <c r="U75" s="368"/>
      <c r="V75" s="368"/>
      <c r="W75" s="262"/>
      <c r="X75" s="262"/>
      <c r="Y75" s="262"/>
      <c r="Z75" s="180"/>
      <c r="AB75" s="294" t="s">
        <v>92</v>
      </c>
      <c r="AC75" s="444">
        <v>0.005</v>
      </c>
      <c r="AD75" s="368"/>
      <c r="AE75" s="368"/>
      <c r="AF75" s="262"/>
      <c r="AG75" s="262"/>
      <c r="AH75" s="262"/>
      <c r="AI75" s="180"/>
    </row>
    <row r="76" spans="1:35">
      <c r="A76" s="245" t="s">
        <v>93</v>
      </c>
      <c r="B76" s="447">
        <f>B75+(B75*0.5*(K29/12-1))</f>
        <v>0.009375</v>
      </c>
      <c r="C76" s="368"/>
      <c r="D76" s="368"/>
      <c r="E76" s="262"/>
      <c r="F76" s="262"/>
      <c r="G76" s="262"/>
      <c r="H76" s="180"/>
      <c r="J76" s="245" t="s">
        <v>93</v>
      </c>
      <c r="K76" s="447">
        <f>K75+(K75*0.25*(K29/12-1))</f>
        <v>0.071875</v>
      </c>
      <c r="L76" s="368"/>
      <c r="M76" s="368"/>
      <c r="N76" s="262"/>
      <c r="O76" s="262"/>
      <c r="P76" s="262"/>
      <c r="Q76" s="180"/>
      <c r="S76" s="245" t="s">
        <v>93</v>
      </c>
      <c r="T76" s="447">
        <f>T75+(T75*0.5*(K29/12-1))</f>
        <v>0.009375</v>
      </c>
      <c r="U76" s="368"/>
      <c r="V76" s="368"/>
      <c r="W76" s="262"/>
      <c r="X76" s="262"/>
      <c r="Y76" s="262"/>
      <c r="Z76" s="180"/>
      <c r="AB76" s="245" t="s">
        <v>93</v>
      </c>
      <c r="AC76" s="447">
        <f>AC75+(AC75*0.5*(K29/12-1))</f>
        <v>0.009375</v>
      </c>
      <c r="AD76" s="368"/>
      <c r="AE76" s="368"/>
      <c r="AF76" s="262"/>
      <c r="AG76" s="262"/>
      <c r="AH76" s="262"/>
      <c r="AI76" s="180"/>
    </row>
    <row r="77" ht="19.5" spans="1:35">
      <c r="A77" s="275" t="s">
        <v>94</v>
      </c>
      <c r="B77" s="281">
        <f>(G167*B76)</f>
        <v>199.3875</v>
      </c>
      <c r="C77" s="368"/>
      <c r="D77" s="368"/>
      <c r="E77" s="262"/>
      <c r="F77" s="262"/>
      <c r="G77" s="262"/>
      <c r="H77" s="180"/>
      <c r="J77" s="275" t="s">
        <v>94</v>
      </c>
      <c r="K77" s="281">
        <f>K70*K76</f>
        <v>1504.2</v>
      </c>
      <c r="L77" s="368"/>
      <c r="M77" s="368"/>
      <c r="N77" s="262"/>
      <c r="O77" s="262"/>
      <c r="P77" s="262"/>
      <c r="Q77" s="180"/>
      <c r="S77" s="275" t="s">
        <v>94</v>
      </c>
      <c r="T77" s="281">
        <f>T70*T76</f>
        <v>196.2</v>
      </c>
      <c r="U77" s="368"/>
      <c r="V77" s="368"/>
      <c r="W77" s="262"/>
      <c r="X77" s="262"/>
      <c r="Y77" s="262"/>
      <c r="Z77" s="180"/>
      <c r="AB77" s="275" t="s">
        <v>94</v>
      </c>
      <c r="AC77" s="281">
        <f>AH167*AC76</f>
        <v>161.5734375</v>
      </c>
      <c r="AD77" s="368"/>
      <c r="AE77" s="368"/>
      <c r="AF77" s="262"/>
      <c r="AG77" s="262"/>
      <c r="AH77" s="262"/>
      <c r="AI77" s="180"/>
    </row>
    <row r="78" spans="1:35">
      <c r="A78" s="294" t="s">
        <v>95</v>
      </c>
      <c r="B78" s="444">
        <v>0</v>
      </c>
      <c r="C78" s="368"/>
      <c r="D78" s="368"/>
      <c r="E78" s="262"/>
      <c r="F78" s="262"/>
      <c r="G78" s="262"/>
      <c r="H78" s="180"/>
      <c r="J78" s="294" t="s">
        <v>95</v>
      </c>
      <c r="K78" s="444">
        <v>0</v>
      </c>
      <c r="L78" s="368"/>
      <c r="M78" s="368"/>
      <c r="N78" s="262"/>
      <c r="O78" s="262"/>
      <c r="P78" s="262"/>
      <c r="Q78" s="180"/>
      <c r="S78" s="294" t="s">
        <v>95</v>
      </c>
      <c r="T78" s="444">
        <v>0</v>
      </c>
      <c r="U78" s="368"/>
      <c r="V78" s="368"/>
      <c r="W78" s="262"/>
      <c r="X78" s="262"/>
      <c r="Y78" s="262"/>
      <c r="Z78" s="180"/>
      <c r="AB78" s="294" t="s">
        <v>95</v>
      </c>
      <c r="AC78" s="444">
        <v>0</v>
      </c>
      <c r="AD78" s="368"/>
      <c r="AE78" s="368"/>
      <c r="AF78" s="262"/>
      <c r="AG78" s="262"/>
      <c r="AH78" s="262"/>
      <c r="AI78" s="180"/>
    </row>
    <row r="79" spans="1:35">
      <c r="A79" s="242" t="s">
        <v>96</v>
      </c>
      <c r="B79" s="445">
        <v>0</v>
      </c>
      <c r="C79" s="368"/>
      <c r="D79" s="368"/>
      <c r="E79" s="262"/>
      <c r="F79" s="262"/>
      <c r="G79" s="262"/>
      <c r="H79" s="180"/>
      <c r="J79" s="242" t="s">
        <v>96</v>
      </c>
      <c r="K79" s="445">
        <v>0</v>
      </c>
      <c r="L79" s="368"/>
      <c r="M79" s="368"/>
      <c r="N79" s="262"/>
      <c r="O79" s="262"/>
      <c r="P79" s="262"/>
      <c r="Q79" s="180"/>
      <c r="S79" s="242" t="s">
        <v>96</v>
      </c>
      <c r="T79" s="445">
        <v>0</v>
      </c>
      <c r="U79" s="368"/>
      <c r="V79" s="368"/>
      <c r="W79" s="262"/>
      <c r="X79" s="262"/>
      <c r="Y79" s="262"/>
      <c r="Z79" s="180"/>
      <c r="AB79" s="242" t="s">
        <v>96</v>
      </c>
      <c r="AC79" s="445">
        <v>0</v>
      </c>
      <c r="AD79" s="368"/>
      <c r="AE79" s="368"/>
      <c r="AF79" s="262"/>
      <c r="AG79" s="262"/>
      <c r="AH79" s="262"/>
      <c r="AI79" s="180"/>
    </row>
    <row r="80" ht="19.5" spans="1:35">
      <c r="A80" s="275" t="s">
        <v>97</v>
      </c>
      <c r="B80" s="448">
        <f>B78*(1+B79)</f>
        <v>0</v>
      </c>
      <c r="C80" s="368"/>
      <c r="D80" s="368"/>
      <c r="E80" s="262"/>
      <c r="F80" s="262"/>
      <c r="G80" s="262"/>
      <c r="H80" s="180"/>
      <c r="J80" s="275" t="s">
        <v>97</v>
      </c>
      <c r="K80" s="448">
        <f>K78*(1+K79)</f>
        <v>0</v>
      </c>
      <c r="L80" s="368"/>
      <c r="M80" s="368"/>
      <c r="N80" s="262"/>
      <c r="O80" s="262"/>
      <c r="P80" s="262"/>
      <c r="Q80" s="180"/>
      <c r="S80" s="275" t="s">
        <v>97</v>
      </c>
      <c r="T80" s="448">
        <f>T78*(1+T79)</f>
        <v>0</v>
      </c>
      <c r="U80" s="368"/>
      <c r="V80" s="368"/>
      <c r="W80" s="262"/>
      <c r="X80" s="262"/>
      <c r="Y80" s="262"/>
      <c r="Z80" s="180"/>
      <c r="AB80" s="275" t="s">
        <v>97</v>
      </c>
      <c r="AC80" s="448">
        <f>AC78*(1+AC79)</f>
        <v>0</v>
      </c>
      <c r="AD80" s="368"/>
      <c r="AE80" s="368"/>
      <c r="AF80" s="262"/>
      <c r="AG80" s="262"/>
      <c r="AH80" s="262"/>
      <c r="AI80" s="180"/>
    </row>
    <row r="81" spans="1:35">
      <c r="A81" s="294" t="s">
        <v>98</v>
      </c>
      <c r="B81" s="312">
        <v>0</v>
      </c>
      <c r="C81" s="368"/>
      <c r="D81" s="368"/>
      <c r="E81" s="262"/>
      <c r="F81" s="262"/>
      <c r="G81" s="262"/>
      <c r="H81" s="180"/>
      <c r="J81" s="294" t="s">
        <v>98</v>
      </c>
      <c r="K81" s="312">
        <v>0</v>
      </c>
      <c r="L81" s="368"/>
      <c r="M81" s="368"/>
      <c r="N81" s="262"/>
      <c r="O81" s="262"/>
      <c r="P81" s="262"/>
      <c r="Q81" s="180"/>
      <c r="S81" s="294" t="s">
        <v>98</v>
      </c>
      <c r="T81" s="312">
        <v>0</v>
      </c>
      <c r="U81" s="368"/>
      <c r="V81" s="368"/>
      <c r="W81" s="262"/>
      <c r="X81" s="262"/>
      <c r="Y81" s="262"/>
      <c r="Z81" s="180"/>
      <c r="AB81" s="294" t="s">
        <v>98</v>
      </c>
      <c r="AC81" s="312">
        <v>0</v>
      </c>
      <c r="AD81" s="368"/>
      <c r="AE81" s="368"/>
      <c r="AF81" s="262"/>
      <c r="AG81" s="262"/>
      <c r="AH81" s="262"/>
      <c r="AI81" s="180"/>
    </row>
    <row r="82" spans="1:35">
      <c r="A82" s="242" t="s">
        <v>99</v>
      </c>
      <c r="B82" s="293">
        <v>0</v>
      </c>
      <c r="C82" s="368"/>
      <c r="D82" s="368"/>
      <c r="E82" s="262"/>
      <c r="F82" s="262"/>
      <c r="G82" s="262"/>
      <c r="H82" s="180"/>
      <c r="J82" s="242" t="s">
        <v>99</v>
      </c>
      <c r="K82" s="293">
        <v>0</v>
      </c>
      <c r="L82" s="368"/>
      <c r="M82" s="368"/>
      <c r="N82" s="262"/>
      <c r="O82" s="262"/>
      <c r="P82" s="262"/>
      <c r="Q82" s="180"/>
      <c r="S82" s="242" t="s">
        <v>99</v>
      </c>
      <c r="T82" s="293">
        <v>0</v>
      </c>
      <c r="U82" s="368"/>
      <c r="V82" s="368"/>
      <c r="W82" s="262"/>
      <c r="X82" s="262"/>
      <c r="Y82" s="262"/>
      <c r="Z82" s="180"/>
      <c r="AB82" s="242" t="s">
        <v>99</v>
      </c>
      <c r="AC82" s="293">
        <v>0</v>
      </c>
      <c r="AD82" s="368"/>
      <c r="AE82" s="368"/>
      <c r="AF82" s="262"/>
      <c r="AG82" s="262"/>
      <c r="AH82" s="262"/>
      <c r="AI82" s="180"/>
    </row>
    <row r="83" ht="19.5" spans="1:35">
      <c r="A83" s="275" t="s">
        <v>100</v>
      </c>
      <c r="B83" s="281">
        <f>B82*K29</f>
        <v>0</v>
      </c>
      <c r="C83" s="368"/>
      <c r="D83" s="368">
        <f>B83+B81</f>
        <v>0</v>
      </c>
      <c r="E83" s="262"/>
      <c r="F83" s="262"/>
      <c r="G83" s="262"/>
      <c r="H83" s="180"/>
      <c r="J83" s="275" t="s">
        <v>100</v>
      </c>
      <c r="K83" s="281">
        <f>K82*K29</f>
        <v>0</v>
      </c>
      <c r="L83" s="368"/>
      <c r="M83" s="368">
        <f>K83+K81</f>
        <v>0</v>
      </c>
      <c r="N83" s="262"/>
      <c r="O83" s="262"/>
      <c r="P83" s="262"/>
      <c r="Q83" s="180"/>
      <c r="S83" s="275" t="s">
        <v>100</v>
      </c>
      <c r="T83" s="281">
        <f>T82*K29</f>
        <v>0</v>
      </c>
      <c r="U83" s="368"/>
      <c r="V83" s="368">
        <f>T83+T81</f>
        <v>0</v>
      </c>
      <c r="W83" s="262"/>
      <c r="X83" s="262"/>
      <c r="Y83" s="262"/>
      <c r="Z83" s="180"/>
      <c r="AB83" s="275" t="s">
        <v>100</v>
      </c>
      <c r="AC83" s="281">
        <f>AC82*K29</f>
        <v>0</v>
      </c>
      <c r="AD83" s="368"/>
      <c r="AE83" s="368">
        <f>AC83+AC81</f>
        <v>0</v>
      </c>
      <c r="AF83" s="262"/>
      <c r="AG83" s="262"/>
      <c r="AH83" s="262"/>
      <c r="AI83" s="180"/>
    </row>
    <row r="84" spans="1:35">
      <c r="A84" s="242" t="s">
        <v>101</v>
      </c>
      <c r="B84" s="293">
        <v>0</v>
      </c>
      <c r="C84" s="368"/>
      <c r="D84" s="368">
        <f>B84</f>
        <v>0</v>
      </c>
      <c r="E84" s="262"/>
      <c r="F84" s="262"/>
      <c r="G84" s="262"/>
      <c r="H84" s="180"/>
      <c r="J84" s="242" t="s">
        <v>101</v>
      </c>
      <c r="K84" s="293">
        <v>0</v>
      </c>
      <c r="L84" s="368"/>
      <c r="M84" s="368">
        <f>K84</f>
        <v>0</v>
      </c>
      <c r="N84" s="262"/>
      <c r="O84" s="262"/>
      <c r="P84" s="262"/>
      <c r="Q84" s="180"/>
      <c r="S84" s="242" t="s">
        <v>101</v>
      </c>
      <c r="T84" s="293">
        <v>0</v>
      </c>
      <c r="U84" s="368"/>
      <c r="V84" s="368">
        <f>T84</f>
        <v>0</v>
      </c>
      <c r="W84" s="262"/>
      <c r="X84" s="262"/>
      <c r="Y84" s="262"/>
      <c r="Z84" s="180"/>
      <c r="AB84" s="242" t="s">
        <v>101</v>
      </c>
      <c r="AC84" s="293">
        <v>0</v>
      </c>
      <c r="AD84" s="368"/>
      <c r="AE84" s="368">
        <f>AC84</f>
        <v>0</v>
      </c>
      <c r="AF84" s="262"/>
      <c r="AG84" s="262"/>
      <c r="AH84" s="262"/>
      <c r="AI84" s="180"/>
    </row>
    <row r="85" ht="19.5" spans="1:35">
      <c r="A85" s="297" t="s">
        <v>102</v>
      </c>
      <c r="B85" s="313">
        <v>0</v>
      </c>
      <c r="C85" s="368"/>
      <c r="D85" s="368">
        <f>B85</f>
        <v>0</v>
      </c>
      <c r="E85" s="262"/>
      <c r="F85" s="368"/>
      <c r="G85" s="262"/>
      <c r="H85" s="180"/>
      <c r="J85" s="297" t="s">
        <v>102</v>
      </c>
      <c r="K85" s="313">
        <v>0</v>
      </c>
      <c r="L85" s="368"/>
      <c r="M85" s="368">
        <f>K85</f>
        <v>0</v>
      </c>
      <c r="N85" s="262"/>
      <c r="O85" s="262"/>
      <c r="P85" s="262"/>
      <c r="Q85" s="180"/>
      <c r="S85" s="297" t="s">
        <v>102</v>
      </c>
      <c r="T85" s="313">
        <v>0</v>
      </c>
      <c r="U85" s="368"/>
      <c r="V85" s="368">
        <f>T85</f>
        <v>0</v>
      </c>
      <c r="W85" s="262"/>
      <c r="X85" s="262"/>
      <c r="Y85" s="262"/>
      <c r="Z85" s="180"/>
      <c r="AB85" s="297" t="s">
        <v>102</v>
      </c>
      <c r="AC85" s="313">
        <v>0</v>
      </c>
      <c r="AD85" s="368"/>
      <c r="AE85" s="368">
        <f>AC85</f>
        <v>0</v>
      </c>
      <c r="AF85" s="262"/>
      <c r="AG85" s="262"/>
      <c r="AH85" s="262"/>
      <c r="AI85" s="180"/>
    </row>
    <row r="86" spans="1:35">
      <c r="A86" s="314" t="s">
        <v>103</v>
      </c>
      <c r="B86" s="315">
        <f>SUM(D74:D85)</f>
        <v>0</v>
      </c>
      <c r="C86" s="368"/>
      <c r="D86" s="368"/>
      <c r="E86" s="262"/>
      <c r="F86" s="368"/>
      <c r="G86" s="368"/>
      <c r="H86" s="180"/>
      <c r="J86" s="314" t="s">
        <v>103</v>
      </c>
      <c r="K86" s="315">
        <f>SUM(M74:M85)</f>
        <v>0</v>
      </c>
      <c r="L86" s="368"/>
      <c r="M86" s="368"/>
      <c r="N86" s="262"/>
      <c r="O86" s="262"/>
      <c r="P86" s="262"/>
      <c r="Q86" s="180"/>
      <c r="S86" s="314" t="s">
        <v>103</v>
      </c>
      <c r="T86" s="315">
        <f>SUM(V74:V85)</f>
        <v>0</v>
      </c>
      <c r="U86" s="368"/>
      <c r="V86" s="368"/>
      <c r="W86" s="262"/>
      <c r="X86" s="262"/>
      <c r="Y86" s="262"/>
      <c r="Z86" s="180"/>
      <c r="AB86" s="314" t="s">
        <v>103</v>
      </c>
      <c r="AC86" s="315">
        <f>SUM(AE74:AE85)</f>
        <v>0</v>
      </c>
      <c r="AD86" s="368"/>
      <c r="AE86" s="368"/>
      <c r="AF86" s="262"/>
      <c r="AG86" s="262"/>
      <c r="AH86" s="262"/>
      <c r="AI86" s="180"/>
    </row>
    <row r="87" spans="1:35">
      <c r="A87" s="245" t="s">
        <v>104</v>
      </c>
      <c r="B87" s="180">
        <f>B86/K29</f>
        <v>0</v>
      </c>
      <c r="C87" s="368"/>
      <c r="D87" s="368"/>
      <c r="E87" s="262"/>
      <c r="F87" s="262"/>
      <c r="G87" s="262"/>
      <c r="H87" s="180"/>
      <c r="J87" s="245" t="s">
        <v>104</v>
      </c>
      <c r="K87" s="180">
        <f>K86/K29</f>
        <v>0</v>
      </c>
      <c r="L87" s="368"/>
      <c r="M87" s="368"/>
      <c r="N87" s="262"/>
      <c r="O87" s="262"/>
      <c r="P87" s="262"/>
      <c r="Q87" s="180"/>
      <c r="S87" s="245" t="s">
        <v>104</v>
      </c>
      <c r="T87" s="180">
        <f>T86/K29</f>
        <v>0</v>
      </c>
      <c r="U87" s="368"/>
      <c r="V87" s="368"/>
      <c r="W87" s="262"/>
      <c r="X87" s="262"/>
      <c r="Y87" s="262"/>
      <c r="Z87" s="180"/>
      <c r="AB87" s="245" t="s">
        <v>104</v>
      </c>
      <c r="AC87" s="180">
        <f>AC86/K29</f>
        <v>0</v>
      </c>
      <c r="AD87" s="368"/>
      <c r="AE87" s="368"/>
      <c r="AF87" s="262"/>
      <c r="AG87" s="262"/>
      <c r="AH87" s="262"/>
      <c r="AI87" s="180"/>
    </row>
    <row r="88" ht="19.5" spans="1:35">
      <c r="A88" s="316" t="s">
        <v>105</v>
      </c>
      <c r="B88" s="278">
        <f>K49</f>
        <v>475.575757575758</v>
      </c>
      <c r="C88" s="368"/>
      <c r="D88" s="368"/>
      <c r="E88" s="262"/>
      <c r="F88" s="262"/>
      <c r="G88" s="262"/>
      <c r="H88" s="180"/>
      <c r="J88" s="316" t="s">
        <v>105</v>
      </c>
      <c r="K88" s="278">
        <f>K47</f>
        <v>0.363636363636364</v>
      </c>
      <c r="L88" s="368"/>
      <c r="M88" s="368"/>
      <c r="N88" s="262"/>
      <c r="O88" s="262"/>
      <c r="P88" s="262"/>
      <c r="Q88" s="180"/>
      <c r="S88" s="316" t="s">
        <v>105</v>
      </c>
      <c r="T88" s="278">
        <f>B60</f>
        <v>475.575757575758</v>
      </c>
      <c r="U88" s="368"/>
      <c r="V88" s="368"/>
      <c r="W88" s="262"/>
      <c r="X88" s="262"/>
      <c r="Y88" s="262"/>
      <c r="Z88" s="180"/>
      <c r="AB88" s="316" t="s">
        <v>105</v>
      </c>
      <c r="AC88" s="278">
        <f>B60</f>
        <v>475.575757575758</v>
      </c>
      <c r="AD88" s="368"/>
      <c r="AE88" s="368"/>
      <c r="AF88" s="262"/>
      <c r="AG88" s="262"/>
      <c r="AH88" s="262"/>
      <c r="AI88" s="180"/>
    </row>
    <row r="89" ht="19.5" spans="1:35">
      <c r="A89" s="245"/>
      <c r="B89" s="368"/>
      <c r="C89" s="368"/>
      <c r="D89" s="368"/>
      <c r="E89" s="262"/>
      <c r="F89" s="262"/>
      <c r="G89" s="262"/>
      <c r="H89" s="180"/>
      <c r="J89" s="245"/>
      <c r="K89" s="368"/>
      <c r="L89" s="368"/>
      <c r="M89" s="368"/>
      <c r="N89" s="262"/>
      <c r="O89" s="262"/>
      <c r="P89" s="262"/>
      <c r="Q89" s="180"/>
      <c r="S89" s="245"/>
      <c r="T89" s="368"/>
      <c r="U89" s="368"/>
      <c r="V89" s="368"/>
      <c r="W89" s="262"/>
      <c r="X89" s="262"/>
      <c r="Y89" s="262"/>
      <c r="Z89" s="180"/>
      <c r="AB89" s="245"/>
      <c r="AC89" s="368"/>
      <c r="AD89" s="368"/>
      <c r="AE89" s="368"/>
      <c r="AF89" s="262"/>
      <c r="AG89" s="262"/>
      <c r="AH89" s="262"/>
      <c r="AI89" s="180"/>
    </row>
    <row r="90" spans="1:35">
      <c r="A90" s="264" t="s">
        <v>106</v>
      </c>
      <c r="B90" s="266">
        <f>F37</f>
        <v>20268</v>
      </c>
      <c r="C90" s="368"/>
      <c r="D90" s="368"/>
      <c r="E90" s="262"/>
      <c r="F90" s="264" t="s">
        <v>106</v>
      </c>
      <c r="G90" s="266">
        <f>F37</f>
        <v>20268</v>
      </c>
      <c r="H90" s="180"/>
      <c r="J90" s="264" t="s">
        <v>106</v>
      </c>
      <c r="K90" s="266">
        <f>P167</f>
        <v>36519.004</v>
      </c>
      <c r="L90" s="368"/>
      <c r="M90" s="368"/>
      <c r="N90" s="262"/>
      <c r="O90" s="262"/>
      <c r="P90" s="262"/>
      <c r="Q90" s="180"/>
      <c r="S90" s="264" t="s">
        <v>106</v>
      </c>
      <c r="T90" s="266">
        <f>Y167</f>
        <v>17234.5</v>
      </c>
      <c r="U90" s="368"/>
      <c r="V90" s="368"/>
      <c r="W90" s="262"/>
      <c r="X90" s="262"/>
      <c r="Y90" s="262"/>
      <c r="Z90" s="180"/>
      <c r="AB90" s="264" t="s">
        <v>106</v>
      </c>
      <c r="AC90" s="266">
        <f>AH167</f>
        <v>17234.5</v>
      </c>
      <c r="AD90" s="368"/>
      <c r="AE90" s="368"/>
      <c r="AF90" s="262"/>
      <c r="AG90" s="262"/>
      <c r="AH90" s="262"/>
      <c r="AI90" s="180"/>
    </row>
    <row r="91" spans="1:35">
      <c r="A91" s="245" t="s">
        <v>107</v>
      </c>
      <c r="B91" s="180">
        <f>IF(A111="YES",A43,0)*1.2</f>
        <v>7200</v>
      </c>
      <c r="C91" s="368"/>
      <c r="D91" s="368"/>
      <c r="E91" s="262"/>
      <c r="F91" s="245" t="s">
        <v>107</v>
      </c>
      <c r="G91" s="180">
        <f>IF(A111="YES",A43,0)*1.2</f>
        <v>7200</v>
      </c>
      <c r="H91" s="180"/>
      <c r="J91" s="245" t="s">
        <v>107</v>
      </c>
      <c r="K91" s="180">
        <f>IF(J120="YES",A40,0)</f>
        <v>0</v>
      </c>
      <c r="L91" s="368"/>
      <c r="M91" s="368"/>
      <c r="N91" s="262"/>
      <c r="O91" s="262"/>
      <c r="P91" s="262"/>
      <c r="Q91" s="180"/>
      <c r="S91" s="245" t="s">
        <v>107</v>
      </c>
      <c r="T91" s="180" t="str">
        <f>A40</f>
        <v>12</v>
      </c>
      <c r="U91" s="368"/>
      <c r="V91" s="368"/>
      <c r="W91" s="262"/>
      <c r="X91" s="262"/>
      <c r="Y91" s="262"/>
      <c r="Z91" s="180"/>
      <c r="AB91" s="245" t="s">
        <v>107</v>
      </c>
      <c r="AC91" s="180" t="str">
        <f>A40</f>
        <v>12</v>
      </c>
      <c r="AD91" s="368"/>
      <c r="AE91" s="368"/>
      <c r="AF91" s="262"/>
      <c r="AG91" s="262"/>
      <c r="AH91" s="262"/>
      <c r="AI91" s="180"/>
    </row>
    <row r="92" spans="1:35">
      <c r="A92" s="245" t="s">
        <v>108</v>
      </c>
      <c r="B92" s="447">
        <f>B71+B72+B73</f>
        <v>0.115</v>
      </c>
      <c r="C92" s="368"/>
      <c r="D92" s="368"/>
      <c r="E92" s="262"/>
      <c r="F92" s="245" t="s">
        <v>108</v>
      </c>
      <c r="G92" s="317">
        <f>B72</f>
        <v>0.065</v>
      </c>
      <c r="H92" s="180"/>
      <c r="J92" s="245" t="s">
        <v>108</v>
      </c>
      <c r="K92" s="447">
        <f>K71+K72+K73</f>
        <v>0.24</v>
      </c>
      <c r="L92" s="368"/>
      <c r="M92" s="368"/>
      <c r="N92" s="262"/>
      <c r="O92" s="262"/>
      <c r="P92" s="262"/>
      <c r="Q92" s="180"/>
      <c r="S92" s="245" t="s">
        <v>108</v>
      </c>
      <c r="T92" s="447">
        <f>T71+T72+T73</f>
        <v>0.1235</v>
      </c>
      <c r="U92" s="368"/>
      <c r="V92" s="368"/>
      <c r="W92" s="262"/>
      <c r="X92" s="262"/>
      <c r="Y92" s="262"/>
      <c r="Z92" s="180"/>
      <c r="AB92" s="245" t="s">
        <v>108</v>
      </c>
      <c r="AC92" s="447">
        <f>AC71+AC72+AC73</f>
        <v>0.1235</v>
      </c>
      <c r="AD92" s="368"/>
      <c r="AE92" s="368"/>
      <c r="AF92" s="262"/>
      <c r="AG92" s="262"/>
      <c r="AH92" s="262"/>
      <c r="AI92" s="180"/>
    </row>
    <row r="93" spans="1:35">
      <c r="A93" s="245" t="s">
        <v>109</v>
      </c>
      <c r="B93" s="447">
        <f>B92/12</f>
        <v>0.00958333333333333</v>
      </c>
      <c r="C93" s="368"/>
      <c r="D93" s="368"/>
      <c r="E93" s="262"/>
      <c r="F93" s="245" t="s">
        <v>109</v>
      </c>
      <c r="G93" s="179">
        <f>G92/12</f>
        <v>0.00541666666666667</v>
      </c>
      <c r="H93" s="180"/>
      <c r="J93" s="245" t="s">
        <v>109</v>
      </c>
      <c r="K93" s="447">
        <f>K92/12</f>
        <v>0.02</v>
      </c>
      <c r="L93" s="368"/>
      <c r="M93" s="368"/>
      <c r="N93" s="262"/>
      <c r="O93" s="262"/>
      <c r="P93" s="262"/>
      <c r="Q93" s="180"/>
      <c r="S93" s="245" t="s">
        <v>109</v>
      </c>
      <c r="T93" s="447">
        <f>T92/12</f>
        <v>0.0102916666666667</v>
      </c>
      <c r="U93" s="368"/>
      <c r="V93" s="368"/>
      <c r="W93" s="262"/>
      <c r="X93" s="262"/>
      <c r="Y93" s="262"/>
      <c r="Z93" s="180"/>
      <c r="AB93" s="245" t="s">
        <v>109</v>
      </c>
      <c r="AC93" s="447">
        <f>AC92/12</f>
        <v>0.0102916666666667</v>
      </c>
      <c r="AD93" s="368"/>
      <c r="AE93" s="368"/>
      <c r="AF93" s="262"/>
      <c r="AG93" s="262"/>
      <c r="AH93" s="262"/>
      <c r="AI93" s="180"/>
    </row>
    <row r="94" spans="1:35">
      <c r="A94" s="245" t="s">
        <v>110</v>
      </c>
      <c r="B94" s="180">
        <f>IF(B91=0,(B68+B67),(B68))</f>
        <v>32</v>
      </c>
      <c r="C94" s="368"/>
      <c r="D94" s="368"/>
      <c r="E94" s="262"/>
      <c r="F94" s="245" t="s">
        <v>110</v>
      </c>
      <c r="G94" s="180">
        <f>IF(G91=0,(B68+B67),(B68))</f>
        <v>32</v>
      </c>
      <c r="H94" s="180"/>
      <c r="J94" s="245" t="s">
        <v>110</v>
      </c>
      <c r="K94" s="180">
        <f>IF(K91=0,(K68+K67),(K68))</f>
        <v>33</v>
      </c>
      <c r="L94" s="368"/>
      <c r="M94" s="368"/>
      <c r="N94" s="262"/>
      <c r="O94" s="262"/>
      <c r="P94" s="262"/>
      <c r="Q94" s="180"/>
      <c r="S94" s="245" t="s">
        <v>110</v>
      </c>
      <c r="T94" s="180">
        <f>T68</f>
        <v>32</v>
      </c>
      <c r="U94" s="368"/>
      <c r="V94" s="368"/>
      <c r="W94" s="262"/>
      <c r="X94" s="262"/>
      <c r="Y94" s="262"/>
      <c r="Z94" s="180"/>
      <c r="AB94" s="245" t="s">
        <v>110</v>
      </c>
      <c r="AC94" s="180">
        <f>AC68</f>
        <v>32</v>
      </c>
      <c r="AD94" s="368"/>
      <c r="AE94" s="368"/>
      <c r="AF94" s="262"/>
      <c r="AG94" s="262"/>
      <c r="AH94" s="262"/>
      <c r="AI94" s="180"/>
    </row>
    <row r="95" spans="1:35">
      <c r="A95" s="245" t="s">
        <v>111</v>
      </c>
      <c r="B95" s="180">
        <f>(B91/((1+B93)^(B94+1)))</f>
        <v>5255.82391109543</v>
      </c>
      <c r="C95" s="368"/>
      <c r="D95" s="368"/>
      <c r="E95" s="262"/>
      <c r="F95" s="245" t="s">
        <v>111</v>
      </c>
      <c r="G95" s="180">
        <f>(G91/((1+G93)^(G94+1)))</f>
        <v>6024.37295128565</v>
      </c>
      <c r="H95" s="180"/>
      <c r="J95" s="245" t="s">
        <v>111</v>
      </c>
      <c r="K95" s="180">
        <f>(K91/((1+K93)^(K94+1)))</f>
        <v>0</v>
      </c>
      <c r="L95" s="368"/>
      <c r="M95" s="368"/>
      <c r="N95" s="262"/>
      <c r="O95" s="262"/>
      <c r="P95" s="262"/>
      <c r="Q95" s="180"/>
      <c r="S95" s="245" t="s">
        <v>111</v>
      </c>
      <c r="T95" s="180">
        <f>(T91/((1+T93)^(T94+1)))</f>
        <v>8.55929138316766</v>
      </c>
      <c r="U95" s="368"/>
      <c r="V95" s="368"/>
      <c r="W95" s="262"/>
      <c r="X95" s="262"/>
      <c r="Y95" s="262"/>
      <c r="Z95" s="180"/>
      <c r="AB95" s="245" t="s">
        <v>111</v>
      </c>
      <c r="AC95" s="180">
        <f>(AC91/((1+AC93)^(AC94+1)))</f>
        <v>8.55929138316766</v>
      </c>
      <c r="AD95" s="368"/>
      <c r="AE95" s="368"/>
      <c r="AF95" s="262"/>
      <c r="AG95" s="262"/>
      <c r="AH95" s="262"/>
      <c r="AI95" s="180"/>
    </row>
    <row r="96" spans="1:35">
      <c r="A96" s="245" t="s">
        <v>112</v>
      </c>
      <c r="B96" s="180">
        <f>((1-(1/((1+B93)^B94)))/B93)</f>
        <v>27.4464895133802</v>
      </c>
      <c r="C96" s="368"/>
      <c r="D96" s="368"/>
      <c r="E96" s="262"/>
      <c r="F96" s="245" t="s">
        <v>112</v>
      </c>
      <c r="G96" s="180">
        <f>((1-(1/((1+G93)^G94)))/G93)</f>
        <v>29.3075648349115</v>
      </c>
      <c r="H96" s="180"/>
      <c r="J96" s="245" t="s">
        <v>112</v>
      </c>
      <c r="K96" s="180">
        <f>((1-(1/((1+K93)^K94)))/K93)</f>
        <v>23.9885635530494</v>
      </c>
      <c r="L96" s="368"/>
      <c r="M96" s="368"/>
      <c r="N96" s="262"/>
      <c r="O96" s="262"/>
      <c r="P96" s="262"/>
      <c r="Q96" s="180"/>
      <c r="S96" s="245" t="s">
        <v>112</v>
      </c>
      <c r="T96" s="180">
        <f>((1-(1/((1+T93)^T94)))/T93)</f>
        <v>27.1467145183312</v>
      </c>
      <c r="U96" s="368"/>
      <c r="V96" s="368"/>
      <c r="W96" s="262"/>
      <c r="X96" s="262"/>
      <c r="Y96" s="262"/>
      <c r="Z96" s="180"/>
      <c r="AB96" s="245" t="s">
        <v>112</v>
      </c>
      <c r="AC96" s="180">
        <f>((1-(1/((1+AC93)^AC94)))/AC93)</f>
        <v>27.1467145183312</v>
      </c>
      <c r="AD96" s="368"/>
      <c r="AE96" s="368"/>
      <c r="AF96" s="262"/>
      <c r="AG96" s="262"/>
      <c r="AH96" s="262"/>
      <c r="AI96" s="180"/>
    </row>
    <row r="97" spans="1:35">
      <c r="A97" s="245" t="s">
        <v>113</v>
      </c>
      <c r="B97" s="180">
        <f>B90-B95</f>
        <v>15012.1760889046</v>
      </c>
      <c r="C97" s="368"/>
      <c r="D97" s="368"/>
      <c r="E97" s="262"/>
      <c r="F97" s="245" t="s">
        <v>113</v>
      </c>
      <c r="G97" s="180">
        <f>G90-G95</f>
        <v>14243.6270487143</v>
      </c>
      <c r="H97" s="180"/>
      <c r="J97" s="245" t="s">
        <v>113</v>
      </c>
      <c r="K97" s="180">
        <f>K90-K95</f>
        <v>36519.004</v>
      </c>
      <c r="L97" s="368"/>
      <c r="M97" s="368"/>
      <c r="N97" s="262"/>
      <c r="O97" s="262"/>
      <c r="P97" s="262"/>
      <c r="Q97" s="180"/>
      <c r="S97" s="245" t="s">
        <v>113</v>
      </c>
      <c r="T97" s="180">
        <f>T90-T95</f>
        <v>17225.9407086168</v>
      </c>
      <c r="U97" s="368"/>
      <c r="V97" s="368"/>
      <c r="W97" s="262"/>
      <c r="X97" s="262"/>
      <c r="Y97" s="262"/>
      <c r="Z97" s="180"/>
      <c r="AB97" s="245" t="s">
        <v>113</v>
      </c>
      <c r="AC97" s="180">
        <f>AC90-AC95</f>
        <v>17225.9407086168</v>
      </c>
      <c r="AD97" s="368"/>
      <c r="AE97" s="368"/>
      <c r="AF97" s="262"/>
      <c r="AG97" s="262"/>
      <c r="AH97" s="262"/>
      <c r="AI97" s="180"/>
    </row>
    <row r="98" spans="1:35">
      <c r="A98" s="245" t="s">
        <v>114</v>
      </c>
      <c r="B98" s="180">
        <f>(B97/B96)</f>
        <v>546.961609847631</v>
      </c>
      <c r="C98" s="368"/>
      <c r="D98" s="368"/>
      <c r="E98" s="262"/>
      <c r="F98" s="245" t="s">
        <v>114</v>
      </c>
      <c r="G98" s="180">
        <f>(G97/G96)</f>
        <v>486.005136521857</v>
      </c>
      <c r="H98" s="180"/>
      <c r="J98" s="245" t="s">
        <v>114</v>
      </c>
      <c r="K98" s="180">
        <f>(K97/K96)</f>
        <v>1522.35059507587</v>
      </c>
      <c r="L98" s="368"/>
      <c r="M98" s="368"/>
      <c r="N98" s="262"/>
      <c r="O98" s="262"/>
      <c r="P98" s="262"/>
      <c r="Q98" s="180"/>
      <c r="S98" s="245" t="s">
        <v>114</v>
      </c>
      <c r="T98" s="180">
        <f>(T97/T96)</f>
        <v>634.549742547474</v>
      </c>
      <c r="U98" s="368"/>
      <c r="V98" s="368"/>
      <c r="W98" s="262"/>
      <c r="X98" s="262"/>
      <c r="Y98" s="262"/>
      <c r="Z98" s="180"/>
      <c r="AB98" s="245" t="s">
        <v>114</v>
      </c>
      <c r="AC98" s="180">
        <f>(AC97/AC96)</f>
        <v>634.549742547474</v>
      </c>
      <c r="AD98" s="368"/>
      <c r="AE98" s="368"/>
      <c r="AF98" s="262"/>
      <c r="AG98" s="262"/>
      <c r="AH98" s="262"/>
      <c r="AI98" s="180"/>
    </row>
    <row r="99" spans="1:35">
      <c r="A99" s="245" t="s">
        <v>115</v>
      </c>
      <c r="B99" s="180">
        <f>((B98*(B94))+B86)</f>
        <v>17502.7715151242</v>
      </c>
      <c r="C99" s="368"/>
      <c r="D99" s="368"/>
      <c r="E99" s="262"/>
      <c r="F99" s="245" t="s">
        <v>115</v>
      </c>
      <c r="G99" s="180">
        <f>((G98*(G94))+G86)</f>
        <v>15552.1643686994</v>
      </c>
      <c r="H99" s="180"/>
      <c r="J99" s="245" t="s">
        <v>115</v>
      </c>
      <c r="K99" s="180">
        <f>((K98*(K94))+K86)</f>
        <v>50237.5696375037</v>
      </c>
      <c r="L99" s="368"/>
      <c r="M99" s="368"/>
      <c r="N99" s="262"/>
      <c r="O99" s="262"/>
      <c r="P99" s="262"/>
      <c r="Q99" s="180"/>
      <c r="S99" s="245" t="s">
        <v>115</v>
      </c>
      <c r="T99" s="180">
        <f>(T98*(T94))+T86</f>
        <v>20305.5917615192</v>
      </c>
      <c r="U99" s="368"/>
      <c r="V99" s="368"/>
      <c r="W99" s="262"/>
      <c r="X99" s="262"/>
      <c r="Y99" s="262"/>
      <c r="Z99" s="180"/>
      <c r="AB99" s="245" t="s">
        <v>115</v>
      </c>
      <c r="AC99" s="180">
        <f>(AC98*(AC68))+AC86</f>
        <v>20305.5917615192</v>
      </c>
      <c r="AD99" s="368"/>
      <c r="AE99" s="368"/>
      <c r="AF99" s="262"/>
      <c r="AG99" s="262"/>
      <c r="AH99" s="262"/>
      <c r="AI99" s="180"/>
    </row>
    <row r="100" spans="1:35">
      <c r="A100" s="245" t="s">
        <v>116</v>
      </c>
      <c r="B100" s="180">
        <f>(((B98*(B94))+B86)/(1-B80))*B80</f>
        <v>0</v>
      </c>
      <c r="C100" s="368"/>
      <c r="D100" s="368"/>
      <c r="E100" s="262"/>
      <c r="F100" s="245" t="s">
        <v>116</v>
      </c>
      <c r="G100" s="180">
        <f>(((G98*(G94))+G86)/(1-G80))*G80</f>
        <v>0</v>
      </c>
      <c r="H100" s="180"/>
      <c r="J100" s="245" t="s">
        <v>116</v>
      </c>
      <c r="K100" s="180">
        <f>(K99/(1-K80))*K80</f>
        <v>0</v>
      </c>
      <c r="L100" s="368"/>
      <c r="M100" s="368"/>
      <c r="N100" s="262"/>
      <c r="O100" s="262"/>
      <c r="P100" s="262"/>
      <c r="Q100" s="180"/>
      <c r="S100" s="245" t="s">
        <v>116</v>
      </c>
      <c r="T100" s="180">
        <f>(T99/(1-T80))*T80</f>
        <v>0</v>
      </c>
      <c r="U100" s="368"/>
      <c r="V100" s="368"/>
      <c r="W100" s="262"/>
      <c r="X100" s="262"/>
      <c r="Y100" s="262"/>
      <c r="Z100" s="180"/>
      <c r="AB100" s="245" t="s">
        <v>116</v>
      </c>
      <c r="AC100" s="180">
        <f>(AC99/(1-AC80))*AC80</f>
        <v>0</v>
      </c>
      <c r="AD100" s="368"/>
      <c r="AE100" s="368"/>
      <c r="AF100" s="262"/>
      <c r="AG100" s="262"/>
      <c r="AH100" s="262"/>
      <c r="AI100" s="180"/>
    </row>
    <row r="101" ht="19.5" spans="1:35">
      <c r="A101" s="275" t="s">
        <v>117</v>
      </c>
      <c r="B101" s="281">
        <f>(B99+B100)</f>
        <v>17502.7715151242</v>
      </c>
      <c r="C101" s="368"/>
      <c r="D101" s="368"/>
      <c r="E101" s="262"/>
      <c r="F101" s="275" t="s">
        <v>117</v>
      </c>
      <c r="G101" s="281">
        <f>(G99+G100)</f>
        <v>15552.1643686994</v>
      </c>
      <c r="H101" s="180"/>
      <c r="J101" s="275" t="s">
        <v>117</v>
      </c>
      <c r="K101" s="281">
        <f>(K99+K100)</f>
        <v>50237.5696375037</v>
      </c>
      <c r="L101" s="368"/>
      <c r="M101" s="368"/>
      <c r="N101" s="262"/>
      <c r="O101" s="262"/>
      <c r="P101" s="262"/>
      <c r="Q101" s="180"/>
      <c r="S101" s="275" t="s">
        <v>117</v>
      </c>
      <c r="T101" s="281">
        <f>(T99+T100)</f>
        <v>20305.5917615192</v>
      </c>
      <c r="U101" s="368"/>
      <c r="V101" s="368"/>
      <c r="W101" s="262"/>
      <c r="X101" s="262"/>
      <c r="Y101" s="262"/>
      <c r="Z101" s="180"/>
      <c r="AB101" s="275" t="s">
        <v>117</v>
      </c>
      <c r="AC101" s="281">
        <f>(AC99+AC100)</f>
        <v>20305.5917615192</v>
      </c>
      <c r="AD101" s="368"/>
      <c r="AE101" s="368"/>
      <c r="AF101" s="262"/>
      <c r="AG101" s="262"/>
      <c r="AH101" s="262"/>
      <c r="AI101" s="180"/>
    </row>
    <row r="102" ht="19.5" spans="1:35">
      <c r="A102" s="245"/>
      <c r="B102" s="368"/>
      <c r="C102" s="368"/>
      <c r="D102" s="368"/>
      <c r="E102" s="262"/>
      <c r="F102" s="245"/>
      <c r="G102" s="250"/>
      <c r="H102" s="180"/>
      <c r="J102" s="245"/>
      <c r="K102" s="368"/>
      <c r="L102" s="368"/>
      <c r="M102" s="368"/>
      <c r="N102" s="262"/>
      <c r="O102" s="262"/>
      <c r="P102" s="262"/>
      <c r="Q102" s="180"/>
      <c r="S102" s="245"/>
      <c r="T102" s="368"/>
      <c r="U102" s="368"/>
      <c r="V102" s="368"/>
      <c r="W102" s="262"/>
      <c r="X102" s="262"/>
      <c r="Y102" s="262"/>
      <c r="Z102" s="180"/>
      <c r="AB102" s="245"/>
      <c r="AC102" s="368"/>
      <c r="AD102" s="368"/>
      <c r="AE102" s="368"/>
      <c r="AF102" s="262"/>
      <c r="AG102" s="262"/>
      <c r="AH102" s="262"/>
      <c r="AI102" s="180"/>
    </row>
    <row r="103" spans="1:35">
      <c r="A103" s="314" t="s">
        <v>118</v>
      </c>
      <c r="B103" s="315">
        <f>((A46*A34)+((A46*A34)*A117))/(B68)*1.2</f>
        <v>80.4375</v>
      </c>
      <c r="C103" s="368"/>
      <c r="D103" s="368"/>
      <c r="E103" s="262"/>
      <c r="F103" s="314" t="s">
        <v>118</v>
      </c>
      <c r="G103" s="318" t="str">
        <f>IF(B35="YES",((E49/B94)*(1+A117)*(C54/100)),"0")</f>
        <v>0</v>
      </c>
      <c r="H103" s="180"/>
      <c r="J103" s="314" t="s">
        <v>118</v>
      </c>
      <c r="K103" s="315">
        <f>((E40/K94)*(1+J117))*1.2</f>
        <v>0</v>
      </c>
      <c r="L103" s="368"/>
      <c r="M103" s="368"/>
      <c r="N103" s="262"/>
      <c r="O103" s="262"/>
      <c r="P103" s="262"/>
      <c r="Q103" s="180"/>
      <c r="S103" s="314" t="s">
        <v>118</v>
      </c>
      <c r="T103" s="315">
        <f>((E40/T94)*(1+S117))</f>
        <v>0</v>
      </c>
      <c r="U103" s="368"/>
      <c r="V103" s="368"/>
      <c r="W103" s="262"/>
      <c r="X103" s="262"/>
      <c r="Y103" s="262"/>
      <c r="Z103" s="180"/>
      <c r="AB103" s="314" t="s">
        <v>118</v>
      </c>
      <c r="AC103" s="315">
        <f>((E40/AC94)*(1+AB117))*1.2</f>
        <v>0</v>
      </c>
      <c r="AD103" s="368"/>
      <c r="AE103" s="368"/>
      <c r="AF103" s="262"/>
      <c r="AG103" s="262"/>
      <c r="AH103" s="262"/>
      <c r="AI103" s="180"/>
    </row>
    <row r="104" spans="1:35">
      <c r="A104" s="319" t="s">
        <v>119</v>
      </c>
      <c r="B104" s="320">
        <f>B101/(B94)</f>
        <v>546.961609847631</v>
      </c>
      <c r="C104" s="368"/>
      <c r="D104" s="368"/>
      <c r="E104" s="262"/>
      <c r="F104" s="319" t="s">
        <v>119</v>
      </c>
      <c r="G104" s="320">
        <f>G101/(G94)</f>
        <v>486.005136521857</v>
      </c>
      <c r="H104" s="180"/>
      <c r="J104" s="319" t="s">
        <v>119</v>
      </c>
      <c r="K104" s="320">
        <f>K101/(K94)</f>
        <v>1522.35059507587</v>
      </c>
      <c r="L104" s="368"/>
      <c r="M104" s="368"/>
      <c r="N104" s="262"/>
      <c r="O104" s="262"/>
      <c r="P104" s="262"/>
      <c r="Q104" s="180"/>
      <c r="S104" s="319" t="s">
        <v>119</v>
      </c>
      <c r="T104" s="320">
        <f>T101/(T94)</f>
        <v>634.549742547474</v>
      </c>
      <c r="U104" s="368"/>
      <c r="V104" s="368"/>
      <c r="W104" s="262"/>
      <c r="X104" s="262"/>
      <c r="Y104" s="262"/>
      <c r="Z104" s="180"/>
      <c r="AB104" s="319" t="s">
        <v>119</v>
      </c>
      <c r="AC104" s="320">
        <f>AC101/(AC68)</f>
        <v>634.549742547474</v>
      </c>
      <c r="AD104" s="368"/>
      <c r="AE104" s="368"/>
      <c r="AF104" s="262"/>
      <c r="AG104" s="262"/>
      <c r="AH104" s="262"/>
      <c r="AI104" s="180"/>
    </row>
    <row r="105" ht="19.5" spans="1:35">
      <c r="A105" s="321" t="s">
        <v>120</v>
      </c>
      <c r="B105" s="322">
        <f>B103+B104</f>
        <v>627.399109847631</v>
      </c>
      <c r="C105" s="368"/>
      <c r="D105" s="368"/>
      <c r="E105" s="262" t="s">
        <v>19</v>
      </c>
      <c r="F105" s="321" t="s">
        <v>120</v>
      </c>
      <c r="G105" s="322">
        <f>G103+G104</f>
        <v>486.005136521857</v>
      </c>
      <c r="H105" s="180"/>
      <c r="J105" s="321" t="s">
        <v>120</v>
      </c>
      <c r="K105" s="322">
        <f>(K103+K104)</f>
        <v>1522.35059507587</v>
      </c>
      <c r="L105" s="368"/>
      <c r="M105" s="368"/>
      <c r="N105" s="262"/>
      <c r="O105" s="262"/>
      <c r="P105" s="262"/>
      <c r="Q105" s="180"/>
      <c r="S105" s="321" t="s">
        <v>120</v>
      </c>
      <c r="T105" s="322">
        <f>T103+T104</f>
        <v>634.549742547474</v>
      </c>
      <c r="U105" s="368"/>
      <c r="V105" s="368"/>
      <c r="W105" s="262"/>
      <c r="X105" s="262"/>
      <c r="Y105" s="262"/>
      <c r="Z105" s="180"/>
      <c r="AB105" s="321" t="s">
        <v>120</v>
      </c>
      <c r="AC105" s="322">
        <f>AC103+AC104</f>
        <v>634.549742547474</v>
      </c>
      <c r="AD105" s="368"/>
      <c r="AE105" s="368"/>
      <c r="AF105" s="262"/>
      <c r="AG105" s="262"/>
      <c r="AH105" s="262"/>
      <c r="AI105" s="180"/>
    </row>
    <row r="106" ht="19.5" spans="1:35">
      <c r="A106" s="275"/>
      <c r="B106" s="276"/>
      <c r="C106" s="276"/>
      <c r="D106" s="276"/>
      <c r="E106" s="323"/>
      <c r="F106" s="323"/>
      <c r="G106" s="323"/>
      <c r="H106" s="281"/>
      <c r="J106" s="275"/>
      <c r="K106" s="276"/>
      <c r="L106" s="276"/>
      <c r="M106" s="276"/>
      <c r="N106" s="323"/>
      <c r="O106" s="323"/>
      <c r="P106" s="323"/>
      <c r="Q106" s="281"/>
      <c r="S106" s="275"/>
      <c r="T106" s="276"/>
      <c r="U106" s="276"/>
      <c r="V106" s="276"/>
      <c r="W106" s="323"/>
      <c r="X106" s="323"/>
      <c r="Y106" s="323"/>
      <c r="Z106" s="281"/>
      <c r="AB106" s="275"/>
      <c r="AC106" s="276"/>
      <c r="AD106" s="276"/>
      <c r="AE106" s="276"/>
      <c r="AF106" s="323"/>
      <c r="AG106" s="323"/>
      <c r="AH106" s="323"/>
      <c r="AI106" s="281"/>
    </row>
    <row r="107" ht="14.25" spans="1:35">
      <c r="A107" s="262"/>
      <c r="B107" s="262"/>
      <c r="C107" s="262"/>
      <c r="D107" s="262"/>
      <c r="E107" s="262"/>
      <c r="F107" s="262"/>
      <c r="G107" s="262"/>
      <c r="H107" s="262"/>
      <c r="J107" s="262"/>
      <c r="K107" s="262"/>
      <c r="L107" s="262"/>
      <c r="M107" s="262"/>
      <c r="N107" s="262"/>
      <c r="O107" s="262"/>
      <c r="P107" s="262"/>
      <c r="Q107" s="262"/>
      <c r="S107" s="262"/>
      <c r="T107" s="262"/>
      <c r="U107" s="262"/>
      <c r="V107" s="262"/>
      <c r="W107" s="262"/>
      <c r="X107" s="262"/>
      <c r="Y107" s="262"/>
      <c r="Z107" s="262"/>
      <c r="AB107" s="262"/>
      <c r="AC107" s="262"/>
      <c r="AD107" s="262"/>
      <c r="AE107" s="262"/>
      <c r="AF107" s="262"/>
      <c r="AG107" s="262"/>
      <c r="AH107" s="262"/>
      <c r="AI107" s="262"/>
    </row>
    <row r="108" ht="15" spans="1:35">
      <c r="A108" s="262">
        <v>0.2</v>
      </c>
      <c r="B108" s="262">
        <v>0</v>
      </c>
      <c r="C108" s="262"/>
      <c r="D108" s="262">
        <v>0</v>
      </c>
      <c r="E108" s="262"/>
      <c r="F108" s="262"/>
      <c r="G108" s="262"/>
      <c r="H108" s="262"/>
      <c r="J108" s="262"/>
      <c r="K108" s="262"/>
      <c r="L108" s="262"/>
      <c r="M108" s="262"/>
      <c r="N108" s="262"/>
      <c r="O108" s="262"/>
      <c r="P108" s="262"/>
      <c r="Q108" s="262"/>
      <c r="S108" s="262"/>
      <c r="T108" s="262"/>
      <c r="U108" s="262"/>
      <c r="V108" s="262"/>
      <c r="W108" s="262"/>
      <c r="X108" s="262"/>
      <c r="Y108" s="262"/>
      <c r="Z108" s="262"/>
      <c r="AB108" s="262"/>
      <c r="AC108" s="262"/>
      <c r="AD108" s="262"/>
      <c r="AE108" s="262"/>
      <c r="AF108" s="262"/>
      <c r="AG108" s="262"/>
      <c r="AH108" s="262"/>
      <c r="AI108" s="262"/>
    </row>
    <row r="109" ht="47.25" customHeight="1" spans="1:35">
      <c r="A109" s="241" t="s">
        <v>122</v>
      </c>
      <c r="B109" s="241"/>
      <c r="C109" s="241"/>
      <c r="D109" s="241"/>
      <c r="E109" s="241"/>
      <c r="F109" s="241"/>
      <c r="G109" s="241"/>
      <c r="H109" s="241"/>
      <c r="J109" s="263" t="s">
        <v>123</v>
      </c>
      <c r="K109" s="263"/>
      <c r="L109" s="263"/>
      <c r="M109" s="263"/>
      <c r="N109" s="263"/>
      <c r="O109" s="263"/>
      <c r="P109" s="263"/>
      <c r="Q109" s="263"/>
      <c r="S109" s="241" t="s">
        <v>124</v>
      </c>
      <c r="T109" s="241"/>
      <c r="U109" s="241"/>
      <c r="V109" s="241"/>
      <c r="W109" s="241"/>
      <c r="X109" s="241"/>
      <c r="Y109" s="241"/>
      <c r="Z109" s="241"/>
      <c r="AB109" s="241" t="s">
        <v>125</v>
      </c>
      <c r="AC109" s="241"/>
      <c r="AD109" s="241"/>
      <c r="AE109" s="241"/>
      <c r="AF109" s="241"/>
      <c r="AG109" s="241"/>
      <c r="AH109" s="241"/>
      <c r="AI109" s="241"/>
    </row>
    <row r="110" spans="1:35">
      <c r="A110" s="264"/>
      <c r="B110" s="265"/>
      <c r="C110" s="265"/>
      <c r="D110" s="265"/>
      <c r="E110" s="290"/>
      <c r="F110" s="290"/>
      <c r="G110" s="290"/>
      <c r="H110" s="324"/>
      <c r="J110" s="264"/>
      <c r="K110" s="265"/>
      <c r="L110" s="265"/>
      <c r="M110" s="265"/>
      <c r="N110" s="290"/>
      <c r="O110" s="290"/>
      <c r="P110" s="290"/>
      <c r="Q110" s="324"/>
      <c r="S110" s="264"/>
      <c r="T110" s="265"/>
      <c r="U110" s="265"/>
      <c r="V110" s="265"/>
      <c r="W110" s="290"/>
      <c r="X110" s="290"/>
      <c r="Y110" s="290"/>
      <c r="Z110" s="324"/>
      <c r="AB110" s="264"/>
      <c r="AC110" s="265"/>
      <c r="AD110" s="265"/>
      <c r="AE110" s="265"/>
      <c r="AF110" s="290"/>
      <c r="AG110" s="290"/>
      <c r="AH110" s="290"/>
      <c r="AI110" s="324"/>
    </row>
    <row r="111" ht="24" spans="1:35">
      <c r="A111" s="269" t="s">
        <v>18</v>
      </c>
      <c r="B111" s="269">
        <v>0</v>
      </c>
      <c r="C111" s="269"/>
      <c r="D111" s="269"/>
      <c r="E111" s="269">
        <v>0</v>
      </c>
      <c r="F111" s="269"/>
      <c r="G111" s="269"/>
      <c r="H111" s="269"/>
      <c r="J111" s="269" t="s">
        <v>126</v>
      </c>
      <c r="K111" s="269"/>
      <c r="L111" s="269"/>
      <c r="M111" s="269"/>
      <c r="N111" s="269"/>
      <c r="O111" s="269"/>
      <c r="P111" s="269"/>
      <c r="Q111" s="269"/>
      <c r="S111" s="269" t="s">
        <v>126</v>
      </c>
      <c r="T111" s="269"/>
      <c r="U111" s="269"/>
      <c r="V111" s="269"/>
      <c r="W111" s="269"/>
      <c r="X111" s="269"/>
      <c r="Y111" s="269"/>
      <c r="Z111" s="269"/>
      <c r="AB111" s="269" t="s">
        <v>126</v>
      </c>
      <c r="AC111" s="269"/>
      <c r="AD111" s="269"/>
      <c r="AE111" s="269"/>
      <c r="AF111" s="269"/>
      <c r="AG111" s="269"/>
      <c r="AH111" s="269"/>
      <c r="AI111" s="269"/>
    </row>
    <row r="112" ht="19.5" spans="1:35">
      <c r="A112" s="245"/>
      <c r="B112" s="368"/>
      <c r="C112" s="368"/>
      <c r="D112" s="368"/>
      <c r="E112" s="262"/>
      <c r="F112" s="262"/>
      <c r="G112" s="262"/>
      <c r="H112" s="325"/>
      <c r="J112" s="245"/>
      <c r="K112" s="368"/>
      <c r="L112" s="368"/>
      <c r="M112" s="368"/>
      <c r="N112" s="262"/>
      <c r="O112" s="262"/>
      <c r="P112" s="262"/>
      <c r="Q112" s="325"/>
      <c r="S112" s="245"/>
      <c r="T112" s="368"/>
      <c r="U112" s="368"/>
      <c r="V112" s="368"/>
      <c r="W112" s="262"/>
      <c r="X112" s="262"/>
      <c r="Y112" s="262"/>
      <c r="Z112" s="325"/>
      <c r="AB112" s="245"/>
      <c r="AC112" s="368"/>
      <c r="AD112" s="368"/>
      <c r="AE112" s="368"/>
      <c r="AF112" s="262"/>
      <c r="AG112" s="262"/>
      <c r="AH112" s="262"/>
      <c r="AI112" s="325"/>
    </row>
    <row r="113" ht="19.5" spans="1:35">
      <c r="A113" s="245" t="s">
        <v>127</v>
      </c>
      <c r="B113" s="368" t="s">
        <v>23</v>
      </c>
      <c r="C113" s="368"/>
      <c r="D113" s="368"/>
      <c r="E113" s="368" t="s">
        <v>128</v>
      </c>
      <c r="F113" s="368"/>
      <c r="G113" s="368"/>
      <c r="H113" s="180"/>
      <c r="J113" s="245" t="s">
        <v>127</v>
      </c>
      <c r="K113" s="368" t="s">
        <v>23</v>
      </c>
      <c r="L113" s="368"/>
      <c r="M113" s="368"/>
      <c r="N113" s="368" t="s">
        <v>128</v>
      </c>
      <c r="O113" s="368"/>
      <c r="P113" s="368"/>
      <c r="Q113" s="180"/>
      <c r="S113" s="245" t="s">
        <v>127</v>
      </c>
      <c r="T113" s="368" t="s">
        <v>23</v>
      </c>
      <c r="U113" s="368"/>
      <c r="V113" s="368"/>
      <c r="W113" s="368" t="s">
        <v>128</v>
      </c>
      <c r="X113" s="368"/>
      <c r="Y113" s="368"/>
      <c r="Z113" s="180"/>
      <c r="AB113" s="245" t="s">
        <v>127</v>
      </c>
      <c r="AC113" s="368" t="s">
        <v>23</v>
      </c>
      <c r="AD113" s="368"/>
      <c r="AE113" s="368"/>
      <c r="AF113" s="368" t="s">
        <v>128</v>
      </c>
      <c r="AG113" s="368"/>
      <c r="AH113" s="368"/>
      <c r="AI113" s="180"/>
    </row>
    <row r="114" ht="19.5" spans="1:35">
      <c r="A114" s="267" t="s">
        <v>129</v>
      </c>
      <c r="B114" s="133" t="s">
        <v>130</v>
      </c>
      <c r="C114" s="133"/>
      <c r="D114" s="133"/>
      <c r="E114" s="48" t="s">
        <v>18</v>
      </c>
      <c r="F114" s="48"/>
      <c r="G114" s="48"/>
      <c r="H114" s="325"/>
      <c r="J114" s="267" t="s">
        <v>129</v>
      </c>
      <c r="K114" s="141" t="s">
        <v>130</v>
      </c>
      <c r="L114" s="141"/>
      <c r="M114" s="141"/>
      <c r="N114" s="48" t="s">
        <v>18</v>
      </c>
      <c r="O114" s="48"/>
      <c r="P114" s="48"/>
      <c r="Q114" s="325"/>
      <c r="S114" s="267" t="s">
        <v>129</v>
      </c>
      <c r="T114" s="133" t="s">
        <v>130</v>
      </c>
      <c r="U114" s="133"/>
      <c r="V114" s="133"/>
      <c r="W114" s="48" t="s">
        <v>18</v>
      </c>
      <c r="X114" s="48"/>
      <c r="Y114" s="48"/>
      <c r="Z114" s="325"/>
      <c r="AB114" s="267" t="s">
        <v>129</v>
      </c>
      <c r="AC114" s="133" t="s">
        <v>130</v>
      </c>
      <c r="AD114" s="133"/>
      <c r="AE114" s="133"/>
      <c r="AF114" s="48" t="s">
        <v>18</v>
      </c>
      <c r="AG114" s="48"/>
      <c r="AH114" s="48"/>
      <c r="AI114" s="325"/>
    </row>
    <row r="115" spans="1:35">
      <c r="A115" s="245"/>
      <c r="B115" s="368"/>
      <c r="C115" s="368"/>
      <c r="D115" s="262"/>
      <c r="E115" s="368"/>
      <c r="F115" s="368"/>
      <c r="G115" s="262"/>
      <c r="H115" s="180"/>
      <c r="J115" s="245"/>
      <c r="K115" s="368"/>
      <c r="L115" s="368"/>
      <c r="M115" s="262"/>
      <c r="N115" s="368"/>
      <c r="O115" s="368"/>
      <c r="P115" s="262"/>
      <c r="Q115" s="180"/>
      <c r="S115" s="245"/>
      <c r="T115" s="368"/>
      <c r="U115" s="368"/>
      <c r="V115" s="262"/>
      <c r="W115" s="368"/>
      <c r="X115" s="368"/>
      <c r="Y115" s="262"/>
      <c r="Z115" s="180"/>
      <c r="AB115" s="245"/>
      <c r="AC115" s="368"/>
      <c r="AD115" s="368"/>
      <c r="AE115" s="262"/>
      <c r="AF115" s="368"/>
      <c r="AG115" s="368"/>
      <c r="AH115" s="262"/>
      <c r="AI115" s="180"/>
    </row>
    <row r="116" ht="19.5" spans="1:35">
      <c r="A116" s="245" t="s">
        <v>131</v>
      </c>
      <c r="B116" s="368" t="s">
        <v>132</v>
      </c>
      <c r="C116" s="368"/>
      <c r="D116" s="262"/>
      <c r="E116" s="368" t="s">
        <v>133</v>
      </c>
      <c r="F116" s="368"/>
      <c r="G116" s="262"/>
      <c r="H116" s="325"/>
      <c r="J116" s="245" t="s">
        <v>131</v>
      </c>
      <c r="K116" s="368" t="s">
        <v>132</v>
      </c>
      <c r="L116" s="368"/>
      <c r="M116" s="262"/>
      <c r="N116" s="368" t="s">
        <v>133</v>
      </c>
      <c r="O116" s="368"/>
      <c r="P116" s="262"/>
      <c r="Q116" s="325"/>
      <c r="S116" s="245" t="s">
        <v>131</v>
      </c>
      <c r="T116" s="368" t="s">
        <v>132</v>
      </c>
      <c r="U116" s="368"/>
      <c r="V116" s="262"/>
      <c r="W116" s="368" t="s">
        <v>133</v>
      </c>
      <c r="X116" s="368"/>
      <c r="Y116" s="262"/>
      <c r="Z116" s="325"/>
      <c r="AB116" s="245" t="s">
        <v>131</v>
      </c>
      <c r="AC116" s="368" t="s">
        <v>132</v>
      </c>
      <c r="AD116" s="368"/>
      <c r="AE116" s="262"/>
      <c r="AF116" s="368" t="s">
        <v>133</v>
      </c>
      <c r="AG116" s="368"/>
      <c r="AH116" s="262"/>
      <c r="AI116" s="325"/>
    </row>
    <row r="117" ht="19.5" spans="1:42">
      <c r="A117" s="326">
        <v>0.3</v>
      </c>
      <c r="B117" s="102" t="s">
        <v>134</v>
      </c>
      <c r="C117" s="102"/>
      <c r="D117" s="102"/>
      <c r="E117" s="327">
        <f>B92</f>
        <v>0.115</v>
      </c>
      <c r="F117" s="327"/>
      <c r="G117" s="327"/>
      <c r="H117" s="271"/>
      <c r="J117" s="326">
        <v>0.3</v>
      </c>
      <c r="K117" s="102" t="s">
        <v>134</v>
      </c>
      <c r="L117" s="102"/>
      <c r="M117" s="102"/>
      <c r="N117" s="327">
        <f>K92</f>
        <v>0.24</v>
      </c>
      <c r="O117" s="327"/>
      <c r="P117" s="327"/>
      <c r="Q117" s="271"/>
      <c r="S117" s="326">
        <v>0.2</v>
      </c>
      <c r="T117" s="102" t="s">
        <v>135</v>
      </c>
      <c r="U117" s="102"/>
      <c r="V117" s="102"/>
      <c r="W117" s="327">
        <f>T92</f>
        <v>0.1235</v>
      </c>
      <c r="X117" s="327"/>
      <c r="Y117" s="327"/>
      <c r="Z117" s="271"/>
      <c r="AB117" s="326">
        <v>0.2</v>
      </c>
      <c r="AC117" s="102" t="s">
        <v>135</v>
      </c>
      <c r="AD117" s="102"/>
      <c r="AE117" s="102"/>
      <c r="AF117" s="349">
        <f>AC92</f>
        <v>0.1235</v>
      </c>
      <c r="AG117" s="349"/>
      <c r="AH117" s="349"/>
      <c r="AI117" s="271"/>
      <c r="AP117" s="239" t="s">
        <v>136</v>
      </c>
    </row>
    <row r="118" spans="1:42">
      <c r="A118" s="245"/>
      <c r="B118" s="368"/>
      <c r="C118" s="368"/>
      <c r="D118" s="368"/>
      <c r="E118" s="368"/>
      <c r="F118" s="368"/>
      <c r="G118" s="368"/>
      <c r="H118" s="180"/>
      <c r="J118" s="245"/>
      <c r="K118" s="368"/>
      <c r="L118" s="368"/>
      <c r="M118" s="368"/>
      <c r="N118" s="368"/>
      <c r="O118" s="368"/>
      <c r="P118" s="368"/>
      <c r="Q118" s="180"/>
      <c r="S118" s="245"/>
      <c r="T118" s="368"/>
      <c r="U118" s="368"/>
      <c r="V118" s="368"/>
      <c r="W118" s="368"/>
      <c r="X118" s="368"/>
      <c r="Y118" s="368"/>
      <c r="Z118" s="180"/>
      <c r="AB118" s="245"/>
      <c r="AC118" s="368"/>
      <c r="AD118" s="368"/>
      <c r="AE118" s="368"/>
      <c r="AF118" s="368"/>
      <c r="AG118" s="368"/>
      <c r="AH118" s="368"/>
      <c r="AI118" s="180"/>
      <c r="AP118" s="239" t="s">
        <v>134</v>
      </c>
    </row>
    <row r="119" ht="19.5" spans="1:35">
      <c r="A119" s="245" t="s">
        <v>137</v>
      </c>
      <c r="B119" s="368" t="s">
        <v>138</v>
      </c>
      <c r="C119" s="368"/>
      <c r="D119" s="368"/>
      <c r="E119" s="368" t="s">
        <v>139</v>
      </c>
      <c r="F119" s="368"/>
      <c r="G119" s="368"/>
      <c r="H119" s="180"/>
      <c r="J119" s="245" t="s">
        <v>137</v>
      </c>
      <c r="K119" s="368" t="s">
        <v>138</v>
      </c>
      <c r="L119" s="368"/>
      <c r="M119" s="368"/>
      <c r="N119" s="368" t="s">
        <v>139</v>
      </c>
      <c r="O119" s="368"/>
      <c r="P119" s="368"/>
      <c r="Q119" s="180"/>
      <c r="S119" s="245" t="s">
        <v>137</v>
      </c>
      <c r="T119" s="368" t="s">
        <v>138</v>
      </c>
      <c r="U119" s="368"/>
      <c r="V119" s="368"/>
      <c r="W119" s="368" t="s">
        <v>139</v>
      </c>
      <c r="X119" s="368"/>
      <c r="Y119" s="368"/>
      <c r="Z119" s="180"/>
      <c r="AB119" s="245" t="s">
        <v>137</v>
      </c>
      <c r="AC119" s="368" t="s">
        <v>138</v>
      </c>
      <c r="AD119" s="368"/>
      <c r="AE119" s="368"/>
      <c r="AF119" s="368" t="s">
        <v>139</v>
      </c>
      <c r="AG119" s="368"/>
      <c r="AH119" s="368"/>
      <c r="AI119" s="180"/>
    </row>
    <row r="120" ht="19.5" spans="1:35">
      <c r="A120" s="268" t="s">
        <v>18</v>
      </c>
      <c r="B120" s="102">
        <v>0</v>
      </c>
      <c r="C120" s="102"/>
      <c r="D120" s="102"/>
      <c r="E120" s="102">
        <v>0</v>
      </c>
      <c r="F120" s="102"/>
      <c r="G120" s="102"/>
      <c r="H120" s="325"/>
      <c r="J120" s="268" t="s">
        <v>19</v>
      </c>
      <c r="K120" s="102">
        <v>1000</v>
      </c>
      <c r="L120" s="102"/>
      <c r="M120" s="102"/>
      <c r="N120" s="102">
        <v>0</v>
      </c>
      <c r="O120" s="102"/>
      <c r="P120" s="102"/>
      <c r="Q120" s="325"/>
      <c r="S120" s="268" t="s">
        <v>18</v>
      </c>
      <c r="T120" s="102">
        <v>1000</v>
      </c>
      <c r="U120" s="102"/>
      <c r="V120" s="102"/>
      <c r="W120" s="102">
        <v>0</v>
      </c>
      <c r="X120" s="102"/>
      <c r="Y120" s="102"/>
      <c r="Z120" s="325"/>
      <c r="AB120" s="268" t="s">
        <v>18</v>
      </c>
      <c r="AC120" s="102">
        <v>1000</v>
      </c>
      <c r="AD120" s="102"/>
      <c r="AE120" s="102"/>
      <c r="AF120" s="102">
        <v>0</v>
      </c>
      <c r="AG120" s="102"/>
      <c r="AH120" s="102"/>
      <c r="AI120" s="325"/>
    </row>
    <row r="121" spans="1:35">
      <c r="A121" s="245"/>
      <c r="B121" s="368"/>
      <c r="C121" s="368"/>
      <c r="D121" s="368"/>
      <c r="E121" s="368"/>
      <c r="F121" s="368"/>
      <c r="G121" s="262"/>
      <c r="H121" s="325"/>
      <c r="J121" s="245"/>
      <c r="K121" s="368"/>
      <c r="L121" s="368"/>
      <c r="M121" s="368"/>
      <c r="N121" s="368"/>
      <c r="O121" s="368"/>
      <c r="P121" s="262"/>
      <c r="Q121" s="325"/>
      <c r="S121" s="245"/>
      <c r="T121" s="368"/>
      <c r="U121" s="368"/>
      <c r="V121" s="368"/>
      <c r="W121" s="368"/>
      <c r="X121" s="368"/>
      <c r="Y121" s="262"/>
      <c r="Z121" s="325"/>
      <c r="AB121" s="245"/>
      <c r="AC121" s="368"/>
      <c r="AD121" s="368"/>
      <c r="AE121" s="368"/>
      <c r="AF121" s="368"/>
      <c r="AG121" s="368"/>
      <c r="AH121" s="262"/>
      <c r="AI121" s="325"/>
    </row>
    <row r="122" ht="19.5" spans="1:35">
      <c r="A122" s="128" t="s">
        <v>140</v>
      </c>
      <c r="B122" s="368" t="s">
        <v>141</v>
      </c>
      <c r="C122" s="368"/>
      <c r="D122" s="368"/>
      <c r="E122" s="368" t="s">
        <v>142</v>
      </c>
      <c r="F122" s="368"/>
      <c r="G122" s="262"/>
      <c r="H122" s="325"/>
      <c r="J122" s="128" t="s">
        <v>140</v>
      </c>
      <c r="K122" s="368" t="s">
        <v>141</v>
      </c>
      <c r="L122" s="368"/>
      <c r="M122" s="368"/>
      <c r="N122" s="368" t="s">
        <v>142</v>
      </c>
      <c r="O122" s="368"/>
      <c r="P122" s="262"/>
      <c r="Q122" s="325"/>
      <c r="S122" s="128" t="s">
        <v>140</v>
      </c>
      <c r="T122" s="368" t="s">
        <v>141</v>
      </c>
      <c r="U122" s="368"/>
      <c r="V122" s="368"/>
      <c r="W122" s="368" t="s">
        <v>142</v>
      </c>
      <c r="X122" s="368"/>
      <c r="Y122" s="262"/>
      <c r="Z122" s="325"/>
      <c r="AB122" s="128" t="s">
        <v>140</v>
      </c>
      <c r="AC122" s="368" t="s">
        <v>141</v>
      </c>
      <c r="AD122" s="368"/>
      <c r="AE122" s="368"/>
      <c r="AF122" s="368" t="s">
        <v>142</v>
      </c>
      <c r="AG122" s="368"/>
      <c r="AH122" s="262"/>
      <c r="AI122" s="325"/>
    </row>
    <row r="123" ht="19.5" spans="1:35">
      <c r="A123" s="134">
        <f>B120+E120</f>
        <v>0</v>
      </c>
      <c r="B123" s="102" t="s">
        <v>143</v>
      </c>
      <c r="C123" s="102"/>
      <c r="D123" s="102"/>
      <c r="E123" s="102">
        <v>0</v>
      </c>
      <c r="F123" s="102"/>
      <c r="G123" s="102"/>
      <c r="H123" s="325"/>
      <c r="J123" s="134">
        <f>K120+N120</f>
        <v>1000</v>
      </c>
      <c r="K123" s="102">
        <v>239.99</v>
      </c>
      <c r="L123" s="102"/>
      <c r="M123" s="102"/>
      <c r="N123" s="102">
        <v>0</v>
      </c>
      <c r="O123" s="102"/>
      <c r="P123" s="102"/>
      <c r="Q123" s="325"/>
      <c r="S123" s="134">
        <f>T120+W120</f>
        <v>1000</v>
      </c>
      <c r="T123" s="102">
        <v>199.99</v>
      </c>
      <c r="U123" s="102"/>
      <c r="V123" s="102"/>
      <c r="W123" s="102">
        <v>0</v>
      </c>
      <c r="X123" s="102"/>
      <c r="Y123" s="102"/>
      <c r="Z123" s="325"/>
      <c r="AB123" s="134">
        <f>AC120+AF120</f>
        <v>1000</v>
      </c>
      <c r="AC123" s="102">
        <v>239.99</v>
      </c>
      <c r="AD123" s="102"/>
      <c r="AE123" s="102"/>
      <c r="AF123" s="102">
        <v>0</v>
      </c>
      <c r="AG123" s="102"/>
      <c r="AH123" s="102"/>
      <c r="AI123" s="325"/>
    </row>
    <row r="124" ht="14.25" spans="1:35">
      <c r="A124" s="328"/>
      <c r="B124" s="262"/>
      <c r="C124" s="262"/>
      <c r="D124" s="262"/>
      <c r="E124" s="262"/>
      <c r="F124" s="262"/>
      <c r="G124" s="262"/>
      <c r="H124" s="325"/>
      <c r="J124" s="328"/>
      <c r="K124" s="262"/>
      <c r="L124" s="262"/>
      <c r="M124" s="262"/>
      <c r="N124" s="262"/>
      <c r="O124" s="262"/>
      <c r="P124" s="262"/>
      <c r="Q124" s="325"/>
      <c r="S124" s="328"/>
      <c r="T124" s="262"/>
      <c r="U124" s="262"/>
      <c r="V124" s="262"/>
      <c r="W124" s="262"/>
      <c r="X124" s="262"/>
      <c r="Y124" s="262"/>
      <c r="Z124" s="325"/>
      <c r="AB124" s="328"/>
      <c r="AC124" s="262"/>
      <c r="AD124" s="262"/>
      <c r="AE124" s="262"/>
      <c r="AF124" s="262"/>
      <c r="AG124" s="262"/>
      <c r="AH124" s="262"/>
      <c r="AI124" s="325"/>
    </row>
    <row r="125" ht="14.25" spans="1:35">
      <c r="A125" s="328"/>
      <c r="B125" s="262"/>
      <c r="C125" s="262"/>
      <c r="D125" s="262"/>
      <c r="E125" s="262"/>
      <c r="F125" s="262"/>
      <c r="G125" s="262"/>
      <c r="H125" s="325"/>
      <c r="J125" s="328"/>
      <c r="K125" s="262"/>
      <c r="L125" s="262"/>
      <c r="M125" s="262"/>
      <c r="N125" s="262"/>
      <c r="O125" s="262"/>
      <c r="P125" s="262"/>
      <c r="Q125" s="325"/>
      <c r="S125" s="328"/>
      <c r="T125" s="262"/>
      <c r="U125" s="262"/>
      <c r="V125" s="262"/>
      <c r="W125" s="262"/>
      <c r="X125" s="262"/>
      <c r="Y125" s="262"/>
      <c r="Z125" s="325"/>
      <c r="AB125" s="328"/>
      <c r="AC125" s="262"/>
      <c r="AD125" s="262"/>
      <c r="AE125" s="262"/>
      <c r="AF125" s="262"/>
      <c r="AG125" s="262"/>
      <c r="AH125" s="262"/>
      <c r="AI125" s="325"/>
    </row>
    <row r="126" ht="24" spans="1:35">
      <c r="A126" s="269" t="s">
        <v>144</v>
      </c>
      <c r="B126" s="269"/>
      <c r="C126" s="269"/>
      <c r="D126" s="269"/>
      <c r="E126" s="269"/>
      <c r="F126" s="269"/>
      <c r="G126" s="269"/>
      <c r="H126" s="269"/>
      <c r="J126" s="269" t="s">
        <v>144</v>
      </c>
      <c r="K126" s="269"/>
      <c r="L126" s="269"/>
      <c r="M126" s="269"/>
      <c r="N126" s="269"/>
      <c r="O126" s="269"/>
      <c r="P126" s="269"/>
      <c r="Q126" s="269"/>
      <c r="S126" s="269" t="s">
        <v>144</v>
      </c>
      <c r="T126" s="269"/>
      <c r="U126" s="269"/>
      <c r="V126" s="269"/>
      <c r="W126" s="269"/>
      <c r="X126" s="269"/>
      <c r="Y126" s="269"/>
      <c r="Z126" s="269"/>
      <c r="AB126" s="269" t="s">
        <v>144</v>
      </c>
      <c r="AC126" s="269"/>
      <c r="AD126" s="269"/>
      <c r="AE126" s="269"/>
      <c r="AF126" s="269"/>
      <c r="AG126" s="269"/>
      <c r="AH126" s="269"/>
      <c r="AI126" s="269"/>
    </row>
    <row r="127" ht="15.75" spans="1:35">
      <c r="A127" s="328"/>
      <c r="B127" s="262"/>
      <c r="C127" s="262"/>
      <c r="D127" s="262"/>
      <c r="E127" s="262"/>
      <c r="F127" s="262"/>
      <c r="G127" s="262"/>
      <c r="H127" s="325"/>
      <c r="J127" s="328"/>
      <c r="K127" s="262"/>
      <c r="L127" s="262"/>
      <c r="M127" s="262"/>
      <c r="N127" s="262"/>
      <c r="O127" s="262"/>
      <c r="P127" s="262"/>
      <c r="Q127" s="325"/>
      <c r="S127" s="328"/>
      <c r="T127" s="262"/>
      <c r="U127" s="262"/>
      <c r="V127" s="262"/>
      <c r="W127" s="262"/>
      <c r="X127" s="262"/>
      <c r="Y127" s="262"/>
      <c r="Z127" s="325"/>
      <c r="AB127" s="328"/>
      <c r="AC127" s="262"/>
      <c r="AD127" s="262"/>
      <c r="AE127" s="262"/>
      <c r="AF127" s="262"/>
      <c r="AG127" s="262"/>
      <c r="AH127" s="262"/>
      <c r="AI127" s="325"/>
    </row>
    <row r="128" ht="21" spans="1:35">
      <c r="A128" s="294"/>
      <c r="B128" s="329" t="s">
        <v>145</v>
      </c>
      <c r="C128" s="329"/>
      <c r="D128" s="329" t="s">
        <v>146</v>
      </c>
      <c r="E128" s="329"/>
      <c r="F128" s="329" t="s">
        <v>147</v>
      </c>
      <c r="G128" s="329"/>
      <c r="H128" s="330" t="s">
        <v>148</v>
      </c>
      <c r="J128" s="294"/>
      <c r="K128" s="329" t="s">
        <v>145</v>
      </c>
      <c r="L128" s="329"/>
      <c r="M128" s="329" t="s">
        <v>146</v>
      </c>
      <c r="N128" s="329"/>
      <c r="O128" s="329" t="s">
        <v>147</v>
      </c>
      <c r="P128" s="329"/>
      <c r="Q128" s="330" t="s">
        <v>148</v>
      </c>
      <c r="S128" s="294"/>
      <c r="T128" s="329" t="s">
        <v>145</v>
      </c>
      <c r="U128" s="329"/>
      <c r="V128" s="329" t="s">
        <v>146</v>
      </c>
      <c r="W128" s="329"/>
      <c r="X128" s="329" t="s">
        <v>147</v>
      </c>
      <c r="Y128" s="329"/>
      <c r="Z128" s="330" t="s">
        <v>148</v>
      </c>
      <c r="AB128" s="294"/>
      <c r="AC128" s="329" t="s">
        <v>145</v>
      </c>
      <c r="AD128" s="329"/>
      <c r="AE128" s="329" t="s">
        <v>146</v>
      </c>
      <c r="AF128" s="329"/>
      <c r="AG128" s="329" t="s">
        <v>147</v>
      </c>
      <c r="AH128" s="329"/>
      <c r="AI128" s="330" t="s">
        <v>148</v>
      </c>
    </row>
    <row r="129" ht="21.75" spans="1:35">
      <c r="A129" s="242"/>
      <c r="B129" s="331" t="s">
        <v>149</v>
      </c>
      <c r="C129" s="332" t="s">
        <v>150</v>
      </c>
      <c r="D129" s="331" t="s">
        <v>149</v>
      </c>
      <c r="E129" s="333" t="s">
        <v>150</v>
      </c>
      <c r="F129" s="331" t="s">
        <v>149</v>
      </c>
      <c r="G129" s="333" t="s">
        <v>150</v>
      </c>
      <c r="H129" s="334"/>
      <c r="J129" s="242"/>
      <c r="K129" s="331" t="s">
        <v>149</v>
      </c>
      <c r="L129" s="332" t="s">
        <v>150</v>
      </c>
      <c r="M129" s="331" t="s">
        <v>149</v>
      </c>
      <c r="N129" s="333" t="s">
        <v>150</v>
      </c>
      <c r="O129" s="331" t="s">
        <v>149</v>
      </c>
      <c r="P129" s="333" t="s">
        <v>150</v>
      </c>
      <c r="Q129" s="334"/>
      <c r="S129" s="242"/>
      <c r="T129" s="331" t="s">
        <v>149</v>
      </c>
      <c r="U129" s="332" t="s">
        <v>150</v>
      </c>
      <c r="V129" s="331" t="s">
        <v>149</v>
      </c>
      <c r="W129" s="333" t="s">
        <v>150</v>
      </c>
      <c r="X129" s="331" t="s">
        <v>149</v>
      </c>
      <c r="Y129" s="333" t="s">
        <v>150</v>
      </c>
      <c r="Z129" s="334"/>
      <c r="AB129" s="242"/>
      <c r="AC129" s="331" t="s">
        <v>149</v>
      </c>
      <c r="AD129" s="332" t="s">
        <v>150</v>
      </c>
      <c r="AE129" s="331" t="s">
        <v>149</v>
      </c>
      <c r="AF129" s="333" t="s">
        <v>150</v>
      </c>
      <c r="AG129" s="331" t="s">
        <v>149</v>
      </c>
      <c r="AH129" s="333" t="s">
        <v>150</v>
      </c>
      <c r="AI129" s="334"/>
    </row>
    <row r="130" ht="19.5" spans="1:35">
      <c r="A130" s="264" t="s">
        <v>151</v>
      </c>
      <c r="B130" s="264">
        <f>B3</f>
        <v>16745</v>
      </c>
      <c r="C130" s="268">
        <f>B130</f>
        <v>16745</v>
      </c>
      <c r="D130" s="264">
        <f>D3</f>
        <v>0</v>
      </c>
      <c r="E130" s="268">
        <f>D130</f>
        <v>0</v>
      </c>
      <c r="F130" s="264">
        <f>F3</f>
        <v>0</v>
      </c>
      <c r="G130" s="268">
        <f>F130</f>
        <v>0</v>
      </c>
      <c r="H130" s="337">
        <f>H3</f>
        <v>0</v>
      </c>
      <c r="J130" s="264" t="s">
        <v>151</v>
      </c>
      <c r="K130" s="264">
        <f>B3</f>
        <v>16745</v>
      </c>
      <c r="L130" s="268">
        <v>28629.17</v>
      </c>
      <c r="M130" s="264">
        <f>D3</f>
        <v>0</v>
      </c>
      <c r="N130" s="268">
        <f>M130</f>
        <v>0</v>
      </c>
      <c r="O130" s="264">
        <f>F3</f>
        <v>0</v>
      </c>
      <c r="P130" s="268">
        <f>O130</f>
        <v>0</v>
      </c>
      <c r="Q130" s="337">
        <f>H3</f>
        <v>0</v>
      </c>
      <c r="S130" s="264" t="s">
        <v>151</v>
      </c>
      <c r="T130" s="264">
        <f>B3</f>
        <v>16745</v>
      </c>
      <c r="U130" s="268">
        <f>T130</f>
        <v>16745</v>
      </c>
      <c r="V130" s="264">
        <f>D3</f>
        <v>0</v>
      </c>
      <c r="W130" s="268">
        <f>V130</f>
        <v>0</v>
      </c>
      <c r="X130" s="264">
        <f>F3</f>
        <v>0</v>
      </c>
      <c r="Y130" s="268">
        <f>X130</f>
        <v>0</v>
      </c>
      <c r="Z130" s="337">
        <f>H3</f>
        <v>0</v>
      </c>
      <c r="AB130" s="264" t="s">
        <v>151</v>
      </c>
      <c r="AC130" s="264">
        <f>B3</f>
        <v>16745</v>
      </c>
      <c r="AD130" s="268">
        <f>AC130</f>
        <v>16745</v>
      </c>
      <c r="AE130" s="264">
        <f>D3</f>
        <v>0</v>
      </c>
      <c r="AF130" s="268">
        <f>AE130</f>
        <v>0</v>
      </c>
      <c r="AG130" s="264">
        <f>F3</f>
        <v>0</v>
      </c>
      <c r="AH130" s="268">
        <f>AG130</f>
        <v>0</v>
      </c>
      <c r="AI130" s="337">
        <f>H3</f>
        <v>0</v>
      </c>
    </row>
    <row r="131" ht="19.5" spans="1:35">
      <c r="A131" s="245" t="s">
        <v>152</v>
      </c>
      <c r="B131" s="449">
        <f>B4</f>
        <v>0</v>
      </c>
      <c r="C131" s="450">
        <f>B131</f>
        <v>0</v>
      </c>
      <c r="D131" s="449">
        <f>D4</f>
        <v>0</v>
      </c>
      <c r="E131" s="451">
        <f>D131</f>
        <v>0</v>
      </c>
      <c r="F131" s="449">
        <f>F4</f>
        <v>0</v>
      </c>
      <c r="G131" s="451">
        <f>F131</f>
        <v>0</v>
      </c>
      <c r="H131" s="435"/>
      <c r="J131" s="245" t="s">
        <v>152</v>
      </c>
      <c r="K131" s="449">
        <f>B4</f>
        <v>0</v>
      </c>
      <c r="L131" s="451">
        <v>0</v>
      </c>
      <c r="M131" s="449">
        <f>D4</f>
        <v>0</v>
      </c>
      <c r="N131" s="451">
        <f>M131</f>
        <v>0</v>
      </c>
      <c r="O131" s="449">
        <f>F4</f>
        <v>0</v>
      </c>
      <c r="P131" s="451">
        <f>O131</f>
        <v>0</v>
      </c>
      <c r="Q131" s="435"/>
      <c r="S131" s="245" t="s">
        <v>152</v>
      </c>
      <c r="T131" s="449">
        <f>B4</f>
        <v>0</v>
      </c>
      <c r="U131" s="451">
        <v>0.25</v>
      </c>
      <c r="V131" s="449">
        <f>D4</f>
        <v>0</v>
      </c>
      <c r="W131" s="451">
        <f>V131</f>
        <v>0</v>
      </c>
      <c r="X131" s="449">
        <f>F4</f>
        <v>0</v>
      </c>
      <c r="Y131" s="451">
        <f>X131</f>
        <v>0</v>
      </c>
      <c r="Z131" s="435"/>
      <c r="AB131" s="245" t="s">
        <v>152</v>
      </c>
      <c r="AC131" s="449">
        <f>B4</f>
        <v>0</v>
      </c>
      <c r="AD131" s="451">
        <v>0.25</v>
      </c>
      <c r="AE131" s="449">
        <f>D4</f>
        <v>0</v>
      </c>
      <c r="AF131" s="451">
        <f>AE131</f>
        <v>0</v>
      </c>
      <c r="AG131" s="449">
        <f>F4</f>
        <v>0</v>
      </c>
      <c r="AH131" s="451">
        <f>AG131</f>
        <v>0</v>
      </c>
      <c r="AI131" s="435"/>
    </row>
    <row r="132" ht="19.5" spans="1:35">
      <c r="A132" s="245" t="s">
        <v>153</v>
      </c>
      <c r="B132" s="245">
        <f>B5</f>
        <v>0</v>
      </c>
      <c r="C132" s="268">
        <f>B132</f>
        <v>0</v>
      </c>
      <c r="D132" s="245">
        <f>D5</f>
        <v>0</v>
      </c>
      <c r="E132" s="268">
        <f>D132</f>
        <v>0</v>
      </c>
      <c r="F132" s="245">
        <f>F5</f>
        <v>0</v>
      </c>
      <c r="G132" s="268">
        <f>F132</f>
        <v>0</v>
      </c>
      <c r="H132" s="180"/>
      <c r="J132" s="245" t="s">
        <v>153</v>
      </c>
      <c r="K132" s="245">
        <f>B5</f>
        <v>0</v>
      </c>
      <c r="L132" s="268">
        <v>0</v>
      </c>
      <c r="M132" s="245">
        <f>D5</f>
        <v>0</v>
      </c>
      <c r="N132" s="268">
        <f>M132</f>
        <v>0</v>
      </c>
      <c r="O132" s="245">
        <f>F5</f>
        <v>0</v>
      </c>
      <c r="P132" s="268">
        <f>O132</f>
        <v>0</v>
      </c>
      <c r="Q132" s="180"/>
      <c r="S132" s="245" t="s">
        <v>153</v>
      </c>
      <c r="T132" s="245">
        <f>B5</f>
        <v>0</v>
      </c>
      <c r="U132" s="268">
        <v>0</v>
      </c>
      <c r="V132" s="245">
        <f>D5</f>
        <v>0</v>
      </c>
      <c r="W132" s="268">
        <f>V132</f>
        <v>0</v>
      </c>
      <c r="X132" s="245">
        <f>F5</f>
        <v>0</v>
      </c>
      <c r="Y132" s="268">
        <f>X132</f>
        <v>0</v>
      </c>
      <c r="Z132" s="180"/>
      <c r="AB132" s="245" t="s">
        <v>153</v>
      </c>
      <c r="AC132" s="245">
        <f>B5</f>
        <v>0</v>
      </c>
      <c r="AD132" s="268">
        <v>0</v>
      </c>
      <c r="AE132" s="245">
        <f>D5</f>
        <v>0</v>
      </c>
      <c r="AF132" s="268">
        <f>AE132</f>
        <v>0</v>
      </c>
      <c r="AG132" s="245">
        <f>F5</f>
        <v>0</v>
      </c>
      <c r="AH132" s="268">
        <f>AG132</f>
        <v>0</v>
      </c>
      <c r="AI132" s="180"/>
    </row>
    <row r="133" spans="1:35">
      <c r="A133" s="245" t="s">
        <v>154</v>
      </c>
      <c r="B133" s="245">
        <f>(B130*B131)+B132</f>
        <v>0</v>
      </c>
      <c r="C133" s="266">
        <f>(C130*C131/100)+C132</f>
        <v>0</v>
      </c>
      <c r="D133" s="245">
        <f>(D130*D131)+D132</f>
        <v>0</v>
      </c>
      <c r="E133" s="266">
        <f>(E130*E131/100)+E132</f>
        <v>0</v>
      </c>
      <c r="F133" s="245">
        <f>(F130*F131)+F132</f>
        <v>0</v>
      </c>
      <c r="G133" s="266">
        <f>(G130*G131/100)+G132</f>
        <v>0</v>
      </c>
      <c r="H133" s="180"/>
      <c r="J133" s="245" t="s">
        <v>154</v>
      </c>
      <c r="K133" s="245">
        <f t="shared" ref="K133:P133" si="0">(K130*K131)+K132</f>
        <v>0</v>
      </c>
      <c r="L133" s="266">
        <f t="shared" si="0"/>
        <v>0</v>
      </c>
      <c r="M133" s="245">
        <f t="shared" si="0"/>
        <v>0</v>
      </c>
      <c r="N133" s="266">
        <f t="shared" si="0"/>
        <v>0</v>
      </c>
      <c r="O133" s="245">
        <f t="shared" si="0"/>
        <v>0</v>
      </c>
      <c r="P133" s="266">
        <f t="shared" si="0"/>
        <v>0</v>
      </c>
      <c r="Q133" s="180"/>
      <c r="S133" s="245" t="s">
        <v>154</v>
      </c>
      <c r="T133" s="245">
        <f t="shared" ref="T133:Y133" si="1">(T130*T131)+T132</f>
        <v>0</v>
      </c>
      <c r="U133" s="266">
        <f t="shared" si="1"/>
        <v>4186.25</v>
      </c>
      <c r="V133" s="245">
        <f t="shared" si="1"/>
        <v>0</v>
      </c>
      <c r="W133" s="266">
        <f t="shared" si="1"/>
        <v>0</v>
      </c>
      <c r="X133" s="245">
        <f t="shared" si="1"/>
        <v>0</v>
      </c>
      <c r="Y133" s="266">
        <f t="shared" si="1"/>
        <v>0</v>
      </c>
      <c r="Z133" s="180"/>
      <c r="AB133" s="245" t="s">
        <v>154</v>
      </c>
      <c r="AC133" s="245">
        <f t="shared" ref="AC133:AH133" si="2">(AC130*AC131)+AC132</f>
        <v>0</v>
      </c>
      <c r="AD133" s="266">
        <f t="shared" si="2"/>
        <v>4186.25</v>
      </c>
      <c r="AE133" s="245">
        <f t="shared" si="2"/>
        <v>0</v>
      </c>
      <c r="AF133" s="266">
        <f t="shared" si="2"/>
        <v>0</v>
      </c>
      <c r="AG133" s="245">
        <f t="shared" si="2"/>
        <v>0</v>
      </c>
      <c r="AH133" s="266">
        <f t="shared" si="2"/>
        <v>0</v>
      </c>
      <c r="AI133" s="180"/>
    </row>
    <row r="134" ht="19.5" spans="1:35">
      <c r="A134" s="275" t="s">
        <v>155</v>
      </c>
      <c r="B134" s="275">
        <f t="shared" ref="B134:G134" si="3">B130-B133</f>
        <v>16745</v>
      </c>
      <c r="C134" s="281">
        <f t="shared" si="3"/>
        <v>16745</v>
      </c>
      <c r="D134" s="275">
        <f t="shared" si="3"/>
        <v>0</v>
      </c>
      <c r="E134" s="281">
        <f t="shared" si="3"/>
        <v>0</v>
      </c>
      <c r="F134" s="275">
        <f t="shared" si="3"/>
        <v>0</v>
      </c>
      <c r="G134" s="281">
        <f t="shared" si="3"/>
        <v>0</v>
      </c>
      <c r="H134" s="281"/>
      <c r="J134" s="275" t="s">
        <v>155</v>
      </c>
      <c r="K134" s="275">
        <f t="shared" ref="K134:P134" si="4">K130-K133</f>
        <v>16745</v>
      </c>
      <c r="L134" s="281">
        <f t="shared" si="4"/>
        <v>28629.17</v>
      </c>
      <c r="M134" s="275">
        <f t="shared" si="4"/>
        <v>0</v>
      </c>
      <c r="N134" s="281">
        <f t="shared" si="4"/>
        <v>0</v>
      </c>
      <c r="O134" s="275">
        <f t="shared" si="4"/>
        <v>0</v>
      </c>
      <c r="P134" s="281">
        <f t="shared" si="4"/>
        <v>0</v>
      </c>
      <c r="Q134" s="281"/>
      <c r="S134" s="275" t="s">
        <v>155</v>
      </c>
      <c r="T134" s="275">
        <f t="shared" ref="T134:Y134" si="5">T130-T133</f>
        <v>16745</v>
      </c>
      <c r="U134" s="281">
        <f t="shared" si="5"/>
        <v>12558.75</v>
      </c>
      <c r="V134" s="275">
        <f t="shared" si="5"/>
        <v>0</v>
      </c>
      <c r="W134" s="281">
        <f t="shared" si="5"/>
        <v>0</v>
      </c>
      <c r="X134" s="275">
        <f t="shared" si="5"/>
        <v>0</v>
      </c>
      <c r="Y134" s="281">
        <f t="shared" si="5"/>
        <v>0</v>
      </c>
      <c r="Z134" s="281"/>
      <c r="AB134" s="275" t="s">
        <v>155</v>
      </c>
      <c r="AC134" s="275">
        <f t="shared" ref="AC134:AH134" si="6">AC130-AC133</f>
        <v>16745</v>
      </c>
      <c r="AD134" s="281">
        <f t="shared" si="6"/>
        <v>12558.75</v>
      </c>
      <c r="AE134" s="275">
        <f t="shared" si="6"/>
        <v>0</v>
      </c>
      <c r="AF134" s="281">
        <f t="shared" si="6"/>
        <v>0</v>
      </c>
      <c r="AG134" s="275">
        <f t="shared" si="6"/>
        <v>0</v>
      </c>
      <c r="AH134" s="281">
        <f t="shared" si="6"/>
        <v>0</v>
      </c>
      <c r="AI134" s="281"/>
    </row>
    <row r="135" spans="1:35">
      <c r="A135" s="245"/>
      <c r="B135" s="368"/>
      <c r="C135" s="368"/>
      <c r="D135" s="368"/>
      <c r="E135" s="368"/>
      <c r="F135" s="368"/>
      <c r="G135" s="368"/>
      <c r="H135" s="180"/>
      <c r="J135" s="245"/>
      <c r="K135" s="368"/>
      <c r="L135" s="368"/>
      <c r="M135" s="368"/>
      <c r="N135" s="368"/>
      <c r="O135" s="368"/>
      <c r="P135" s="368"/>
      <c r="Q135" s="180"/>
      <c r="S135" s="245"/>
      <c r="T135" s="368"/>
      <c r="U135" s="368"/>
      <c r="V135" s="368"/>
      <c r="W135" s="368"/>
      <c r="X135" s="368"/>
      <c r="Y135" s="368"/>
      <c r="Z135" s="180"/>
      <c r="AB135" s="245"/>
      <c r="AC135" s="368"/>
      <c r="AD135" s="368"/>
      <c r="AE135" s="368"/>
      <c r="AF135" s="368"/>
      <c r="AG135" s="368"/>
      <c r="AH135" s="368"/>
      <c r="AI135" s="180"/>
    </row>
    <row r="136" ht="21" spans="1:35">
      <c r="A136" s="342"/>
      <c r="B136" s="452"/>
      <c r="C136" s="452"/>
      <c r="D136" s="452"/>
      <c r="E136" s="452"/>
      <c r="F136" s="452"/>
      <c r="G136" s="436" t="s">
        <v>149</v>
      </c>
      <c r="H136" s="344" t="s">
        <v>150</v>
      </c>
      <c r="J136" s="342"/>
      <c r="K136" s="452"/>
      <c r="L136" s="452"/>
      <c r="M136" s="452"/>
      <c r="N136" s="452"/>
      <c r="O136" s="452"/>
      <c r="P136" s="436" t="s">
        <v>149</v>
      </c>
      <c r="Q136" s="344" t="s">
        <v>150</v>
      </c>
      <c r="S136" s="342"/>
      <c r="T136" s="452"/>
      <c r="U136" s="452"/>
      <c r="V136" s="452"/>
      <c r="W136" s="452"/>
      <c r="X136" s="452"/>
      <c r="Y136" s="436" t="s">
        <v>149</v>
      </c>
      <c r="Z136" s="344" t="s">
        <v>150</v>
      </c>
      <c r="AB136" s="342"/>
      <c r="AC136" s="452"/>
      <c r="AD136" s="452"/>
      <c r="AE136" s="452"/>
      <c r="AF136" s="452"/>
      <c r="AG136" s="452"/>
      <c r="AH136" s="436" t="s">
        <v>149</v>
      </c>
      <c r="AI136" s="344" t="s">
        <v>150</v>
      </c>
    </row>
    <row r="137" spans="1:35">
      <c r="A137" s="345" t="s">
        <v>156</v>
      </c>
      <c r="B137" s="346"/>
      <c r="C137" s="346"/>
      <c r="D137" s="346"/>
      <c r="E137" s="346"/>
      <c r="F137" s="346"/>
      <c r="G137" s="347">
        <f>H130</f>
        <v>0</v>
      </c>
      <c r="H137" s="348">
        <f>SUM(H140:H142)</f>
        <v>0</v>
      </c>
      <c r="J137" s="345" t="s">
        <v>156</v>
      </c>
      <c r="K137" s="346"/>
      <c r="L137" s="346"/>
      <c r="M137" s="346"/>
      <c r="N137" s="346"/>
      <c r="O137" s="346"/>
      <c r="P137" s="347">
        <f>Q130</f>
        <v>0</v>
      </c>
      <c r="Q137" s="348">
        <f>SUM(Q140:Q142)</f>
        <v>0</v>
      </c>
      <c r="S137" s="345" t="s">
        <v>156</v>
      </c>
      <c r="T137" s="346"/>
      <c r="U137" s="346"/>
      <c r="V137" s="346"/>
      <c r="W137" s="346"/>
      <c r="X137" s="346"/>
      <c r="Y137" s="347">
        <f>Z130</f>
        <v>0</v>
      </c>
      <c r="Z137" s="348">
        <f>SUM(Z140:Z142)</f>
        <v>0</v>
      </c>
      <c r="AB137" s="345" t="s">
        <v>156</v>
      </c>
      <c r="AC137" s="346"/>
      <c r="AD137" s="346"/>
      <c r="AE137" s="346"/>
      <c r="AF137" s="346"/>
      <c r="AG137" s="346"/>
      <c r="AH137" s="347">
        <f>AI130</f>
        <v>0</v>
      </c>
      <c r="AI137" s="348">
        <f>SUM(AI140:AI142)</f>
        <v>0</v>
      </c>
    </row>
    <row r="138" spans="1:35">
      <c r="A138" s="245"/>
      <c r="B138" s="368"/>
      <c r="C138" s="368"/>
      <c r="D138" s="368"/>
      <c r="E138" s="368"/>
      <c r="F138" s="368"/>
      <c r="G138" s="389"/>
      <c r="H138" s="351"/>
      <c r="J138" s="245"/>
      <c r="K138" s="368"/>
      <c r="L138" s="368"/>
      <c r="M138" s="368"/>
      <c r="N138" s="368"/>
      <c r="O138" s="368"/>
      <c r="P138" s="389"/>
      <c r="Q138" s="351"/>
      <c r="S138" s="245"/>
      <c r="T138" s="368"/>
      <c r="U138" s="368"/>
      <c r="V138" s="368"/>
      <c r="W138" s="368"/>
      <c r="X138" s="368"/>
      <c r="Y138" s="389"/>
      <c r="Z138" s="351"/>
      <c r="AB138" s="245"/>
      <c r="AC138" s="368"/>
      <c r="AD138" s="368"/>
      <c r="AE138" s="368"/>
      <c r="AF138" s="368"/>
      <c r="AG138" s="368"/>
      <c r="AH138" s="389"/>
      <c r="AI138" s="351"/>
    </row>
    <row r="139" ht="19.5" spans="1:35">
      <c r="A139" s="352" t="s">
        <v>157</v>
      </c>
      <c r="B139" s="350" t="s">
        <v>158</v>
      </c>
      <c r="C139" s="350"/>
      <c r="D139" s="350" t="s">
        <v>159</v>
      </c>
      <c r="E139" s="350"/>
      <c r="F139" s="350" t="s">
        <v>153</v>
      </c>
      <c r="G139" s="350"/>
      <c r="H139" s="351" t="s">
        <v>150</v>
      </c>
      <c r="J139" s="352" t="s">
        <v>157</v>
      </c>
      <c r="K139" s="454" t="s">
        <v>158</v>
      </c>
      <c r="L139" s="454"/>
      <c r="M139" s="350" t="s">
        <v>159</v>
      </c>
      <c r="N139" s="350"/>
      <c r="O139" s="350" t="s">
        <v>153</v>
      </c>
      <c r="P139" s="350"/>
      <c r="Q139" s="351" t="s">
        <v>150</v>
      </c>
      <c r="S139" s="352" t="s">
        <v>157</v>
      </c>
      <c r="T139" s="350" t="s">
        <v>158</v>
      </c>
      <c r="U139" s="350"/>
      <c r="V139" s="350" t="s">
        <v>159</v>
      </c>
      <c r="W139" s="350"/>
      <c r="X139" s="350" t="s">
        <v>153</v>
      </c>
      <c r="Y139" s="350"/>
      <c r="Z139" s="351" t="s">
        <v>150</v>
      </c>
      <c r="AB139" s="352" t="s">
        <v>157</v>
      </c>
      <c r="AC139" s="350" t="s">
        <v>158</v>
      </c>
      <c r="AD139" s="350"/>
      <c r="AE139" s="350" t="s">
        <v>159</v>
      </c>
      <c r="AF139" s="350"/>
      <c r="AG139" s="350" t="s">
        <v>153</v>
      </c>
      <c r="AH139" s="350"/>
      <c r="AI139" s="351" t="s">
        <v>150</v>
      </c>
    </row>
    <row r="140" ht="19.5" spans="1:35">
      <c r="A140" s="245" t="s">
        <v>160</v>
      </c>
      <c r="B140" s="184">
        <f>G137</f>
        <v>0</v>
      </c>
      <c r="C140" s="184"/>
      <c r="D140" s="353">
        <v>0</v>
      </c>
      <c r="E140" s="353"/>
      <c r="F140" s="184">
        <v>0</v>
      </c>
      <c r="G140" s="184"/>
      <c r="H140" s="144">
        <f>(B140-(B140*D140))-F140</f>
        <v>0</v>
      </c>
      <c r="J140" s="245" t="s">
        <v>160</v>
      </c>
      <c r="K140" s="184">
        <f>P137</f>
        <v>0</v>
      </c>
      <c r="L140" s="184"/>
      <c r="M140" s="353">
        <v>0</v>
      </c>
      <c r="N140" s="353"/>
      <c r="O140" s="184">
        <v>0</v>
      </c>
      <c r="P140" s="184"/>
      <c r="Q140" s="144">
        <f>(K140-(K140*M140))-O140</f>
        <v>0</v>
      </c>
      <c r="S140" s="245" t="s">
        <v>160</v>
      </c>
      <c r="T140" s="184">
        <f>Y137</f>
        <v>0</v>
      </c>
      <c r="U140" s="184"/>
      <c r="V140" s="353">
        <v>0</v>
      </c>
      <c r="W140" s="353"/>
      <c r="X140" s="184">
        <v>0</v>
      </c>
      <c r="Y140" s="184"/>
      <c r="Z140" s="144">
        <f>(T140-(T140*V140))-X140</f>
        <v>0</v>
      </c>
      <c r="AB140" s="245" t="s">
        <v>160</v>
      </c>
      <c r="AC140" s="184">
        <f>AH137</f>
        <v>0</v>
      </c>
      <c r="AD140" s="184"/>
      <c r="AE140" s="353">
        <v>0</v>
      </c>
      <c r="AF140" s="353"/>
      <c r="AG140" s="184">
        <v>0</v>
      </c>
      <c r="AH140" s="184"/>
      <c r="AI140" s="144">
        <f>(AC140-(AC140*AE140))-AG140</f>
        <v>0</v>
      </c>
    </row>
    <row r="141" ht="19.5" spans="1:35">
      <c r="A141" s="245" t="s">
        <v>161</v>
      </c>
      <c r="B141" s="184">
        <v>0</v>
      </c>
      <c r="C141" s="184"/>
      <c r="D141" s="353">
        <v>0</v>
      </c>
      <c r="E141" s="353"/>
      <c r="F141" s="184">
        <v>0</v>
      </c>
      <c r="G141" s="184"/>
      <c r="H141" s="144">
        <f>(B141-(B141*D141))-F141</f>
        <v>0</v>
      </c>
      <c r="J141" s="245" t="s">
        <v>161</v>
      </c>
      <c r="K141" s="184">
        <v>0</v>
      </c>
      <c r="L141" s="184"/>
      <c r="M141" s="353">
        <v>0</v>
      </c>
      <c r="N141" s="353"/>
      <c r="O141" s="184">
        <v>0</v>
      </c>
      <c r="P141" s="184"/>
      <c r="Q141" s="144">
        <f>(K141-(K141*M141))-O141</f>
        <v>0</v>
      </c>
      <c r="S141" s="245" t="s">
        <v>161</v>
      </c>
      <c r="T141" s="184">
        <v>0</v>
      </c>
      <c r="U141" s="184"/>
      <c r="V141" s="353">
        <v>0</v>
      </c>
      <c r="W141" s="353"/>
      <c r="X141" s="184">
        <v>0</v>
      </c>
      <c r="Y141" s="184"/>
      <c r="Z141" s="144">
        <f>(T141-(T141*V141))-X141</f>
        <v>0</v>
      </c>
      <c r="AB141" s="245" t="s">
        <v>161</v>
      </c>
      <c r="AC141" s="184">
        <v>0</v>
      </c>
      <c r="AD141" s="184"/>
      <c r="AE141" s="353">
        <v>0</v>
      </c>
      <c r="AF141" s="353"/>
      <c r="AG141" s="184">
        <v>0</v>
      </c>
      <c r="AH141" s="184"/>
      <c r="AI141" s="144">
        <f>(AC141-(AC141*AE141))-AG141</f>
        <v>0</v>
      </c>
    </row>
    <row r="142" ht="19.5" spans="1:35">
      <c r="A142" s="245" t="s">
        <v>162</v>
      </c>
      <c r="B142" s="184">
        <v>0</v>
      </c>
      <c r="C142" s="184"/>
      <c r="D142" s="353">
        <v>0</v>
      </c>
      <c r="E142" s="353"/>
      <c r="F142" s="184">
        <v>0</v>
      </c>
      <c r="G142" s="184"/>
      <c r="H142" s="144">
        <f>(B142-(B142*D142))-F142</f>
        <v>0</v>
      </c>
      <c r="J142" s="245" t="s">
        <v>162</v>
      </c>
      <c r="K142" s="184">
        <v>0</v>
      </c>
      <c r="L142" s="184"/>
      <c r="M142" s="353">
        <v>0</v>
      </c>
      <c r="N142" s="353"/>
      <c r="O142" s="184">
        <v>0</v>
      </c>
      <c r="P142" s="184"/>
      <c r="Q142" s="144">
        <f>(K142-(K142*M142))-O142</f>
        <v>0</v>
      </c>
      <c r="S142" s="245" t="s">
        <v>162</v>
      </c>
      <c r="T142" s="184">
        <v>0</v>
      </c>
      <c r="U142" s="184"/>
      <c r="V142" s="353">
        <v>0</v>
      </c>
      <c r="W142" s="353"/>
      <c r="X142" s="184">
        <v>0</v>
      </c>
      <c r="Y142" s="184"/>
      <c r="Z142" s="144">
        <f>(T142-(T142*V142))-X142</f>
        <v>0</v>
      </c>
      <c r="AB142" s="245" t="s">
        <v>162</v>
      </c>
      <c r="AC142" s="184">
        <v>0</v>
      </c>
      <c r="AD142" s="184"/>
      <c r="AE142" s="353">
        <v>0</v>
      </c>
      <c r="AF142" s="353"/>
      <c r="AG142" s="184">
        <v>0</v>
      </c>
      <c r="AH142" s="184"/>
      <c r="AI142" s="144">
        <f>(AC142-(AC142*AE142))-AG142</f>
        <v>0</v>
      </c>
    </row>
    <row r="143" spans="1:35">
      <c r="A143" s="245"/>
      <c r="B143" s="368"/>
      <c r="C143" s="368"/>
      <c r="D143" s="368"/>
      <c r="E143" s="368"/>
      <c r="F143" s="368"/>
      <c r="G143" s="389"/>
      <c r="H143" s="351"/>
      <c r="J143" s="245"/>
      <c r="K143" s="368"/>
      <c r="L143" s="368"/>
      <c r="M143" s="368"/>
      <c r="N143" s="368"/>
      <c r="O143" s="368"/>
      <c r="P143" s="389"/>
      <c r="Q143" s="351"/>
      <c r="S143" s="245"/>
      <c r="T143" s="368"/>
      <c r="U143" s="368"/>
      <c r="V143" s="368"/>
      <c r="W143" s="368"/>
      <c r="X143" s="368"/>
      <c r="Y143" s="389"/>
      <c r="Z143" s="351"/>
      <c r="AB143" s="245"/>
      <c r="AC143" s="368"/>
      <c r="AD143" s="368"/>
      <c r="AE143" s="368"/>
      <c r="AF143" s="368"/>
      <c r="AG143" s="368"/>
      <c r="AH143" s="389"/>
      <c r="AI143" s="351"/>
    </row>
    <row r="144" ht="21" spans="1:35">
      <c r="A144" s="251" t="s">
        <v>163</v>
      </c>
      <c r="B144" s="251"/>
      <c r="C144" s="251"/>
      <c r="D144" s="251"/>
      <c r="E144" s="251"/>
      <c r="F144" s="251"/>
      <c r="G144" s="436">
        <f t="shared" ref="G144:G151" si="7">H9</f>
        <v>16745</v>
      </c>
      <c r="H144" s="354">
        <f>C134+E134+G134+H137</f>
        <v>16745</v>
      </c>
      <c r="J144" s="251" t="s">
        <v>163</v>
      </c>
      <c r="K144" s="251"/>
      <c r="L144" s="251"/>
      <c r="M144" s="251"/>
      <c r="N144" s="251"/>
      <c r="O144" s="251"/>
      <c r="P144" s="436">
        <f t="shared" ref="P144:P151" si="8">H9</f>
        <v>16745</v>
      </c>
      <c r="Q144" s="354">
        <f>L134+N134+P134+Q137</f>
        <v>28629.17</v>
      </c>
      <c r="S144" s="251" t="s">
        <v>163</v>
      </c>
      <c r="T144" s="251"/>
      <c r="U144" s="251"/>
      <c r="V144" s="251"/>
      <c r="W144" s="251"/>
      <c r="X144" s="251"/>
      <c r="Y144" s="436">
        <f t="shared" ref="Y144:Y151" si="9">H9</f>
        <v>16745</v>
      </c>
      <c r="Z144" s="354">
        <f>U134+W134+Y134+Z137</f>
        <v>12558.75</v>
      </c>
      <c r="AB144" s="251" t="s">
        <v>163</v>
      </c>
      <c r="AC144" s="251"/>
      <c r="AD144" s="251"/>
      <c r="AE144" s="251"/>
      <c r="AF144" s="251"/>
      <c r="AG144" s="251"/>
      <c r="AH144" s="436">
        <f t="shared" ref="AH144:AH151" si="10">H9</f>
        <v>16745</v>
      </c>
      <c r="AI144" s="354">
        <f>AD134+AF134+AH134+AI137</f>
        <v>12558.75</v>
      </c>
    </row>
    <row r="145" spans="1:35">
      <c r="A145" s="254" t="s">
        <v>164</v>
      </c>
      <c r="B145" s="254"/>
      <c r="C145" s="254"/>
      <c r="D145" s="254"/>
      <c r="E145" s="254"/>
      <c r="F145" s="254"/>
      <c r="G145" s="392">
        <f t="shared" si="7"/>
        <v>695</v>
      </c>
      <c r="H145" s="180">
        <f>G145</f>
        <v>695</v>
      </c>
      <c r="J145" s="254" t="s">
        <v>164</v>
      </c>
      <c r="K145" s="254"/>
      <c r="L145" s="254"/>
      <c r="M145" s="254"/>
      <c r="N145" s="254"/>
      <c r="O145" s="254"/>
      <c r="P145" s="392">
        <f t="shared" si="8"/>
        <v>695</v>
      </c>
      <c r="Q145" s="180">
        <f>P145</f>
        <v>695</v>
      </c>
      <c r="S145" s="254" t="s">
        <v>164</v>
      </c>
      <c r="T145" s="254"/>
      <c r="U145" s="254"/>
      <c r="V145" s="254"/>
      <c r="W145" s="254"/>
      <c r="X145" s="254"/>
      <c r="Y145" s="392">
        <f t="shared" si="9"/>
        <v>695</v>
      </c>
      <c r="Z145" s="180">
        <f>Y145</f>
        <v>695</v>
      </c>
      <c r="AB145" s="254" t="s">
        <v>164</v>
      </c>
      <c r="AC145" s="254"/>
      <c r="AD145" s="254"/>
      <c r="AE145" s="254"/>
      <c r="AF145" s="254"/>
      <c r="AG145" s="254"/>
      <c r="AH145" s="392">
        <f t="shared" si="10"/>
        <v>695</v>
      </c>
      <c r="AI145" s="180">
        <f>AH145</f>
        <v>695</v>
      </c>
    </row>
    <row r="146" spans="1:35">
      <c r="A146" s="254" t="s">
        <v>165</v>
      </c>
      <c r="B146" s="254"/>
      <c r="C146" s="254"/>
      <c r="D146" s="254"/>
      <c r="E146" s="254"/>
      <c r="F146" s="254"/>
      <c r="G146" s="392">
        <f t="shared" si="7"/>
        <v>3488</v>
      </c>
      <c r="H146" s="180">
        <f>(H144+H145)*20%</f>
        <v>3488</v>
      </c>
      <c r="J146" s="254" t="s">
        <v>165</v>
      </c>
      <c r="K146" s="254"/>
      <c r="L146" s="254"/>
      <c r="M146" s="254"/>
      <c r="N146" s="254"/>
      <c r="O146" s="254"/>
      <c r="P146" s="392">
        <f t="shared" si="8"/>
        <v>3488</v>
      </c>
      <c r="Q146" s="180">
        <f>(Q144+Q145)*20%</f>
        <v>5864.834</v>
      </c>
      <c r="S146" s="254" t="s">
        <v>165</v>
      </c>
      <c r="T146" s="254"/>
      <c r="U146" s="254"/>
      <c r="V146" s="254"/>
      <c r="W146" s="254"/>
      <c r="X146" s="254"/>
      <c r="Y146" s="392">
        <f t="shared" si="9"/>
        <v>3488</v>
      </c>
      <c r="Z146" s="180">
        <f>(Z144+Z145)*20%</f>
        <v>2650.75</v>
      </c>
      <c r="AB146" s="254" t="s">
        <v>165</v>
      </c>
      <c r="AC146" s="254"/>
      <c r="AD146" s="254"/>
      <c r="AE146" s="254"/>
      <c r="AF146" s="254"/>
      <c r="AG146" s="254"/>
      <c r="AH146" s="392">
        <f t="shared" si="10"/>
        <v>3488</v>
      </c>
      <c r="AI146" s="180">
        <f>(AI144+AI145)*20%</f>
        <v>2650.75</v>
      </c>
    </row>
    <row r="147" spans="1:35">
      <c r="A147" s="254" t="s">
        <v>166</v>
      </c>
      <c r="B147" s="254"/>
      <c r="C147" s="254"/>
      <c r="D147" s="254"/>
      <c r="E147" s="254"/>
      <c r="F147" s="254"/>
      <c r="G147" s="392">
        <f t="shared" si="7"/>
        <v>0</v>
      </c>
      <c r="H147" s="180">
        <v>0</v>
      </c>
      <c r="J147" s="254" t="s">
        <v>166</v>
      </c>
      <c r="K147" s="254"/>
      <c r="L147" s="254"/>
      <c r="M147" s="254"/>
      <c r="N147" s="254"/>
      <c r="O147" s="254"/>
      <c r="P147" s="392">
        <f t="shared" si="8"/>
        <v>0</v>
      </c>
      <c r="Q147" s="180">
        <f>P147</f>
        <v>0</v>
      </c>
      <c r="S147" s="254" t="s">
        <v>166</v>
      </c>
      <c r="T147" s="254"/>
      <c r="U147" s="254"/>
      <c r="V147" s="254"/>
      <c r="W147" s="254"/>
      <c r="X147" s="254"/>
      <c r="Y147" s="392">
        <f t="shared" si="9"/>
        <v>0</v>
      </c>
      <c r="Z147" s="180">
        <f>Y147</f>
        <v>0</v>
      </c>
      <c r="AB147" s="254" t="s">
        <v>166</v>
      </c>
      <c r="AC147" s="254"/>
      <c r="AD147" s="254"/>
      <c r="AE147" s="254"/>
      <c r="AF147" s="254"/>
      <c r="AG147" s="254"/>
      <c r="AH147" s="392">
        <f t="shared" si="10"/>
        <v>0</v>
      </c>
      <c r="AI147" s="180">
        <f>AH147</f>
        <v>0</v>
      </c>
    </row>
    <row r="148" spans="1:35">
      <c r="A148" s="254" t="s">
        <v>167</v>
      </c>
      <c r="B148" s="254"/>
      <c r="C148" s="254"/>
      <c r="D148" s="254"/>
      <c r="E148" s="254"/>
      <c r="F148" s="254"/>
      <c r="G148" s="392">
        <f t="shared" si="7"/>
        <v>275</v>
      </c>
      <c r="H148" s="180">
        <f>G148</f>
        <v>275</v>
      </c>
      <c r="J148" s="254" t="s">
        <v>167</v>
      </c>
      <c r="K148" s="254"/>
      <c r="L148" s="254"/>
      <c r="M148" s="254"/>
      <c r="N148" s="254"/>
      <c r="O148" s="254"/>
      <c r="P148" s="392">
        <f t="shared" si="8"/>
        <v>275</v>
      </c>
      <c r="Q148" s="180">
        <f>P148</f>
        <v>275</v>
      </c>
      <c r="S148" s="254" t="s">
        <v>167</v>
      </c>
      <c r="T148" s="254"/>
      <c r="U148" s="254"/>
      <c r="V148" s="254"/>
      <c r="W148" s="254"/>
      <c r="X148" s="254"/>
      <c r="Y148" s="392">
        <f t="shared" si="9"/>
        <v>275</v>
      </c>
      <c r="Z148" s="180">
        <f>Y148</f>
        <v>275</v>
      </c>
      <c r="AB148" s="254" t="s">
        <v>167</v>
      </c>
      <c r="AC148" s="254"/>
      <c r="AD148" s="254"/>
      <c r="AE148" s="254"/>
      <c r="AF148" s="254"/>
      <c r="AG148" s="254"/>
      <c r="AH148" s="392">
        <f t="shared" si="10"/>
        <v>275</v>
      </c>
      <c r="AI148" s="180">
        <f>AH148</f>
        <v>275</v>
      </c>
    </row>
    <row r="149" ht="19.5" spans="1:35">
      <c r="A149" s="254" t="s">
        <v>168</v>
      </c>
      <c r="B149" s="254"/>
      <c r="C149" s="254"/>
      <c r="D149" s="254"/>
      <c r="E149" s="254"/>
      <c r="F149" s="254"/>
      <c r="G149" s="392">
        <f t="shared" si="7"/>
        <v>65</v>
      </c>
      <c r="H149" s="180">
        <f>G149</f>
        <v>65</v>
      </c>
      <c r="J149" s="254" t="s">
        <v>168</v>
      </c>
      <c r="K149" s="254"/>
      <c r="L149" s="254"/>
      <c r="M149" s="254"/>
      <c r="N149" s="254"/>
      <c r="O149" s="254"/>
      <c r="P149" s="392">
        <f t="shared" si="8"/>
        <v>65</v>
      </c>
      <c r="Q149" s="180">
        <v>55</v>
      </c>
      <c r="S149" s="254" t="s">
        <v>168</v>
      </c>
      <c r="T149" s="254"/>
      <c r="U149" s="254"/>
      <c r="V149" s="254"/>
      <c r="W149" s="254"/>
      <c r="X149" s="254"/>
      <c r="Y149" s="392">
        <f t="shared" si="9"/>
        <v>65</v>
      </c>
      <c r="Z149" s="180">
        <v>55</v>
      </c>
      <c r="AB149" s="254" t="s">
        <v>168</v>
      </c>
      <c r="AC149" s="254"/>
      <c r="AD149" s="254"/>
      <c r="AE149" s="254"/>
      <c r="AF149" s="254"/>
      <c r="AG149" s="254"/>
      <c r="AH149" s="392">
        <f t="shared" si="10"/>
        <v>65</v>
      </c>
      <c r="AI149" s="180">
        <v>55</v>
      </c>
    </row>
    <row r="150" ht="21.75" spans="1:35">
      <c r="A150" s="254" t="s">
        <v>169</v>
      </c>
      <c r="B150" s="254"/>
      <c r="C150" s="254"/>
      <c r="D150" s="254"/>
      <c r="E150" s="254"/>
      <c r="F150" s="254"/>
      <c r="G150" s="453">
        <f t="shared" si="7"/>
        <v>21268</v>
      </c>
      <c r="H150" s="356">
        <f>(H144+H145+H148+H149+H146)-H147</f>
        <v>21268</v>
      </c>
      <c r="J150" s="254" t="s">
        <v>169</v>
      </c>
      <c r="K150" s="254"/>
      <c r="L150" s="254"/>
      <c r="M150" s="254"/>
      <c r="N150" s="254"/>
      <c r="O150" s="254"/>
      <c r="P150" s="453">
        <f t="shared" si="8"/>
        <v>21268</v>
      </c>
      <c r="Q150" s="356">
        <f>(Q144+Q145+Q148+Q149+Q146)-Q147</f>
        <v>35519.004</v>
      </c>
      <c r="S150" s="254" t="s">
        <v>169</v>
      </c>
      <c r="T150" s="254"/>
      <c r="U150" s="254"/>
      <c r="V150" s="254"/>
      <c r="W150" s="254"/>
      <c r="X150" s="254"/>
      <c r="Y150" s="453">
        <f t="shared" si="9"/>
        <v>21268</v>
      </c>
      <c r="Z150" s="356">
        <f>(Z144+Z145+Z148+Z149+Z146)-Z147</f>
        <v>16234.5</v>
      </c>
      <c r="AB150" s="254" t="s">
        <v>169</v>
      </c>
      <c r="AC150" s="254"/>
      <c r="AD150" s="254"/>
      <c r="AE150" s="254"/>
      <c r="AF150" s="254"/>
      <c r="AG150" s="254"/>
      <c r="AH150" s="453">
        <f t="shared" si="10"/>
        <v>21268</v>
      </c>
      <c r="AI150" s="356">
        <f>(AI144+AI145+AI148+AI149+AI146)-AI147</f>
        <v>16234.5</v>
      </c>
    </row>
    <row r="151" ht="19.5" spans="1:35">
      <c r="A151" s="254" t="s">
        <v>170</v>
      </c>
      <c r="B151" s="254"/>
      <c r="C151" s="254"/>
      <c r="D151" s="254"/>
      <c r="E151" s="254"/>
      <c r="F151" s="254"/>
      <c r="G151" s="392">
        <f t="shared" si="7"/>
        <v>0</v>
      </c>
      <c r="H151" s="268">
        <f>G151</f>
        <v>0</v>
      </c>
      <c r="J151" s="254" t="s">
        <v>170</v>
      </c>
      <c r="K151" s="254"/>
      <c r="L151" s="254"/>
      <c r="M151" s="254"/>
      <c r="N151" s="254"/>
      <c r="O151" s="254"/>
      <c r="P151" s="392">
        <f t="shared" si="8"/>
        <v>0</v>
      </c>
      <c r="Q151" s="268">
        <f>P151</f>
        <v>0</v>
      </c>
      <c r="S151" s="254" t="s">
        <v>170</v>
      </c>
      <c r="T151" s="254"/>
      <c r="U151" s="254"/>
      <c r="V151" s="254"/>
      <c r="W151" s="254"/>
      <c r="X151" s="254"/>
      <c r="Y151" s="392">
        <f t="shared" si="9"/>
        <v>0</v>
      </c>
      <c r="Z151" s="268">
        <f>Y151</f>
        <v>0</v>
      </c>
      <c r="AB151" s="254" t="s">
        <v>170</v>
      </c>
      <c r="AC151" s="254"/>
      <c r="AD151" s="254"/>
      <c r="AE151" s="254"/>
      <c r="AF151" s="254"/>
      <c r="AG151" s="254"/>
      <c r="AH151" s="392">
        <f t="shared" si="10"/>
        <v>0</v>
      </c>
      <c r="AI151" s="268">
        <f>AH151</f>
        <v>0</v>
      </c>
    </row>
    <row r="152" ht="19.5" spans="1:35">
      <c r="A152" s="134" t="s">
        <v>171</v>
      </c>
      <c r="B152" s="134"/>
      <c r="C152" s="134"/>
      <c r="D152" s="134"/>
      <c r="E152" s="134">
        <v>0</v>
      </c>
      <c r="F152" s="134"/>
      <c r="G152" s="127">
        <v>0</v>
      </c>
      <c r="H152" s="180"/>
      <c r="J152" s="455" t="s">
        <v>171</v>
      </c>
      <c r="K152" s="455"/>
      <c r="L152" s="455"/>
      <c r="M152" s="455"/>
      <c r="N152" s="455"/>
      <c r="O152" s="455"/>
      <c r="P152" s="127"/>
      <c r="Q152" s="180"/>
      <c r="S152" s="134" t="s">
        <v>171</v>
      </c>
      <c r="T152" s="134"/>
      <c r="U152" s="134"/>
      <c r="V152" s="134"/>
      <c r="W152" s="134"/>
      <c r="X152" s="134"/>
      <c r="Y152" s="127"/>
      <c r="Z152" s="180"/>
      <c r="AB152" s="134" t="s">
        <v>171</v>
      </c>
      <c r="AC152" s="134"/>
      <c r="AD152" s="134"/>
      <c r="AE152" s="134"/>
      <c r="AF152" s="134"/>
      <c r="AG152" s="134"/>
      <c r="AH152" s="127"/>
      <c r="AI152" s="180"/>
    </row>
    <row r="153" ht="19.5" spans="1:35">
      <c r="A153" s="256" t="s">
        <v>13</v>
      </c>
      <c r="B153" s="257" t="s">
        <v>172</v>
      </c>
      <c r="C153" s="257"/>
      <c r="D153" s="257"/>
      <c r="E153" s="257"/>
      <c r="F153" s="257"/>
      <c r="G153" s="392">
        <f>H18</f>
        <v>0</v>
      </c>
      <c r="H153" s="268">
        <f>G153</f>
        <v>0</v>
      </c>
      <c r="J153" s="256" t="s">
        <v>13</v>
      </c>
      <c r="K153" s="257" t="s">
        <v>172</v>
      </c>
      <c r="L153" s="257"/>
      <c r="M153" s="257"/>
      <c r="N153" s="257"/>
      <c r="O153" s="257"/>
      <c r="P153" s="392">
        <f>H18</f>
        <v>0</v>
      </c>
      <c r="Q153" s="268">
        <f>P153</f>
        <v>0</v>
      </c>
      <c r="S153" s="256" t="s">
        <v>13</v>
      </c>
      <c r="T153" s="257" t="s">
        <v>172</v>
      </c>
      <c r="U153" s="257"/>
      <c r="V153" s="257"/>
      <c r="W153" s="257"/>
      <c r="X153" s="257"/>
      <c r="Y153" s="392">
        <f>H18</f>
        <v>0</v>
      </c>
      <c r="Z153" s="268">
        <f>Y153</f>
        <v>0</v>
      </c>
      <c r="AB153" s="256" t="s">
        <v>13</v>
      </c>
      <c r="AC153" s="257" t="s">
        <v>172</v>
      </c>
      <c r="AD153" s="257"/>
      <c r="AE153" s="257"/>
      <c r="AF153" s="257"/>
      <c r="AG153" s="257"/>
      <c r="AH153" s="392">
        <f>H18</f>
        <v>0</v>
      </c>
      <c r="AI153" s="268">
        <f>AH153</f>
        <v>0</v>
      </c>
    </row>
    <row r="154" ht="19.5" spans="1:35">
      <c r="A154" s="256" t="s">
        <v>15</v>
      </c>
      <c r="B154" s="257" t="s">
        <v>172</v>
      </c>
      <c r="C154" s="257"/>
      <c r="D154" s="257"/>
      <c r="E154" s="257"/>
      <c r="F154" s="257"/>
      <c r="G154" s="392">
        <f>H19</f>
        <v>0</v>
      </c>
      <c r="H154" s="268">
        <v>0</v>
      </c>
      <c r="I154" s="239">
        <f>(G151+G154+G155+G153)</f>
        <v>0</v>
      </c>
      <c r="J154" s="256" t="s">
        <v>15</v>
      </c>
      <c r="K154" s="257" t="s">
        <v>172</v>
      </c>
      <c r="L154" s="257"/>
      <c r="M154" s="257"/>
      <c r="N154" s="257"/>
      <c r="O154" s="257"/>
      <c r="P154" s="392">
        <f>H19</f>
        <v>0</v>
      </c>
      <c r="Q154" s="268">
        <f>P154</f>
        <v>0</v>
      </c>
      <c r="S154" s="256" t="s">
        <v>15</v>
      </c>
      <c r="T154" s="257" t="s">
        <v>172</v>
      </c>
      <c r="U154" s="257"/>
      <c r="V154" s="257"/>
      <c r="W154" s="257"/>
      <c r="X154" s="257"/>
      <c r="Y154" s="392">
        <f>H19</f>
        <v>0</v>
      </c>
      <c r="Z154" s="268">
        <f>Y154</f>
        <v>0</v>
      </c>
      <c r="AB154" s="256" t="s">
        <v>15</v>
      </c>
      <c r="AC154" s="257" t="s">
        <v>172</v>
      </c>
      <c r="AD154" s="257"/>
      <c r="AE154" s="257"/>
      <c r="AF154" s="257"/>
      <c r="AG154" s="257"/>
      <c r="AH154" s="392">
        <f>H19</f>
        <v>0</v>
      </c>
      <c r="AI154" s="268">
        <f>AH154</f>
        <v>0</v>
      </c>
    </row>
    <row r="155" ht="19.5" spans="1:35">
      <c r="A155" s="357" t="s">
        <v>16</v>
      </c>
      <c r="B155" s="358" t="s">
        <v>172</v>
      </c>
      <c r="C155" s="358"/>
      <c r="D155" s="358"/>
      <c r="E155" s="358"/>
      <c r="F155" s="358"/>
      <c r="G155" s="392">
        <f>H20</f>
        <v>0</v>
      </c>
      <c r="H155" s="268">
        <v>0</v>
      </c>
      <c r="I155" s="239">
        <f>(H151+H153+H154+H155)</f>
        <v>0</v>
      </c>
      <c r="J155" s="357" t="s">
        <v>16</v>
      </c>
      <c r="K155" s="358" t="s">
        <v>172</v>
      </c>
      <c r="L155" s="358"/>
      <c r="M155" s="358"/>
      <c r="N155" s="358"/>
      <c r="O155" s="358"/>
      <c r="P155" s="392">
        <f>H20</f>
        <v>0</v>
      </c>
      <c r="Q155" s="268">
        <f>P155</f>
        <v>0</v>
      </c>
      <c r="S155" s="357" t="s">
        <v>16</v>
      </c>
      <c r="T155" s="358" t="s">
        <v>172</v>
      </c>
      <c r="U155" s="358"/>
      <c r="V155" s="358"/>
      <c r="W155" s="358"/>
      <c r="X155" s="358"/>
      <c r="Y155" s="392">
        <f>H20</f>
        <v>0</v>
      </c>
      <c r="Z155" s="268">
        <f>Y155</f>
        <v>0</v>
      </c>
      <c r="AB155" s="357" t="s">
        <v>16</v>
      </c>
      <c r="AC155" s="358" t="s">
        <v>172</v>
      </c>
      <c r="AD155" s="358"/>
      <c r="AE155" s="358"/>
      <c r="AF155" s="358"/>
      <c r="AG155" s="358"/>
      <c r="AH155" s="392">
        <f>H20</f>
        <v>0</v>
      </c>
      <c r="AI155" s="268">
        <f>AH155</f>
        <v>0</v>
      </c>
    </row>
    <row r="156" ht="21.75" spans="1:35">
      <c r="A156" s="254" t="s">
        <v>173</v>
      </c>
      <c r="B156" s="254"/>
      <c r="C156" s="254"/>
      <c r="D156" s="254"/>
      <c r="E156" s="254"/>
      <c r="F156" s="254"/>
      <c r="G156" s="453">
        <f>G150-((G153*1.2)+(G154*1.2)+(G155*1.2)+(G151*1.2))</f>
        <v>21268</v>
      </c>
      <c r="H156" s="359">
        <f>H150-((H153*1.2)+(H154*1.2)+(H155*1.2)+(H151*1.2))</f>
        <v>21268</v>
      </c>
      <c r="J156" s="456" t="s">
        <v>173</v>
      </c>
      <c r="K156" s="456"/>
      <c r="L156" s="456"/>
      <c r="M156" s="456"/>
      <c r="N156" s="456"/>
      <c r="O156" s="456"/>
      <c r="P156" s="453">
        <f>P150-((P153*1.2)+(P154*1.2)+(P155*1.2)+(P151*1.2))</f>
        <v>21268</v>
      </c>
      <c r="Q156" s="359">
        <f>Q150-((Q153*1.2)+(Q154*1.2)+(Q155*1.2)+(Q151*1.2))</f>
        <v>35519.004</v>
      </c>
      <c r="S156" s="254" t="s">
        <v>173</v>
      </c>
      <c r="T156" s="254"/>
      <c r="U156" s="254"/>
      <c r="V156" s="254"/>
      <c r="W156" s="254"/>
      <c r="X156" s="254"/>
      <c r="Y156" s="453">
        <f>Y150-((Y153*1.2)+(Y154*1.2)+(Y155*1.2)+(Y151*1.2))</f>
        <v>21268</v>
      </c>
      <c r="Z156" s="359">
        <f>Z150-((Z153*1.2)+(Z154*1.2)+(Z155*1.2)+(Z151*1.2))</f>
        <v>16234.5</v>
      </c>
      <c r="AB156" s="254" t="s">
        <v>173</v>
      </c>
      <c r="AC156" s="254"/>
      <c r="AD156" s="254"/>
      <c r="AE156" s="254"/>
      <c r="AF156" s="254"/>
      <c r="AG156" s="254"/>
      <c r="AH156" s="453">
        <f>AH150-((AH153*1.2)+(AH154*1.2)+(AH155*1.2)+(AH151*1.2))</f>
        <v>21268</v>
      </c>
      <c r="AI156" s="359">
        <f>AI150-((AI153*1.2)+(AI154*1.2)+(AI155*1.2)+(AI151*1.2))</f>
        <v>16234.5</v>
      </c>
    </row>
    <row r="157" ht="19.5" spans="1:35">
      <c r="A157" s="254" t="s">
        <v>174</v>
      </c>
      <c r="B157" s="254"/>
      <c r="C157" s="254"/>
      <c r="D157" s="254"/>
      <c r="E157" s="254"/>
      <c r="F157" s="254"/>
      <c r="G157" s="392"/>
      <c r="H157" s="268">
        <f>((H156-G156)-(H146-G146))+((I155-I154)*0.2)</f>
        <v>0</v>
      </c>
      <c r="I157" s="239">
        <f>(H157-G90)/1.2</f>
        <v>-16890</v>
      </c>
      <c r="J157" s="254" t="s">
        <v>174</v>
      </c>
      <c r="K157" s="254"/>
      <c r="L157" s="254"/>
      <c r="M157" s="254"/>
      <c r="N157" s="254"/>
      <c r="O157" s="254"/>
      <c r="P157" s="392"/>
      <c r="Q157" s="268">
        <f>Q156-P156</f>
        <v>14251.004</v>
      </c>
      <c r="S157" s="254" t="s">
        <v>174</v>
      </c>
      <c r="T157" s="254"/>
      <c r="U157" s="254"/>
      <c r="V157" s="254"/>
      <c r="W157" s="254"/>
      <c r="X157" s="254"/>
      <c r="Y157" s="392"/>
      <c r="Z157" s="268">
        <f>Z156-Y156</f>
        <v>-5033.5</v>
      </c>
      <c r="AB157" s="254" t="s">
        <v>174</v>
      </c>
      <c r="AC157" s="254"/>
      <c r="AD157" s="254"/>
      <c r="AE157" s="254"/>
      <c r="AF157" s="254"/>
      <c r="AG157" s="254"/>
      <c r="AH157" s="392"/>
      <c r="AI157" s="268">
        <f>AI156-AH156</f>
        <v>-5033.5</v>
      </c>
    </row>
    <row r="158" spans="1:35">
      <c r="A158" s="245"/>
      <c r="B158" s="368"/>
      <c r="C158" s="368"/>
      <c r="D158" s="368"/>
      <c r="E158" s="262"/>
      <c r="F158" s="262"/>
      <c r="G158" s="262"/>
      <c r="H158" s="180"/>
      <c r="J158" s="245"/>
      <c r="K158" s="368"/>
      <c r="L158" s="368"/>
      <c r="M158" s="368"/>
      <c r="N158" s="262"/>
      <c r="O158" s="262"/>
      <c r="P158" s="262"/>
      <c r="Q158" s="180"/>
      <c r="S158" s="245"/>
      <c r="T158" s="368"/>
      <c r="U158" s="368"/>
      <c r="V158" s="368"/>
      <c r="W158" s="262"/>
      <c r="X158" s="262"/>
      <c r="Y158" s="262"/>
      <c r="Z158" s="180"/>
      <c r="AB158" s="245"/>
      <c r="AC158" s="368"/>
      <c r="AD158" s="368"/>
      <c r="AE158" s="368"/>
      <c r="AF158" s="262"/>
      <c r="AG158" s="262"/>
      <c r="AH158" s="262"/>
      <c r="AI158" s="180"/>
    </row>
    <row r="159" ht="24" spans="1:35">
      <c r="A159" s="269" t="s">
        <v>175</v>
      </c>
      <c r="B159" s="269"/>
      <c r="C159" s="269"/>
      <c r="D159" s="269"/>
      <c r="E159" s="269"/>
      <c r="F159" s="269"/>
      <c r="G159" s="269"/>
      <c r="H159" s="269"/>
      <c r="J159" s="269" t="s">
        <v>175</v>
      </c>
      <c r="K159" s="269"/>
      <c r="L159" s="269"/>
      <c r="M159" s="269"/>
      <c r="N159" s="269"/>
      <c r="O159" s="269"/>
      <c r="P159" s="269"/>
      <c r="Q159" s="269"/>
      <c r="S159" s="269" t="s">
        <v>175</v>
      </c>
      <c r="T159" s="269"/>
      <c r="U159" s="269"/>
      <c r="V159" s="269"/>
      <c r="W159" s="269"/>
      <c r="X159" s="269"/>
      <c r="Y159" s="269"/>
      <c r="Z159" s="269"/>
      <c r="AB159" s="269" t="s">
        <v>175</v>
      </c>
      <c r="AC159" s="269"/>
      <c r="AD159" s="269"/>
      <c r="AE159" s="269"/>
      <c r="AF159" s="269"/>
      <c r="AG159" s="269"/>
      <c r="AH159" s="269"/>
      <c r="AI159" s="269"/>
    </row>
    <row r="160" ht="20.25" spans="1:35">
      <c r="A160" s="245"/>
      <c r="B160" s="368"/>
      <c r="C160" s="368"/>
      <c r="D160" s="368"/>
      <c r="E160" s="262"/>
      <c r="F160" s="262"/>
      <c r="G160" s="262"/>
      <c r="H160" s="180"/>
      <c r="J160" s="245"/>
      <c r="K160" s="368"/>
      <c r="L160" s="368"/>
      <c r="M160" s="368"/>
      <c r="N160" s="262"/>
      <c r="O160" s="262"/>
      <c r="P160" s="262"/>
      <c r="Q160" s="180"/>
      <c r="S160" s="245"/>
      <c r="T160" s="368"/>
      <c r="U160" s="368"/>
      <c r="V160" s="368"/>
      <c r="W160" s="262"/>
      <c r="X160" s="262"/>
      <c r="Y160" s="262"/>
      <c r="Z160" s="180"/>
      <c r="AB160" s="245"/>
      <c r="AC160" s="368"/>
      <c r="AD160" s="368"/>
      <c r="AE160" s="368"/>
      <c r="AF160" s="262"/>
      <c r="AG160" s="262"/>
      <c r="AH160" s="262"/>
      <c r="AI160" s="180"/>
    </row>
    <row r="161" ht="19.5" spans="1:35">
      <c r="A161" s="245" t="s">
        <v>176</v>
      </c>
      <c r="B161" s="368"/>
      <c r="C161" s="368"/>
      <c r="D161" s="262"/>
      <c r="E161" s="102">
        <v>0</v>
      </c>
      <c r="F161" s="102"/>
      <c r="G161" s="102">
        <v>0</v>
      </c>
      <c r="H161" s="102"/>
      <c r="J161" s="245" t="s">
        <v>176</v>
      </c>
      <c r="K161" s="368"/>
      <c r="L161" s="368"/>
      <c r="M161" s="262"/>
      <c r="N161" s="102">
        <v>10000</v>
      </c>
      <c r="O161" s="102"/>
      <c r="P161" s="102">
        <v>5000</v>
      </c>
      <c r="Q161" s="102"/>
      <c r="S161" s="245" t="s">
        <v>176</v>
      </c>
      <c r="T161" s="368"/>
      <c r="U161" s="368"/>
      <c r="V161" s="262"/>
      <c r="W161" s="102">
        <v>10000</v>
      </c>
      <c r="X161" s="102"/>
      <c r="Y161" s="102">
        <v>5000</v>
      </c>
      <c r="Z161" s="102"/>
      <c r="AB161" s="245" t="s">
        <v>176</v>
      </c>
      <c r="AC161" s="368"/>
      <c r="AD161" s="368"/>
      <c r="AE161" s="262"/>
      <c r="AF161" s="102">
        <v>10000</v>
      </c>
      <c r="AG161" s="102"/>
      <c r="AH161" s="102">
        <v>5000</v>
      </c>
      <c r="AI161" s="102"/>
    </row>
    <row r="162" ht="19.5" spans="1:35">
      <c r="A162" s="245" t="s">
        <v>177</v>
      </c>
      <c r="B162" s="368"/>
      <c r="C162" s="368"/>
      <c r="D162" s="262"/>
      <c r="E162" s="105">
        <f>G162</f>
        <v>0</v>
      </c>
      <c r="F162" s="105"/>
      <c r="G162" s="102">
        <v>0</v>
      </c>
      <c r="H162" s="102"/>
      <c r="J162" s="245" t="s">
        <v>177</v>
      </c>
      <c r="K162" s="368"/>
      <c r="L162" s="368"/>
      <c r="M162" s="262"/>
      <c r="N162" s="105">
        <f>P162</f>
        <v>7000</v>
      </c>
      <c r="O162" s="105"/>
      <c r="P162" s="102">
        <v>7000</v>
      </c>
      <c r="Q162" s="102"/>
      <c r="S162" s="245" t="s">
        <v>177</v>
      </c>
      <c r="T162" s="368"/>
      <c r="U162" s="368"/>
      <c r="V162" s="262"/>
      <c r="W162" s="105">
        <f>Y162</f>
        <v>7000</v>
      </c>
      <c r="X162" s="105"/>
      <c r="Y162" s="102">
        <v>7000</v>
      </c>
      <c r="Z162" s="102"/>
      <c r="AB162" s="245" t="s">
        <v>177</v>
      </c>
      <c r="AC162" s="368"/>
      <c r="AD162" s="368"/>
      <c r="AE162" s="262"/>
      <c r="AF162" s="105">
        <f>AH162</f>
        <v>7000</v>
      </c>
      <c r="AG162" s="105"/>
      <c r="AH162" s="102">
        <v>7000</v>
      </c>
      <c r="AI162" s="102"/>
    </row>
    <row r="163" spans="1:35">
      <c r="A163" s="245" t="s">
        <v>178</v>
      </c>
      <c r="B163" s="368"/>
      <c r="C163" s="368"/>
      <c r="D163" s="262"/>
      <c r="E163" s="105">
        <f>E161-E162</f>
        <v>0</v>
      </c>
      <c r="F163" s="105"/>
      <c r="G163" s="106">
        <f>G161-G162</f>
        <v>0</v>
      </c>
      <c r="H163" s="106"/>
      <c r="J163" s="245" t="s">
        <v>178</v>
      </c>
      <c r="K163" s="368"/>
      <c r="L163" s="368"/>
      <c r="M163" s="262"/>
      <c r="N163" s="105">
        <f>N161-N162</f>
        <v>3000</v>
      </c>
      <c r="O163" s="105"/>
      <c r="P163" s="106">
        <f>P161-P162</f>
        <v>-2000</v>
      </c>
      <c r="Q163" s="106"/>
      <c r="S163" s="245" t="s">
        <v>178</v>
      </c>
      <c r="T163" s="368"/>
      <c r="U163" s="368"/>
      <c r="V163" s="262"/>
      <c r="W163" s="105">
        <f>W161-W162</f>
        <v>3000</v>
      </c>
      <c r="X163" s="105"/>
      <c r="Y163" s="106">
        <f>Y161-Y162</f>
        <v>-2000</v>
      </c>
      <c r="Z163" s="106"/>
      <c r="AB163" s="245" t="s">
        <v>178</v>
      </c>
      <c r="AC163" s="368"/>
      <c r="AD163" s="368"/>
      <c r="AE163" s="262"/>
      <c r="AF163" s="105">
        <f>AF161-AF162</f>
        <v>3000</v>
      </c>
      <c r="AG163" s="105"/>
      <c r="AH163" s="106">
        <f>AH161-AH162</f>
        <v>-2000</v>
      </c>
      <c r="AI163" s="106"/>
    </row>
    <row r="164" spans="1:35">
      <c r="A164" s="245" t="s">
        <v>179</v>
      </c>
      <c r="B164" s="368"/>
      <c r="C164" s="368"/>
      <c r="D164" s="262"/>
      <c r="E164" s="105">
        <f>E163-G163</f>
        <v>0</v>
      </c>
      <c r="F164" s="105"/>
      <c r="G164" s="262"/>
      <c r="H164" s="180"/>
      <c r="J164" s="245" t="s">
        <v>179</v>
      </c>
      <c r="K164" s="368"/>
      <c r="L164" s="368"/>
      <c r="M164" s="262"/>
      <c r="N164" s="105">
        <f>N163-P163</f>
        <v>5000</v>
      </c>
      <c r="O164" s="105"/>
      <c r="P164" s="262"/>
      <c r="Q164" s="180"/>
      <c r="S164" s="245" t="s">
        <v>179</v>
      </c>
      <c r="T164" s="368"/>
      <c r="U164" s="368"/>
      <c r="V164" s="262"/>
      <c r="W164" s="105">
        <f>W163-Y163</f>
        <v>5000</v>
      </c>
      <c r="X164" s="105"/>
      <c r="Y164" s="262"/>
      <c r="Z164" s="180"/>
      <c r="AB164" s="245" t="s">
        <v>179</v>
      </c>
      <c r="AC164" s="368"/>
      <c r="AD164" s="368"/>
      <c r="AE164" s="262"/>
      <c r="AF164" s="105">
        <f>AF163-AH163</f>
        <v>5000</v>
      </c>
      <c r="AG164" s="105"/>
      <c r="AH164" s="262"/>
      <c r="AI164" s="180"/>
    </row>
    <row r="165" ht="19.5" spans="1:35">
      <c r="A165" s="245"/>
      <c r="B165" s="368"/>
      <c r="C165" s="368"/>
      <c r="D165" s="262"/>
      <c r="E165" s="368"/>
      <c r="F165" s="262"/>
      <c r="G165" s="262"/>
      <c r="H165" s="180"/>
      <c r="J165" s="245"/>
      <c r="K165" s="368"/>
      <c r="L165" s="368"/>
      <c r="M165" s="262"/>
      <c r="N165" s="368"/>
      <c r="O165" s="262"/>
      <c r="P165" s="262"/>
      <c r="Q165" s="180"/>
      <c r="S165" s="245"/>
      <c r="T165" s="368"/>
      <c r="U165" s="368"/>
      <c r="V165" s="262"/>
      <c r="W165" s="368"/>
      <c r="X165" s="262"/>
      <c r="Y165" s="262"/>
      <c r="Z165" s="180"/>
      <c r="AB165" s="245"/>
      <c r="AC165" s="368"/>
      <c r="AD165" s="368"/>
      <c r="AE165" s="262"/>
      <c r="AF165" s="368"/>
      <c r="AG165" s="262"/>
      <c r="AH165" s="262"/>
      <c r="AI165" s="180"/>
    </row>
    <row r="166" spans="1:35">
      <c r="A166" s="264" t="s">
        <v>180</v>
      </c>
      <c r="B166" s="265"/>
      <c r="C166" s="265"/>
      <c r="D166" s="290"/>
      <c r="E166" s="265"/>
      <c r="F166" s="290"/>
      <c r="G166" s="360">
        <f>B120</f>
        <v>0</v>
      </c>
      <c r="H166" s="360"/>
      <c r="J166" s="264" t="s">
        <v>180</v>
      </c>
      <c r="K166" s="265"/>
      <c r="L166" s="265"/>
      <c r="M166" s="290"/>
      <c r="N166" s="265"/>
      <c r="O166" s="290"/>
      <c r="P166" s="360">
        <f>K120</f>
        <v>1000</v>
      </c>
      <c r="Q166" s="360"/>
      <c r="S166" s="264" t="s">
        <v>180</v>
      </c>
      <c r="T166" s="265"/>
      <c r="U166" s="265"/>
      <c r="V166" s="290"/>
      <c r="W166" s="265"/>
      <c r="X166" s="290"/>
      <c r="Y166" s="360">
        <f>T120</f>
        <v>1000</v>
      </c>
      <c r="Z166" s="360"/>
      <c r="AB166" s="264" t="s">
        <v>180</v>
      </c>
      <c r="AC166" s="265"/>
      <c r="AD166" s="265"/>
      <c r="AE166" s="290"/>
      <c r="AF166" s="265"/>
      <c r="AG166" s="290"/>
      <c r="AH166" s="360">
        <f>AC120</f>
        <v>1000</v>
      </c>
      <c r="AI166" s="360"/>
    </row>
    <row r="167" ht="21" spans="1:35">
      <c r="A167" s="361" t="s">
        <v>181</v>
      </c>
      <c r="B167" s="368"/>
      <c r="C167" s="368"/>
      <c r="D167" s="262"/>
      <c r="E167" s="368"/>
      <c r="F167" s="262"/>
      <c r="G167" s="362">
        <f>H156-G163-G166</f>
        <v>21268</v>
      </c>
      <c r="H167" s="362"/>
      <c r="J167" s="361" t="s">
        <v>181</v>
      </c>
      <c r="K167" s="368"/>
      <c r="L167" s="368"/>
      <c r="M167" s="262"/>
      <c r="N167" s="368"/>
      <c r="O167" s="262"/>
      <c r="P167" s="362">
        <f>Q156-P163-P166</f>
        <v>36519.004</v>
      </c>
      <c r="Q167" s="362"/>
      <c r="S167" s="361" t="s">
        <v>181</v>
      </c>
      <c r="T167" s="368"/>
      <c r="U167" s="368"/>
      <c r="V167" s="262"/>
      <c r="W167" s="368"/>
      <c r="X167" s="262"/>
      <c r="Y167" s="362">
        <f>Z156-Y163-Y166</f>
        <v>17234.5</v>
      </c>
      <c r="Z167" s="362"/>
      <c r="AB167" s="361" t="s">
        <v>181</v>
      </c>
      <c r="AC167" s="368"/>
      <c r="AD167" s="368"/>
      <c r="AE167" s="262"/>
      <c r="AF167" s="368"/>
      <c r="AG167" s="262"/>
      <c r="AH167" s="362">
        <f>AI156-AH163-AH166</f>
        <v>17234.5</v>
      </c>
      <c r="AI167" s="362"/>
    </row>
    <row r="168" ht="19.5" spans="1:35">
      <c r="A168" s="275" t="s">
        <v>53</v>
      </c>
      <c r="B168" s="276"/>
      <c r="C168" s="276"/>
      <c r="D168" s="323"/>
      <c r="E168" s="276"/>
      <c r="F168" s="323"/>
      <c r="G168" s="363" t="str">
        <f>B123</f>
        <v>239.99</v>
      </c>
      <c r="H168" s="363"/>
      <c r="J168" s="275" t="s">
        <v>53</v>
      </c>
      <c r="K168" s="276"/>
      <c r="L168" s="276"/>
      <c r="M168" s="323"/>
      <c r="N168" s="276"/>
      <c r="O168" s="323"/>
      <c r="P168" s="363">
        <f>K123</f>
        <v>239.99</v>
      </c>
      <c r="Q168" s="363"/>
      <c r="S168" s="275" t="s">
        <v>53</v>
      </c>
      <c r="T168" s="276"/>
      <c r="U168" s="276"/>
      <c r="V168" s="323"/>
      <c r="W168" s="276"/>
      <c r="X168" s="323"/>
      <c r="Y168" s="363">
        <f>T123</f>
        <v>199.99</v>
      </c>
      <c r="Z168" s="363"/>
      <c r="AB168" s="275" t="s">
        <v>53</v>
      </c>
      <c r="AC168" s="276"/>
      <c r="AD168" s="276"/>
      <c r="AE168" s="323"/>
      <c r="AF168" s="276"/>
      <c r="AG168" s="323"/>
      <c r="AH168" s="363">
        <f>AC123</f>
        <v>239.99</v>
      </c>
      <c r="AI168" s="363"/>
    </row>
    <row r="169" spans="1:35">
      <c r="A169" s="245"/>
      <c r="B169" s="368"/>
      <c r="C169" s="368"/>
      <c r="D169" s="368"/>
      <c r="E169" s="262"/>
      <c r="F169" s="262"/>
      <c r="G169" s="262"/>
      <c r="H169" s="180"/>
      <c r="J169" s="245"/>
      <c r="K169" s="368"/>
      <c r="L169" s="368"/>
      <c r="M169" s="368"/>
      <c r="N169" s="262"/>
      <c r="O169" s="262"/>
      <c r="P169" s="262"/>
      <c r="Q169" s="180"/>
      <c r="S169" s="245"/>
      <c r="T169" s="368"/>
      <c r="U169" s="368"/>
      <c r="V169" s="368"/>
      <c r="W169" s="262"/>
      <c r="X169" s="262"/>
      <c r="Y169" s="262"/>
      <c r="Z169" s="180"/>
      <c r="AB169" s="245"/>
      <c r="AC169" s="368"/>
      <c r="AD169" s="368"/>
      <c r="AE169" s="368"/>
      <c r="AF169" s="262"/>
      <c r="AG169" s="262"/>
      <c r="AH169" s="262"/>
      <c r="AI169" s="180"/>
    </row>
    <row r="170" spans="1:35">
      <c r="A170" s="245"/>
      <c r="B170" s="368"/>
      <c r="C170" s="368"/>
      <c r="D170" s="368"/>
      <c r="E170" s="262">
        <v>7200</v>
      </c>
      <c r="F170" s="262"/>
      <c r="G170" s="262"/>
      <c r="H170" s="180"/>
      <c r="J170" s="245"/>
      <c r="K170" s="368"/>
      <c r="L170" s="368"/>
      <c r="M170" s="368"/>
      <c r="N170" s="262"/>
      <c r="O170" s="262"/>
      <c r="P170" s="262"/>
      <c r="Q170" s="180"/>
      <c r="S170" s="245"/>
      <c r="T170" s="368"/>
      <c r="U170" s="368"/>
      <c r="V170" s="368"/>
      <c r="W170" s="262"/>
      <c r="X170" s="262"/>
      <c r="Y170" s="262"/>
      <c r="Z170" s="180"/>
      <c r="AB170" s="245"/>
      <c r="AC170" s="368"/>
      <c r="AD170" s="368"/>
      <c r="AE170" s="368"/>
      <c r="AF170" s="262"/>
      <c r="AG170" s="262"/>
      <c r="AH170" s="262"/>
      <c r="AI170" s="180"/>
    </row>
    <row r="171" ht="24" spans="1:35">
      <c r="A171" s="269" t="s">
        <v>182</v>
      </c>
      <c r="B171" s="269"/>
      <c r="C171" s="269"/>
      <c r="D171" s="269"/>
      <c r="E171" s="269"/>
      <c r="F171" s="269"/>
      <c r="G171" s="269"/>
      <c r="H171" s="269"/>
      <c r="J171" s="269" t="s">
        <v>182</v>
      </c>
      <c r="K171" s="269"/>
      <c r="L171" s="269"/>
      <c r="M171" s="269"/>
      <c r="N171" s="269"/>
      <c r="O171" s="269"/>
      <c r="P171" s="269"/>
      <c r="Q171" s="269"/>
      <c r="S171" s="269" t="s">
        <v>182</v>
      </c>
      <c r="T171" s="269"/>
      <c r="U171" s="269"/>
      <c r="V171" s="269"/>
      <c r="W171" s="269"/>
      <c r="X171" s="269"/>
      <c r="Y171" s="269"/>
      <c r="Z171" s="269"/>
      <c r="AB171" s="269" t="s">
        <v>182</v>
      </c>
      <c r="AC171" s="269"/>
      <c r="AD171" s="269"/>
      <c r="AE171" s="269"/>
      <c r="AF171" s="269"/>
      <c r="AG171" s="269"/>
      <c r="AH171" s="269"/>
      <c r="AI171" s="269"/>
    </row>
    <row r="172" ht="19.5" spans="1:35">
      <c r="A172" s="245"/>
      <c r="B172" s="250"/>
      <c r="C172" s="250"/>
      <c r="D172" s="250"/>
      <c r="E172" s="262"/>
      <c r="F172" s="262"/>
      <c r="G172" s="262"/>
      <c r="H172" s="180"/>
      <c r="J172" s="245"/>
      <c r="K172" s="368"/>
      <c r="L172" s="368"/>
      <c r="M172" s="368"/>
      <c r="N172" s="262"/>
      <c r="O172" s="262"/>
      <c r="P172" s="262"/>
      <c r="Q172" s="180"/>
      <c r="S172" s="245"/>
      <c r="T172" s="368"/>
      <c r="U172" s="368"/>
      <c r="V172" s="368"/>
      <c r="W172" s="262"/>
      <c r="X172" s="262"/>
      <c r="Y172" s="262"/>
      <c r="Z172" s="180"/>
      <c r="AB172" s="245"/>
      <c r="AC172" s="368"/>
      <c r="AD172" s="368"/>
      <c r="AE172" s="368"/>
      <c r="AF172" s="262"/>
      <c r="AG172" s="262"/>
      <c r="AH172" s="262"/>
      <c r="AI172" s="180"/>
    </row>
    <row r="173" spans="1:35">
      <c r="A173" s="245" t="s">
        <v>183</v>
      </c>
      <c r="B173" s="115">
        <v>0</v>
      </c>
      <c r="C173" s="115"/>
      <c r="D173" s="250"/>
      <c r="E173" s="262"/>
      <c r="F173" s="262"/>
      <c r="G173" s="262"/>
      <c r="H173" s="180"/>
      <c r="J173" s="245" t="s">
        <v>183</v>
      </c>
      <c r="K173" s="115">
        <v>0</v>
      </c>
      <c r="L173" s="115"/>
      <c r="M173" s="368"/>
      <c r="N173" s="262"/>
      <c r="O173" s="262"/>
      <c r="P173" s="262"/>
      <c r="Q173" s="180"/>
      <c r="S173" s="245" t="s">
        <v>183</v>
      </c>
      <c r="T173" s="115">
        <v>0</v>
      </c>
      <c r="U173" s="115"/>
      <c r="V173" s="368"/>
      <c r="W173" s="262"/>
      <c r="X173" s="262"/>
      <c r="Y173" s="262"/>
      <c r="Z173" s="180"/>
      <c r="AB173" s="245" t="s">
        <v>183</v>
      </c>
      <c r="AC173" s="115">
        <v>0</v>
      </c>
      <c r="AD173" s="115"/>
      <c r="AE173" s="368"/>
      <c r="AF173" s="262"/>
      <c r="AG173" s="262"/>
      <c r="AH173" s="262"/>
      <c r="AI173" s="180"/>
    </row>
    <row r="174" spans="1:35">
      <c r="A174" s="245"/>
      <c r="B174" s="250"/>
      <c r="C174" s="250"/>
      <c r="D174" s="250"/>
      <c r="E174" s="262"/>
      <c r="F174" s="262"/>
      <c r="G174" s="262"/>
      <c r="H174" s="180"/>
      <c r="J174" s="245"/>
      <c r="K174" s="368"/>
      <c r="L174" s="368"/>
      <c r="M174" s="368"/>
      <c r="N174" s="262"/>
      <c r="O174" s="262"/>
      <c r="P174" s="262"/>
      <c r="Q174" s="180"/>
      <c r="S174" s="245"/>
      <c r="T174" s="368"/>
      <c r="U174" s="368"/>
      <c r="V174" s="368"/>
      <c r="W174" s="262"/>
      <c r="X174" s="262"/>
      <c r="Y174" s="262"/>
      <c r="Z174" s="180"/>
      <c r="AB174" s="245"/>
      <c r="AC174" s="368"/>
      <c r="AD174" s="368"/>
      <c r="AE174" s="368"/>
      <c r="AF174" s="262"/>
      <c r="AG174" s="262"/>
      <c r="AH174" s="262"/>
      <c r="AI174" s="180"/>
    </row>
    <row r="175" spans="1:35">
      <c r="A175" s="364" t="s">
        <v>184</v>
      </c>
      <c r="B175" s="365" t="s">
        <v>185</v>
      </c>
      <c r="C175" s="365"/>
      <c r="D175" s="365"/>
      <c r="E175" s="365" t="s">
        <v>186</v>
      </c>
      <c r="F175" s="262"/>
      <c r="G175" s="262" t="s">
        <v>187</v>
      </c>
      <c r="H175" s="180"/>
      <c r="J175" s="364" t="s">
        <v>184</v>
      </c>
      <c r="K175" s="457" t="s">
        <v>185</v>
      </c>
      <c r="L175" s="457"/>
      <c r="M175" s="457"/>
      <c r="N175" s="457" t="s">
        <v>186</v>
      </c>
      <c r="O175" s="262"/>
      <c r="P175" s="262"/>
      <c r="Q175" s="180"/>
      <c r="S175" s="364" t="s">
        <v>184</v>
      </c>
      <c r="T175" s="457" t="s">
        <v>185</v>
      </c>
      <c r="U175" s="457"/>
      <c r="V175" s="457"/>
      <c r="W175" s="457" t="s">
        <v>186</v>
      </c>
      <c r="X175" s="262"/>
      <c r="Y175" s="262"/>
      <c r="Z175" s="180"/>
      <c r="AB175" s="364" t="s">
        <v>184</v>
      </c>
      <c r="AC175" s="457" t="s">
        <v>185</v>
      </c>
      <c r="AD175" s="457"/>
      <c r="AE175" s="457"/>
      <c r="AF175" s="457" t="s">
        <v>186</v>
      </c>
      <c r="AG175" s="262"/>
      <c r="AH175" s="262"/>
      <c r="AI175" s="180"/>
    </row>
    <row r="176" spans="1:35">
      <c r="A176" s="366">
        <f>B104</f>
        <v>546.961609847631</v>
      </c>
      <c r="B176" s="126">
        <f>B103</f>
        <v>80.4375</v>
      </c>
      <c r="C176" s="365"/>
      <c r="D176" s="365"/>
      <c r="E176" s="126">
        <f>B105</f>
        <v>627.399109847631</v>
      </c>
      <c r="F176" s="262"/>
      <c r="G176" s="262">
        <f>ROUND(G104,2)</f>
        <v>486.01</v>
      </c>
      <c r="H176" s="180"/>
      <c r="J176" s="366">
        <f>K104</f>
        <v>1522.35059507587</v>
      </c>
      <c r="K176" s="458">
        <f>K103</f>
        <v>0</v>
      </c>
      <c r="L176" s="457"/>
      <c r="M176" s="457"/>
      <c r="N176" s="458">
        <f>K105</f>
        <v>1522.35059507587</v>
      </c>
      <c r="O176" s="262"/>
      <c r="P176" s="262"/>
      <c r="Q176" s="180"/>
      <c r="S176" s="366">
        <f>T104</f>
        <v>634.549742547474</v>
      </c>
      <c r="T176" s="458">
        <f>T103</f>
        <v>0</v>
      </c>
      <c r="U176" s="457"/>
      <c r="V176" s="457"/>
      <c r="W176" s="458">
        <f>T105</f>
        <v>634.549742547474</v>
      </c>
      <c r="X176" s="262"/>
      <c r="Y176" s="262"/>
      <c r="Z176" s="180"/>
      <c r="AB176" s="366">
        <f>AC104</f>
        <v>634.549742547474</v>
      </c>
      <c r="AC176" s="458">
        <f>AC103</f>
        <v>0</v>
      </c>
      <c r="AD176" s="457"/>
      <c r="AE176" s="457"/>
      <c r="AF176" s="458">
        <f>AC105</f>
        <v>634.549742547474</v>
      </c>
      <c r="AG176" s="262"/>
      <c r="AH176" s="262"/>
      <c r="AI176" s="180"/>
    </row>
    <row r="177" spans="1:35">
      <c r="A177" s="245"/>
      <c r="B177" s="250"/>
      <c r="C177" s="250"/>
      <c r="D177" s="250"/>
      <c r="E177" s="262"/>
      <c r="F177" s="262"/>
      <c r="G177" s="262"/>
      <c r="H177" s="180"/>
      <c r="J177" s="245"/>
      <c r="K177" s="368"/>
      <c r="L177" s="368"/>
      <c r="M177" s="368"/>
      <c r="N177" s="262"/>
      <c r="O177" s="262"/>
      <c r="P177" s="262"/>
      <c r="Q177" s="180"/>
      <c r="S177" s="245"/>
      <c r="T177" s="368"/>
      <c r="U177" s="368"/>
      <c r="V177" s="368"/>
      <c r="W177" s="262"/>
      <c r="X177" s="262"/>
      <c r="Y177" s="262"/>
      <c r="Z177" s="180"/>
      <c r="AB177" s="245"/>
      <c r="AC177" s="368"/>
      <c r="AD177" s="368"/>
      <c r="AE177" s="368"/>
      <c r="AF177" s="262"/>
      <c r="AG177" s="262"/>
      <c r="AH177" s="262"/>
      <c r="AI177" s="180"/>
    </row>
    <row r="178" spans="1:35">
      <c r="A178" s="245" t="s">
        <v>83</v>
      </c>
      <c r="B178" s="250" t="s">
        <v>84</v>
      </c>
      <c r="C178" s="250"/>
      <c r="D178" s="262"/>
      <c r="E178" s="250" t="s">
        <v>188</v>
      </c>
      <c r="F178" s="262"/>
      <c r="G178" s="262"/>
      <c r="H178" s="180"/>
      <c r="J178" s="245" t="s">
        <v>83</v>
      </c>
      <c r="K178" s="368" t="s">
        <v>84</v>
      </c>
      <c r="L178" s="368"/>
      <c r="M178" s="262"/>
      <c r="N178" s="368" t="s">
        <v>188</v>
      </c>
      <c r="O178" s="262"/>
      <c r="P178" s="262"/>
      <c r="Q178" s="180"/>
      <c r="S178" s="245" t="s">
        <v>83</v>
      </c>
      <c r="T178" s="368" t="s">
        <v>84</v>
      </c>
      <c r="U178" s="368"/>
      <c r="V178" s="262"/>
      <c r="W178" s="368" t="s">
        <v>188</v>
      </c>
      <c r="X178" s="262"/>
      <c r="Y178" s="262"/>
      <c r="Z178" s="180"/>
      <c r="AB178" s="245" t="s">
        <v>83</v>
      </c>
      <c r="AC178" s="368" t="s">
        <v>84</v>
      </c>
      <c r="AD178" s="368"/>
      <c r="AE178" s="262"/>
      <c r="AF178" s="368" t="s">
        <v>188</v>
      </c>
      <c r="AG178" s="262"/>
      <c r="AH178" s="262"/>
      <c r="AI178" s="180"/>
    </row>
    <row r="179" spans="1:35">
      <c r="A179" s="270">
        <f>B38</f>
        <v>0</v>
      </c>
      <c r="B179" s="42">
        <f>B39</f>
        <v>0</v>
      </c>
      <c r="C179" s="367"/>
      <c r="D179" s="262"/>
      <c r="E179" s="274">
        <f>B91</f>
        <v>7200</v>
      </c>
      <c r="F179" s="262"/>
      <c r="G179" s="262"/>
      <c r="H179" s="180"/>
      <c r="J179" s="270" t="str">
        <f>K29</f>
        <v>33</v>
      </c>
      <c r="K179" s="42" t="str">
        <f>K30</f>
        <v>5000</v>
      </c>
      <c r="L179" s="459"/>
      <c r="M179" s="262"/>
      <c r="N179" s="53" t="str">
        <f>IF(A120="YES",A40,0)</f>
        <v>12</v>
      </c>
      <c r="O179" s="262"/>
      <c r="P179" s="262"/>
      <c r="Q179" s="180"/>
      <c r="S179" s="270" t="str">
        <f>K29</f>
        <v>33</v>
      </c>
      <c r="T179" s="42" t="str">
        <f>K30</f>
        <v>5000</v>
      </c>
      <c r="U179" s="459"/>
      <c r="V179" s="262"/>
      <c r="W179" s="53" t="str">
        <f>IF(A120="YES",A40,0)</f>
        <v>12</v>
      </c>
      <c r="X179" s="262"/>
      <c r="Y179" s="262"/>
      <c r="Z179" s="180"/>
      <c r="AB179" s="270" t="str">
        <f>K29</f>
        <v>33</v>
      </c>
      <c r="AC179" s="42" t="str">
        <f>K30</f>
        <v>5000</v>
      </c>
      <c r="AD179" s="459"/>
      <c r="AE179" s="262"/>
      <c r="AF179" s="53" t="str">
        <f>IF(A120="YES",A40,0)</f>
        <v>12</v>
      </c>
      <c r="AG179" s="262"/>
      <c r="AH179" s="262"/>
      <c r="AI179" s="180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368"/>
      <c r="L180" s="368"/>
      <c r="M180" s="262"/>
      <c r="N180" s="368"/>
      <c r="O180" s="262"/>
      <c r="P180" s="262"/>
      <c r="Q180" s="180"/>
      <c r="S180" s="245"/>
      <c r="T180" s="368"/>
      <c r="U180" s="368"/>
      <c r="V180" s="262"/>
      <c r="W180" s="368"/>
      <c r="X180" s="262"/>
      <c r="Y180" s="262"/>
      <c r="Z180" s="180"/>
      <c r="AB180" s="245"/>
      <c r="AC180" s="368"/>
      <c r="AD180" s="368"/>
      <c r="AE180" s="262"/>
      <c r="AF180" s="368"/>
      <c r="AG180" s="262"/>
      <c r="AH180" s="262"/>
      <c r="AI180" s="180"/>
    </row>
    <row r="181" spans="1:35">
      <c r="A181" s="245" t="s">
        <v>189</v>
      </c>
      <c r="B181" s="250" t="s">
        <v>190</v>
      </c>
      <c r="C181" s="250"/>
      <c r="D181" s="262"/>
      <c r="E181" s="250" t="s">
        <v>191</v>
      </c>
      <c r="F181" s="262"/>
      <c r="G181" s="262"/>
      <c r="H181" s="180"/>
      <c r="J181" s="245" t="s">
        <v>189</v>
      </c>
      <c r="K181" s="368" t="s">
        <v>190</v>
      </c>
      <c r="L181" s="368"/>
      <c r="M181" s="262"/>
      <c r="N181" s="368" t="s">
        <v>191</v>
      </c>
      <c r="O181" s="262"/>
      <c r="P181" s="262"/>
      <c r="Q181" s="180"/>
      <c r="S181" s="245" t="s">
        <v>189</v>
      </c>
      <c r="T181" s="368" t="s">
        <v>190</v>
      </c>
      <c r="U181" s="368"/>
      <c r="V181" s="262"/>
      <c r="W181" s="368" t="s">
        <v>191</v>
      </c>
      <c r="X181" s="262"/>
      <c r="Y181" s="262"/>
      <c r="Z181" s="180"/>
      <c r="AB181" s="245" t="s">
        <v>189</v>
      </c>
      <c r="AC181" s="368" t="s">
        <v>190</v>
      </c>
      <c r="AD181" s="368"/>
      <c r="AE181" s="262"/>
      <c r="AF181" s="368" t="s">
        <v>191</v>
      </c>
      <c r="AG181" s="262"/>
      <c r="AH181" s="262"/>
      <c r="AI181" s="180"/>
    </row>
    <row r="182" spans="1:35">
      <c r="A182" s="132">
        <f>H150-H146-H148-H149</f>
        <v>17440</v>
      </c>
      <c r="B182" s="133">
        <f>H146</f>
        <v>3488</v>
      </c>
      <c r="C182" s="272"/>
      <c r="D182" s="262"/>
      <c r="E182" s="274">
        <f>H148+H149</f>
        <v>340</v>
      </c>
      <c r="F182" s="262"/>
      <c r="G182" s="262"/>
      <c r="H182" s="180"/>
      <c r="J182" s="132">
        <f>Q150-Q146-Q148-Q149</f>
        <v>29324.17</v>
      </c>
      <c r="K182" s="127">
        <f>Q146</f>
        <v>5864.834</v>
      </c>
      <c r="L182" s="388"/>
      <c r="M182" s="262"/>
      <c r="N182" s="53">
        <f>Q148+Q149</f>
        <v>330</v>
      </c>
      <c r="O182" s="262"/>
      <c r="P182" s="262"/>
      <c r="Q182" s="180"/>
      <c r="S182" s="132">
        <f>Z150-Z146-Z148-Z149</f>
        <v>13253.75</v>
      </c>
      <c r="T182" s="127">
        <f>Z146</f>
        <v>2650.75</v>
      </c>
      <c r="U182" s="388"/>
      <c r="V182" s="262"/>
      <c r="W182" s="53">
        <f>Z148+Z149</f>
        <v>330</v>
      </c>
      <c r="X182" s="262"/>
      <c r="Y182" s="262"/>
      <c r="Z182" s="180"/>
      <c r="AB182" s="132">
        <f>AI150-AI146-AI148-AI149</f>
        <v>13253.75</v>
      </c>
      <c r="AC182" s="127">
        <f>AI146</f>
        <v>2650.75</v>
      </c>
      <c r="AD182" s="388"/>
      <c r="AE182" s="262"/>
      <c r="AF182" s="53">
        <f>AI148+AI149</f>
        <v>330</v>
      </c>
      <c r="AG182" s="262"/>
      <c r="AH182" s="262"/>
      <c r="AI182" s="180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368"/>
      <c r="L183" s="368"/>
      <c r="M183" s="262"/>
      <c r="N183" s="368"/>
      <c r="O183" s="262"/>
      <c r="P183" s="262"/>
      <c r="Q183" s="180"/>
      <c r="S183" s="245"/>
      <c r="T183" s="368"/>
      <c r="U183" s="368"/>
      <c r="V183" s="262"/>
      <c r="W183" s="368"/>
      <c r="X183" s="262"/>
      <c r="Y183" s="262"/>
      <c r="Z183" s="180"/>
      <c r="AB183" s="245"/>
      <c r="AC183" s="368"/>
      <c r="AD183" s="368"/>
      <c r="AE183" s="262"/>
      <c r="AF183" s="368"/>
      <c r="AG183" s="262"/>
      <c r="AH183" s="262"/>
      <c r="AI183" s="180"/>
    </row>
    <row r="184" spans="1:35">
      <c r="A184" s="245" t="s">
        <v>192</v>
      </c>
      <c r="B184" s="250" t="s">
        <v>138</v>
      </c>
      <c r="C184" s="250"/>
      <c r="D184" s="262"/>
      <c r="E184" s="250" t="s">
        <v>139</v>
      </c>
      <c r="F184" s="262"/>
      <c r="G184" s="262"/>
      <c r="H184" s="180"/>
      <c r="J184" s="245" t="s">
        <v>192</v>
      </c>
      <c r="K184" s="368" t="s">
        <v>138</v>
      </c>
      <c r="L184" s="368"/>
      <c r="M184" s="262"/>
      <c r="N184" s="368" t="s">
        <v>139</v>
      </c>
      <c r="O184" s="262"/>
      <c r="P184" s="262"/>
      <c r="Q184" s="180"/>
      <c r="S184" s="245" t="s">
        <v>192</v>
      </c>
      <c r="T184" s="368" t="s">
        <v>138</v>
      </c>
      <c r="U184" s="368"/>
      <c r="V184" s="262"/>
      <c r="W184" s="368" t="s">
        <v>139</v>
      </c>
      <c r="X184" s="262"/>
      <c r="Y184" s="262"/>
      <c r="Z184" s="180"/>
      <c r="AB184" s="245" t="s">
        <v>192</v>
      </c>
      <c r="AC184" s="368" t="s">
        <v>138</v>
      </c>
      <c r="AD184" s="368"/>
      <c r="AE184" s="262"/>
      <c r="AF184" s="368" t="s">
        <v>139</v>
      </c>
      <c r="AG184" s="262"/>
      <c r="AH184" s="262"/>
      <c r="AI184" s="180"/>
    </row>
    <row r="185" spans="1:35">
      <c r="A185" s="132">
        <f>H150</f>
        <v>21268</v>
      </c>
      <c r="B185" s="133">
        <f>B120</f>
        <v>0</v>
      </c>
      <c r="C185" s="133"/>
      <c r="D185" s="262"/>
      <c r="E185" s="133">
        <f>E120</f>
        <v>0</v>
      </c>
      <c r="F185" s="262"/>
      <c r="G185" s="262"/>
      <c r="H185" s="141"/>
      <c r="J185" s="132">
        <f>Q150</f>
        <v>35519.004</v>
      </c>
      <c r="K185" s="127">
        <f>K120</f>
        <v>1000</v>
      </c>
      <c r="L185" s="127"/>
      <c r="M185" s="262"/>
      <c r="N185" s="127">
        <f>N120</f>
        <v>0</v>
      </c>
      <c r="O185" s="262"/>
      <c r="P185" s="262"/>
      <c r="Q185" s="141"/>
      <c r="S185" s="132">
        <f>Z150</f>
        <v>16234.5</v>
      </c>
      <c r="T185" s="127">
        <f>T120</f>
        <v>1000</v>
      </c>
      <c r="U185" s="127"/>
      <c r="V185" s="262"/>
      <c r="W185" s="127">
        <f>W120</f>
        <v>0</v>
      </c>
      <c r="X185" s="262"/>
      <c r="Y185" s="262"/>
      <c r="Z185" s="141"/>
      <c r="AB185" s="132">
        <f>AI150</f>
        <v>16234.5</v>
      </c>
      <c r="AC185" s="127">
        <f>AC120</f>
        <v>1000</v>
      </c>
      <c r="AD185" s="127"/>
      <c r="AE185" s="262"/>
      <c r="AF185" s="127">
        <f>AF120</f>
        <v>0</v>
      </c>
      <c r="AG185" s="262"/>
      <c r="AH185" s="262"/>
      <c r="AI185" s="141"/>
    </row>
    <row r="186" spans="1:35">
      <c r="A186" s="245"/>
      <c r="B186" s="250"/>
      <c r="C186" s="250"/>
      <c r="D186" s="262"/>
      <c r="E186" s="250"/>
      <c r="F186" s="262"/>
      <c r="G186" s="262"/>
      <c r="H186" s="180"/>
      <c r="J186" s="245"/>
      <c r="K186" s="368"/>
      <c r="L186" s="368"/>
      <c r="M186" s="262"/>
      <c r="N186" s="368"/>
      <c r="O186" s="262"/>
      <c r="P186" s="262"/>
      <c r="Q186" s="180"/>
      <c r="S186" s="245"/>
      <c r="T186" s="368"/>
      <c r="U186" s="368"/>
      <c r="V186" s="262"/>
      <c r="W186" s="368"/>
      <c r="X186" s="262"/>
      <c r="Y186" s="262"/>
      <c r="Z186" s="180"/>
      <c r="AB186" s="245"/>
      <c r="AC186" s="368"/>
      <c r="AD186" s="368"/>
      <c r="AE186" s="262"/>
      <c r="AF186" s="368"/>
      <c r="AG186" s="262"/>
      <c r="AH186" s="262"/>
      <c r="AI186" s="180"/>
    </row>
    <row r="187" spans="1:35">
      <c r="A187" s="245" t="s">
        <v>140</v>
      </c>
      <c r="B187" s="250" t="s">
        <v>176</v>
      </c>
      <c r="C187" s="250"/>
      <c r="D187" s="262"/>
      <c r="E187" s="250" t="s">
        <v>181</v>
      </c>
      <c r="F187" s="262"/>
      <c r="G187" s="262"/>
      <c r="H187" s="180"/>
      <c r="J187" s="245" t="s">
        <v>140</v>
      </c>
      <c r="K187" s="368" t="s">
        <v>176</v>
      </c>
      <c r="L187" s="368"/>
      <c r="M187" s="262"/>
      <c r="N187" s="368" t="s">
        <v>181</v>
      </c>
      <c r="O187" s="262"/>
      <c r="P187" s="262"/>
      <c r="Q187" s="180"/>
      <c r="S187" s="245" t="s">
        <v>140</v>
      </c>
      <c r="T187" s="368" t="s">
        <v>176</v>
      </c>
      <c r="U187" s="368"/>
      <c r="V187" s="262"/>
      <c r="W187" s="368" t="s">
        <v>181</v>
      </c>
      <c r="X187" s="262"/>
      <c r="Y187" s="262"/>
      <c r="Z187" s="180"/>
      <c r="AB187" s="245" t="s">
        <v>140</v>
      </c>
      <c r="AC187" s="368" t="s">
        <v>176</v>
      </c>
      <c r="AD187" s="368"/>
      <c r="AE187" s="262"/>
      <c r="AF187" s="368" t="s">
        <v>181</v>
      </c>
      <c r="AG187" s="262"/>
      <c r="AH187" s="262"/>
      <c r="AI187" s="180"/>
    </row>
    <row r="188" spans="1:35">
      <c r="A188" s="134">
        <f>B185+E185</f>
        <v>0</v>
      </c>
      <c r="B188" s="133">
        <f>G163</f>
        <v>0</v>
      </c>
      <c r="C188" s="133"/>
      <c r="D188" s="262"/>
      <c r="E188" s="133">
        <f>A185-A188-B188</f>
        <v>21268</v>
      </c>
      <c r="F188" s="262"/>
      <c r="G188" s="262"/>
      <c r="H188" s="141"/>
      <c r="J188" s="134">
        <f>K185+N185</f>
        <v>1000</v>
      </c>
      <c r="K188" s="127">
        <f>P163</f>
        <v>-2000</v>
      </c>
      <c r="L188" s="127"/>
      <c r="M188" s="262"/>
      <c r="N188" s="127">
        <f>J185-J188-K188</f>
        <v>36519.004</v>
      </c>
      <c r="O188" s="262"/>
      <c r="P188" s="262"/>
      <c r="Q188" s="141"/>
      <c r="S188" s="134">
        <f>T185+W185</f>
        <v>1000</v>
      </c>
      <c r="T188" s="127">
        <f>Y163</f>
        <v>-2000</v>
      </c>
      <c r="U188" s="127"/>
      <c r="V188" s="262"/>
      <c r="W188" s="127">
        <f>S185-S188-T188</f>
        <v>17234.5</v>
      </c>
      <c r="X188" s="262"/>
      <c r="Y188" s="262"/>
      <c r="Z188" s="141"/>
      <c r="AB188" s="134">
        <f>AC185+AF185</f>
        <v>1000</v>
      </c>
      <c r="AC188" s="127">
        <f>AH163</f>
        <v>-2000</v>
      </c>
      <c r="AD188" s="127"/>
      <c r="AE188" s="262"/>
      <c r="AF188" s="127">
        <f>AB185-AB188-AC188</f>
        <v>17234.5</v>
      </c>
      <c r="AG188" s="262"/>
      <c r="AH188" s="262"/>
      <c r="AI188" s="141"/>
    </row>
    <row r="189" spans="1:35">
      <c r="A189" s="245"/>
      <c r="B189" s="250"/>
      <c r="C189" s="250"/>
      <c r="D189" s="262"/>
      <c r="E189" s="250"/>
      <c r="F189" s="262"/>
      <c r="G189" s="262"/>
      <c r="H189" s="180"/>
      <c r="J189" s="245"/>
      <c r="K189" s="368"/>
      <c r="L189" s="368"/>
      <c r="M189" s="262"/>
      <c r="N189" s="368"/>
      <c r="O189" s="262"/>
      <c r="P189" s="262"/>
      <c r="Q189" s="180"/>
      <c r="S189" s="245"/>
      <c r="T189" s="368"/>
      <c r="U189" s="368"/>
      <c r="V189" s="262"/>
      <c r="W189" s="368"/>
      <c r="X189" s="262"/>
      <c r="Y189" s="262"/>
      <c r="Z189" s="180"/>
      <c r="AB189" s="245"/>
      <c r="AC189" s="368"/>
      <c r="AD189" s="368"/>
      <c r="AE189" s="262"/>
      <c r="AF189" s="368"/>
      <c r="AG189" s="262"/>
      <c r="AH189" s="262"/>
      <c r="AI189" s="180"/>
    </row>
    <row r="190" spans="1:35">
      <c r="A190" s="245" t="s">
        <v>193</v>
      </c>
      <c r="B190" s="250" t="s">
        <v>53</v>
      </c>
      <c r="C190" s="250"/>
      <c r="D190" s="262"/>
      <c r="E190" s="250" t="s">
        <v>194</v>
      </c>
      <c r="F190" s="262"/>
      <c r="G190" s="262"/>
      <c r="H190" s="180"/>
      <c r="J190" s="245" t="s">
        <v>193</v>
      </c>
      <c r="K190" s="368" t="s">
        <v>53</v>
      </c>
      <c r="L190" s="368"/>
      <c r="M190" s="262"/>
      <c r="N190" s="368" t="s">
        <v>194</v>
      </c>
      <c r="O190" s="262"/>
      <c r="P190" s="262"/>
      <c r="Q190" s="180"/>
      <c r="S190" s="245" t="s">
        <v>193</v>
      </c>
      <c r="T190" s="368" t="s">
        <v>53</v>
      </c>
      <c r="U190" s="368"/>
      <c r="V190" s="262"/>
      <c r="W190" s="368" t="s">
        <v>194</v>
      </c>
      <c r="X190" s="262"/>
      <c r="Y190" s="262"/>
      <c r="Z190" s="180"/>
      <c r="AB190" s="245" t="s">
        <v>193</v>
      </c>
      <c r="AC190" s="368" t="s">
        <v>53</v>
      </c>
      <c r="AD190" s="368"/>
      <c r="AE190" s="262"/>
      <c r="AF190" s="368" t="s">
        <v>194</v>
      </c>
      <c r="AG190" s="262"/>
      <c r="AH190" s="262"/>
      <c r="AI190" s="180"/>
    </row>
    <row r="191" spans="1:35">
      <c r="A191" s="134">
        <f>(A176*B68)+E194-E188-A194</f>
        <v>3434.77151512419</v>
      </c>
      <c r="B191" s="133" t="str">
        <f>B123</f>
        <v>239.99</v>
      </c>
      <c r="C191" s="133"/>
      <c r="D191" s="262"/>
      <c r="E191" s="133">
        <f>E188+A191+B191+A194</f>
        <v>24952.7615151242</v>
      </c>
      <c r="F191" s="262"/>
      <c r="G191" s="262"/>
      <c r="H191" s="141"/>
      <c r="J191" s="134">
        <f>(J176*K68)+N194-N188-J194</f>
        <v>12208.2150424278</v>
      </c>
      <c r="K191" s="127">
        <f>K123</f>
        <v>239.99</v>
      </c>
      <c r="L191" s="127"/>
      <c r="M191" s="262"/>
      <c r="N191" s="127">
        <f>N188+J191+K191+J194</f>
        <v>48987.2090424278</v>
      </c>
      <c r="O191" s="262"/>
      <c r="P191" s="262"/>
      <c r="Q191" s="141"/>
      <c r="S191" s="134">
        <f>(S176*T68)+W194-W188-S194</f>
        <v>3083.09176151916</v>
      </c>
      <c r="T191" s="127">
        <f>T123</f>
        <v>199.99</v>
      </c>
      <c r="U191" s="127"/>
      <c r="V191" s="262"/>
      <c r="W191" s="127">
        <f>W188+S191+T191+S194</f>
        <v>20527.5817615192</v>
      </c>
      <c r="X191" s="262"/>
      <c r="Y191" s="262"/>
      <c r="Z191" s="141"/>
      <c r="AB191" s="134">
        <f>(AB176*AC68)+AF194-AF188-AB194</f>
        <v>3083.09176151916</v>
      </c>
      <c r="AC191" s="127">
        <f>AC123</f>
        <v>239.99</v>
      </c>
      <c r="AD191" s="127"/>
      <c r="AE191" s="262"/>
      <c r="AF191" s="127">
        <f>AF188+AB191+AC191+AB194</f>
        <v>20567.5817615192</v>
      </c>
      <c r="AG191" s="262"/>
      <c r="AH191" s="262"/>
      <c r="AI191" s="141"/>
    </row>
    <row r="192" spans="1:35">
      <c r="A192" s="245"/>
      <c r="B192" s="250"/>
      <c r="C192" s="250"/>
      <c r="D192" s="262"/>
      <c r="E192" s="250"/>
      <c r="F192" s="262"/>
      <c r="G192" s="262"/>
      <c r="H192" s="180"/>
      <c r="J192" s="245"/>
      <c r="K192" s="368"/>
      <c r="L192" s="368"/>
      <c r="M192" s="262"/>
      <c r="N192" s="368"/>
      <c r="O192" s="262"/>
      <c r="P192" s="262"/>
      <c r="Q192" s="180"/>
      <c r="S192" s="245"/>
      <c r="T192" s="368"/>
      <c r="U192" s="368"/>
      <c r="V192" s="262"/>
      <c r="W192" s="368"/>
      <c r="X192" s="262"/>
      <c r="Y192" s="262"/>
      <c r="Z192" s="180"/>
      <c r="AB192" s="245"/>
      <c r="AC192" s="368"/>
      <c r="AD192" s="368"/>
      <c r="AE192" s="262"/>
      <c r="AF192" s="368"/>
      <c r="AG192" s="262"/>
      <c r="AH192" s="262"/>
      <c r="AI192" s="180"/>
    </row>
    <row r="193" spans="1:35">
      <c r="A193" s="245" t="s">
        <v>195</v>
      </c>
      <c r="B193" s="250" t="s">
        <v>196</v>
      </c>
      <c r="C193" s="250"/>
      <c r="D193" s="262"/>
      <c r="E193" s="250" t="s">
        <v>197</v>
      </c>
      <c r="F193" s="262"/>
      <c r="G193" s="262"/>
      <c r="H193" s="180"/>
      <c r="J193" s="245" t="s">
        <v>195</v>
      </c>
      <c r="K193" s="368" t="s">
        <v>196</v>
      </c>
      <c r="L193" s="368"/>
      <c r="M193" s="262"/>
      <c r="N193" s="368" t="s">
        <v>197</v>
      </c>
      <c r="O193" s="262"/>
      <c r="P193" s="262"/>
      <c r="Q193" s="180"/>
      <c r="S193" s="245" t="s">
        <v>195</v>
      </c>
      <c r="T193" s="368" t="s">
        <v>196</v>
      </c>
      <c r="U193" s="368"/>
      <c r="V193" s="262"/>
      <c r="W193" s="368" t="s">
        <v>197</v>
      </c>
      <c r="X193" s="262"/>
      <c r="Y193" s="262"/>
      <c r="Z193" s="180"/>
      <c r="AB193" s="245" t="s">
        <v>195</v>
      </c>
      <c r="AC193" s="368" t="s">
        <v>196</v>
      </c>
      <c r="AD193" s="368"/>
      <c r="AE193" s="262"/>
      <c r="AF193" s="368" t="s">
        <v>197</v>
      </c>
      <c r="AG193" s="262"/>
      <c r="AH193" s="262"/>
      <c r="AI193" s="180"/>
    </row>
    <row r="194" spans="1:35">
      <c r="A194" s="134">
        <f>B69</f>
        <v>10</v>
      </c>
      <c r="B194" s="133">
        <f>A188+B191</f>
        <v>239.99</v>
      </c>
      <c r="C194" s="133"/>
      <c r="D194" s="262"/>
      <c r="E194" s="133">
        <f>E179+A194</f>
        <v>7210</v>
      </c>
      <c r="F194" s="262"/>
      <c r="G194" s="262"/>
      <c r="H194" s="141"/>
      <c r="J194" s="134">
        <f>K69</f>
        <v>20</v>
      </c>
      <c r="K194" s="127">
        <f>J188+K191</f>
        <v>1239.99</v>
      </c>
      <c r="L194" s="127"/>
      <c r="M194" s="262"/>
      <c r="N194" s="127">
        <f>N179+J194</f>
        <v>32</v>
      </c>
      <c r="O194" s="262"/>
      <c r="P194" s="262"/>
      <c r="Q194" s="141"/>
      <c r="S194" s="134">
        <f>T69</f>
        <v>10</v>
      </c>
      <c r="T194" s="127">
        <f>S188+T191</f>
        <v>1199.99</v>
      </c>
      <c r="U194" s="127"/>
      <c r="V194" s="262"/>
      <c r="W194" s="127">
        <f>W179+S194</f>
        <v>22</v>
      </c>
      <c r="X194" s="262"/>
      <c r="Y194" s="262"/>
      <c r="Z194" s="141"/>
      <c r="AB194" s="134">
        <f>AC69</f>
        <v>10</v>
      </c>
      <c r="AC194" s="127">
        <f>AB188+AC191</f>
        <v>1239.99</v>
      </c>
      <c r="AD194" s="127"/>
      <c r="AE194" s="262"/>
      <c r="AF194" s="127">
        <f>AF179+AB194</f>
        <v>22</v>
      </c>
      <c r="AG194" s="262"/>
      <c r="AH194" s="262"/>
      <c r="AI194" s="141"/>
    </row>
    <row r="195" spans="1:35">
      <c r="A195" s="245"/>
      <c r="B195" s="250"/>
      <c r="C195" s="250"/>
      <c r="D195" s="250"/>
      <c r="E195" s="262"/>
      <c r="F195" s="262"/>
      <c r="G195" s="262"/>
      <c r="H195" s="180"/>
      <c r="J195" s="245"/>
      <c r="K195" s="368"/>
      <c r="L195" s="368"/>
      <c r="M195" s="368"/>
      <c r="N195" s="262"/>
      <c r="O195" s="262"/>
      <c r="P195" s="262"/>
      <c r="Q195" s="180"/>
      <c r="S195" s="245"/>
      <c r="T195" s="368"/>
      <c r="U195" s="368"/>
      <c r="V195" s="368"/>
      <c r="W195" s="262"/>
      <c r="X195" s="368"/>
      <c r="Y195" s="368"/>
      <c r="Z195" s="180"/>
      <c r="AB195" s="245"/>
      <c r="AC195" s="368"/>
      <c r="AD195" s="368"/>
      <c r="AE195" s="368"/>
      <c r="AF195" s="262"/>
      <c r="AG195" s="262"/>
      <c r="AH195" s="262"/>
      <c r="AI195" s="180"/>
    </row>
    <row r="196" spans="1:35">
      <c r="A196" s="245" t="s">
        <v>198</v>
      </c>
      <c r="B196" s="250" t="s">
        <v>199</v>
      </c>
      <c r="C196" s="250"/>
      <c r="D196" s="250"/>
      <c r="E196" s="105" t="s">
        <v>200</v>
      </c>
      <c r="F196" s="262"/>
      <c r="G196" s="262"/>
      <c r="H196" s="180"/>
      <c r="J196" s="245" t="s">
        <v>198</v>
      </c>
      <c r="K196" s="368" t="s">
        <v>199</v>
      </c>
      <c r="L196" s="368"/>
      <c r="M196" s="368"/>
      <c r="N196" s="129" t="s">
        <v>200</v>
      </c>
      <c r="O196" s="262"/>
      <c r="P196" s="262"/>
      <c r="Q196" s="180"/>
      <c r="S196" s="245" t="s">
        <v>198</v>
      </c>
      <c r="T196" s="368" t="s">
        <v>199</v>
      </c>
      <c r="U196" s="368"/>
      <c r="V196" s="368"/>
      <c r="W196" s="129" t="s">
        <v>200</v>
      </c>
      <c r="X196" s="368"/>
      <c r="Y196" s="368"/>
      <c r="Z196" s="180"/>
      <c r="AB196" s="245" t="s">
        <v>198</v>
      </c>
      <c r="AC196" s="368" t="s">
        <v>199</v>
      </c>
      <c r="AD196" s="368"/>
      <c r="AE196" s="368"/>
      <c r="AF196" s="129" t="s">
        <v>200</v>
      </c>
      <c r="AG196" s="368"/>
      <c r="AH196" s="368"/>
      <c r="AI196" s="180"/>
    </row>
    <row r="197" spans="1:35">
      <c r="A197" s="134">
        <f>J18*0.000002*100*1.2</f>
        <v>5.02272</v>
      </c>
      <c r="B197" s="133">
        <f>(G167*B76)/1.2</f>
        <v>166.15625</v>
      </c>
      <c r="C197" s="250"/>
      <c r="D197" s="250"/>
      <c r="E197" s="133">
        <f>IF(E114="YES",(K55*A117*0.1),0)</f>
        <v>49.5</v>
      </c>
      <c r="F197" s="262"/>
      <c r="G197" s="262"/>
      <c r="H197" s="180"/>
      <c r="J197" s="134">
        <f>IF(N114="YES",H15*0.000002,0)</f>
        <v>0.042536</v>
      </c>
      <c r="K197" s="127">
        <f>(P167*K76)/1.2</f>
        <v>2187.33617708333</v>
      </c>
      <c r="L197" s="368"/>
      <c r="M197" s="368"/>
      <c r="N197" s="127">
        <f>(E40*J117)*0.1</f>
        <v>0</v>
      </c>
      <c r="O197" s="262"/>
      <c r="P197" s="262"/>
      <c r="Q197" s="180"/>
      <c r="S197" s="134">
        <f>IF(W114="YES",Z15*0.000002,0)</f>
        <v>0</v>
      </c>
      <c r="T197" s="127">
        <f>(Y167*T76)/1.2</f>
        <v>134.64453125</v>
      </c>
      <c r="U197" s="368"/>
      <c r="V197" s="368"/>
      <c r="W197" s="127">
        <f>(E40*S117)*0.1</f>
        <v>0</v>
      </c>
      <c r="X197" s="368"/>
      <c r="Y197" s="368"/>
      <c r="Z197" s="180"/>
      <c r="AB197" s="134">
        <f>IF(AF114="YES",AI15*0.000002,0)</f>
        <v>0</v>
      </c>
      <c r="AC197" s="127">
        <f>(AH167*AC76)/1.2</f>
        <v>134.64453125</v>
      </c>
      <c r="AD197" s="368"/>
      <c r="AE197" s="368"/>
      <c r="AF197" s="127">
        <f>(E40*AB117)*0.1</f>
        <v>0</v>
      </c>
      <c r="AG197" s="368"/>
      <c r="AH197" s="368"/>
      <c r="AI197" s="180"/>
    </row>
    <row r="198" spans="1:35">
      <c r="A198" s="134"/>
      <c r="B198" s="133"/>
      <c r="C198" s="250"/>
      <c r="D198" s="250"/>
      <c r="E198" s="262"/>
      <c r="F198" s="262"/>
      <c r="G198" s="262"/>
      <c r="H198" s="180"/>
      <c r="J198" s="134"/>
      <c r="K198" s="127"/>
      <c r="L198" s="368"/>
      <c r="M198" s="368"/>
      <c r="N198" s="262"/>
      <c r="O198" s="262"/>
      <c r="P198" s="262"/>
      <c r="Q198" s="180"/>
      <c r="S198" s="134"/>
      <c r="T198" s="127"/>
      <c r="U198" s="368"/>
      <c r="V198" s="368"/>
      <c r="W198" s="262"/>
      <c r="X198" s="368"/>
      <c r="Y198" s="368"/>
      <c r="Z198" s="180"/>
      <c r="AB198" s="134"/>
      <c r="AC198" s="127"/>
      <c r="AD198" s="368"/>
      <c r="AE198" s="368"/>
      <c r="AF198" s="262"/>
      <c r="AG198" s="368"/>
      <c r="AH198" s="368"/>
      <c r="AI198" s="180"/>
    </row>
    <row r="199" spans="1:35">
      <c r="A199" s="137" t="s">
        <v>201</v>
      </c>
      <c r="B199" s="105" t="s">
        <v>202</v>
      </c>
      <c r="C199" s="250"/>
      <c r="D199" s="250"/>
      <c r="E199" s="105" t="s">
        <v>203</v>
      </c>
      <c r="F199" s="262"/>
      <c r="G199" s="262"/>
      <c r="H199" s="180"/>
      <c r="J199" s="137" t="s">
        <v>201</v>
      </c>
      <c r="K199" s="129" t="s">
        <v>202</v>
      </c>
      <c r="L199" s="368"/>
      <c r="M199" s="368"/>
      <c r="N199" s="129" t="s">
        <v>203</v>
      </c>
      <c r="O199" s="262"/>
      <c r="P199" s="262"/>
      <c r="Q199" s="180"/>
      <c r="S199" s="137" t="s">
        <v>201</v>
      </c>
      <c r="T199" s="129" t="s">
        <v>202</v>
      </c>
      <c r="U199" s="368"/>
      <c r="V199" s="368"/>
      <c r="W199" s="129" t="s">
        <v>203</v>
      </c>
      <c r="X199" s="368"/>
      <c r="Y199" s="368"/>
      <c r="Z199" s="180"/>
      <c r="AB199" s="137" t="s">
        <v>201</v>
      </c>
      <c r="AC199" s="129" t="s">
        <v>202</v>
      </c>
      <c r="AD199" s="368"/>
      <c r="AE199" s="368"/>
      <c r="AF199" s="129" t="s">
        <v>203</v>
      </c>
      <c r="AG199" s="368"/>
      <c r="AH199" s="368"/>
      <c r="AI199" s="180"/>
    </row>
    <row r="200" spans="1:35">
      <c r="A200" s="134">
        <f>(B191/1.2)-100</f>
        <v>99.9916666666667</v>
      </c>
      <c r="B200" s="133">
        <f>B197+E197+A200</f>
        <v>315.647916666667</v>
      </c>
      <c r="C200" s="250"/>
      <c r="D200" s="250"/>
      <c r="E200" s="133">
        <f>H157</f>
        <v>0</v>
      </c>
      <c r="F200" s="262"/>
      <c r="G200" s="262"/>
      <c r="H200" s="180"/>
      <c r="J200" s="134">
        <f>K194-100</f>
        <v>1139.99</v>
      </c>
      <c r="K200" s="127">
        <f>K197+N197+J200</f>
        <v>3327.32617708333</v>
      </c>
      <c r="L200" s="368"/>
      <c r="M200" s="368"/>
      <c r="N200" s="127">
        <f>Q157</f>
        <v>14251.004</v>
      </c>
      <c r="O200" s="262"/>
      <c r="P200" s="262"/>
      <c r="Q200" s="180"/>
      <c r="S200" s="134">
        <f>T194-100</f>
        <v>1099.99</v>
      </c>
      <c r="T200" s="127">
        <f>T197+W197+S200</f>
        <v>1234.63453125</v>
      </c>
      <c r="U200" s="368"/>
      <c r="V200" s="368"/>
      <c r="W200" s="127">
        <f>Z157</f>
        <v>-5033.5</v>
      </c>
      <c r="X200" s="368"/>
      <c r="Y200" s="368"/>
      <c r="Z200" s="180"/>
      <c r="AB200" s="134">
        <f>AC194-100</f>
        <v>1139.99</v>
      </c>
      <c r="AC200" s="127">
        <f>AC197+AF197+AB200</f>
        <v>1274.63453125</v>
      </c>
      <c r="AD200" s="368"/>
      <c r="AE200" s="368"/>
      <c r="AF200" s="127">
        <f>AI157</f>
        <v>-5033.5</v>
      </c>
      <c r="AG200" s="368"/>
      <c r="AH200" s="368"/>
      <c r="AI200" s="180"/>
    </row>
    <row r="201" spans="1:35">
      <c r="A201" s="245"/>
      <c r="B201" s="250"/>
      <c r="C201" s="250"/>
      <c r="D201" s="250"/>
      <c r="E201" s="262"/>
      <c r="F201" s="262"/>
      <c r="G201" s="262"/>
      <c r="H201" s="180"/>
      <c r="J201" s="245"/>
      <c r="K201" s="368"/>
      <c r="L201" s="368"/>
      <c r="M201" s="368"/>
      <c r="N201" s="262"/>
      <c r="O201" s="262"/>
      <c r="P201" s="262"/>
      <c r="Q201" s="180"/>
      <c r="S201" s="245"/>
      <c r="T201" s="368"/>
      <c r="U201" s="368"/>
      <c r="V201" s="368"/>
      <c r="W201" s="262"/>
      <c r="X201" s="262"/>
      <c r="Y201" s="262"/>
      <c r="Z201" s="180"/>
      <c r="AB201" s="245"/>
      <c r="AC201" s="368"/>
      <c r="AD201" s="368"/>
      <c r="AE201" s="368"/>
      <c r="AF201" s="262"/>
      <c r="AG201" s="262"/>
      <c r="AH201" s="262"/>
      <c r="AI201" s="180"/>
    </row>
    <row r="202" spans="1:35">
      <c r="A202" s="282" t="s">
        <v>204</v>
      </c>
      <c r="B202" s="250"/>
      <c r="C202" s="250"/>
      <c r="D202" s="283"/>
      <c r="E202" s="283"/>
      <c r="F202" s="283"/>
      <c r="G202" s="283"/>
      <c r="H202" s="284"/>
      <c r="J202" s="282" t="s">
        <v>204</v>
      </c>
      <c r="K202" s="368"/>
      <c r="L202" s="368"/>
      <c r="M202" s="283"/>
      <c r="N202" s="283"/>
      <c r="O202" s="283"/>
      <c r="P202" s="283"/>
      <c r="Q202" s="284"/>
      <c r="S202" s="282" t="s">
        <v>204</v>
      </c>
      <c r="T202" s="368"/>
      <c r="U202" s="368"/>
      <c r="V202" s="283"/>
      <c r="W202" s="283"/>
      <c r="X202" s="283"/>
      <c r="Y202" s="283"/>
      <c r="Z202" s="284"/>
      <c r="AB202" s="282" t="s">
        <v>204</v>
      </c>
      <c r="AC202" s="368"/>
      <c r="AD202" s="368"/>
      <c r="AE202" s="283"/>
      <c r="AF202" s="283"/>
      <c r="AG202" s="283"/>
      <c r="AH202" s="283"/>
      <c r="AI202" s="284"/>
    </row>
    <row r="203" spans="1:35">
      <c r="A203" s="245"/>
      <c r="B203" s="285"/>
      <c r="C203" s="285"/>
      <c r="D203" s="250"/>
      <c r="E203" s="262"/>
      <c r="F203" s="262"/>
      <c r="G203" s="262"/>
      <c r="H203" s="180"/>
      <c r="J203" s="245"/>
      <c r="K203" s="285"/>
      <c r="L203" s="285"/>
      <c r="M203" s="368"/>
      <c r="N203" s="262"/>
      <c r="O203" s="262"/>
      <c r="P203" s="262"/>
      <c r="Q203" s="180"/>
      <c r="S203" s="245"/>
      <c r="T203" s="285"/>
      <c r="U203" s="285"/>
      <c r="V203" s="368"/>
      <c r="W203" s="262"/>
      <c r="X203" s="262"/>
      <c r="Y203" s="262"/>
      <c r="Z203" s="180"/>
      <c r="AB203" s="245"/>
      <c r="AC203" s="285"/>
      <c r="AD203" s="285"/>
      <c r="AE203" s="368"/>
      <c r="AF203" s="262"/>
      <c r="AG203" s="262"/>
      <c r="AH203" s="262"/>
      <c r="AI203" s="180"/>
    </row>
    <row r="204" ht="21" spans="1:35">
      <c r="A204" s="286" t="s">
        <v>83</v>
      </c>
      <c r="B204" s="287" t="s">
        <v>84</v>
      </c>
      <c r="C204" s="287"/>
      <c r="D204" s="287"/>
      <c r="E204" s="262"/>
      <c r="F204" s="262"/>
      <c r="G204" s="262"/>
      <c r="H204" s="180"/>
      <c r="J204" s="286" t="s">
        <v>83</v>
      </c>
      <c r="K204" s="460" t="s">
        <v>84</v>
      </c>
      <c r="L204" s="460"/>
      <c r="M204" s="460"/>
      <c r="N204" s="262"/>
      <c r="O204" s="262"/>
      <c r="P204" s="262"/>
      <c r="Q204" s="180"/>
      <c r="S204" s="286" t="s">
        <v>83</v>
      </c>
      <c r="T204" s="287" t="s">
        <v>84</v>
      </c>
      <c r="U204" s="287"/>
      <c r="V204" s="287"/>
      <c r="W204" s="262"/>
      <c r="X204" s="262"/>
      <c r="Y204" s="262"/>
      <c r="Z204" s="180"/>
      <c r="AB204" s="286" t="s">
        <v>83</v>
      </c>
      <c r="AC204" s="287" t="s">
        <v>84</v>
      </c>
      <c r="AD204" s="287"/>
      <c r="AE204" s="287"/>
      <c r="AF204" s="262"/>
      <c r="AG204" s="262"/>
      <c r="AH204" s="262"/>
      <c r="AI204" s="180"/>
    </row>
    <row r="205" ht="19.5" customHeight="1" spans="1:35">
      <c r="A205" s="286"/>
      <c r="B205" s="288" t="str">
        <f>K30</f>
        <v>5000</v>
      </c>
      <c r="C205" s="288"/>
      <c r="D205" s="288"/>
      <c r="E205" s="262"/>
      <c r="F205" s="262"/>
      <c r="G205" s="262"/>
      <c r="H205" s="180"/>
      <c r="J205" s="286"/>
      <c r="K205" s="461" t="str">
        <f>K30</f>
        <v>5000</v>
      </c>
      <c r="L205" s="461"/>
      <c r="M205" s="461"/>
      <c r="N205" s="262"/>
      <c r="O205" s="262"/>
      <c r="P205" s="262"/>
      <c r="Q205" s="180"/>
      <c r="S205" s="286"/>
      <c r="T205" s="288" t="str">
        <f>K30</f>
        <v>5000</v>
      </c>
      <c r="U205" s="288"/>
      <c r="V205" s="288"/>
      <c r="W205" s="262"/>
      <c r="X205" s="262"/>
      <c r="Y205" s="262"/>
      <c r="Z205" s="180"/>
      <c r="AB205" s="286"/>
      <c r="AC205" s="288" t="str">
        <f>K30</f>
        <v>5000</v>
      </c>
      <c r="AD205" s="288"/>
      <c r="AE205" s="288"/>
      <c r="AF205" s="262"/>
      <c r="AG205" s="262"/>
      <c r="AH205" s="262"/>
      <c r="AI205" s="180"/>
    </row>
    <row r="206" ht="19.5" spans="1:35">
      <c r="A206" s="289" t="str">
        <f>K29</f>
        <v>33</v>
      </c>
      <c r="B206" s="71">
        <f>B105</f>
        <v>627.399109847631</v>
      </c>
      <c r="C206" s="71"/>
      <c r="D206" s="71"/>
      <c r="E206" s="262"/>
      <c r="F206" s="262"/>
      <c r="G206" s="262"/>
      <c r="H206" s="180"/>
      <c r="J206" s="289" t="str">
        <f>K29</f>
        <v>33</v>
      </c>
      <c r="K206" s="71">
        <f>K105</f>
        <v>1522.35059507587</v>
      </c>
      <c r="L206" s="71"/>
      <c r="M206" s="71"/>
      <c r="N206" s="262"/>
      <c r="O206" s="262"/>
      <c r="P206" s="262"/>
      <c r="Q206" s="180"/>
      <c r="S206" s="289" t="str">
        <f>K29</f>
        <v>33</v>
      </c>
      <c r="T206" s="71">
        <f>T105</f>
        <v>634.549742547474</v>
      </c>
      <c r="U206" s="71"/>
      <c r="V206" s="71"/>
      <c r="W206" s="262"/>
      <c r="X206" s="262"/>
      <c r="Y206" s="262"/>
      <c r="Z206" s="180"/>
      <c r="AB206" s="289" t="str">
        <f>K29</f>
        <v>33</v>
      </c>
      <c r="AC206" s="71">
        <f>AC105</f>
        <v>634.549742547474</v>
      </c>
      <c r="AD206" s="71"/>
      <c r="AE206" s="71"/>
      <c r="AF206" s="262"/>
      <c r="AG206" s="262"/>
      <c r="AH206" s="262"/>
      <c r="AI206" s="180"/>
    </row>
    <row r="207" spans="1:35">
      <c r="A207" s="245"/>
      <c r="B207" s="250"/>
      <c r="C207" s="250"/>
      <c r="D207" s="250"/>
      <c r="E207" s="262"/>
      <c r="F207" s="262"/>
      <c r="G207" s="262"/>
      <c r="H207" s="180"/>
      <c r="J207" s="245"/>
      <c r="K207" s="368"/>
      <c r="L207" s="368"/>
      <c r="M207" s="368"/>
      <c r="N207" s="262"/>
      <c r="O207" s="262"/>
      <c r="P207" s="262"/>
      <c r="Q207" s="180"/>
      <c r="S207" s="245"/>
      <c r="T207" s="368"/>
      <c r="U207" s="368"/>
      <c r="V207" s="368"/>
      <c r="W207" s="262"/>
      <c r="X207" s="262"/>
      <c r="Y207" s="262"/>
      <c r="Z207" s="180"/>
      <c r="AB207" s="245"/>
      <c r="AC207" s="368"/>
      <c r="AD207" s="368"/>
      <c r="AE207" s="368"/>
      <c r="AF207" s="262"/>
      <c r="AG207" s="262"/>
      <c r="AH207" s="262"/>
      <c r="AI207" s="180"/>
    </row>
    <row r="208" spans="1:35">
      <c r="A208" s="245"/>
      <c r="B208" s="250"/>
      <c r="C208" s="250"/>
      <c r="D208" s="250"/>
      <c r="E208" s="262"/>
      <c r="F208" s="262"/>
      <c r="G208" s="262"/>
      <c r="H208" s="180"/>
      <c r="J208" s="245"/>
      <c r="K208" s="368"/>
      <c r="L208" s="368"/>
      <c r="M208" s="368"/>
      <c r="N208" s="262"/>
      <c r="O208" s="262"/>
      <c r="P208" s="262"/>
      <c r="Q208" s="180"/>
      <c r="S208" s="245"/>
      <c r="T208" s="368"/>
      <c r="U208" s="368"/>
      <c r="V208" s="368"/>
      <c r="W208" s="262"/>
      <c r="X208" s="262"/>
      <c r="Y208" s="262"/>
      <c r="Z208" s="180"/>
      <c r="AB208" s="245"/>
      <c r="AC208" s="368"/>
      <c r="AD208" s="368"/>
      <c r="AE208" s="368"/>
      <c r="AF208" s="262"/>
      <c r="AG208" s="262"/>
      <c r="AH208" s="262"/>
      <c r="AI208" s="180"/>
    </row>
    <row r="209" spans="1:35">
      <c r="A209" s="245" t="s">
        <v>205</v>
      </c>
      <c r="B209" s="250" t="s">
        <v>206</v>
      </c>
      <c r="C209" s="250"/>
      <c r="D209" s="250"/>
      <c r="E209" s="262"/>
      <c r="F209" s="262"/>
      <c r="G209" s="262"/>
      <c r="H209" s="180"/>
      <c r="J209" s="245"/>
      <c r="K209" s="368"/>
      <c r="L209" s="368"/>
      <c r="M209" s="368"/>
      <c r="N209" s="262"/>
      <c r="O209" s="262"/>
      <c r="P209" s="262"/>
      <c r="Q209" s="180"/>
      <c r="S209" s="245"/>
      <c r="T209" s="368"/>
      <c r="U209" s="368"/>
      <c r="V209" s="368"/>
      <c r="W209" s="262"/>
      <c r="X209" s="262"/>
      <c r="Y209" s="262"/>
      <c r="Z209" s="180"/>
      <c r="AB209" s="245"/>
      <c r="AC209" s="368"/>
      <c r="AD209" s="368"/>
      <c r="AE209" s="368"/>
      <c r="AF209" s="262"/>
      <c r="AG209" s="262"/>
      <c r="AH209" s="262"/>
      <c r="AI209" s="180"/>
    </row>
    <row r="210" spans="1:35">
      <c r="A210" s="267">
        <f>(G176*B68)+E194-E188-A194</f>
        <v>1484.32</v>
      </c>
      <c r="B210" s="272">
        <f>E188+A210+B191+A194</f>
        <v>23002.31</v>
      </c>
      <c r="C210" s="250"/>
      <c r="D210" s="250"/>
      <c r="E210" s="262"/>
      <c r="F210" s="262"/>
      <c r="G210" s="262"/>
      <c r="H210" s="180"/>
      <c r="J210" s="245"/>
      <c r="K210" s="368"/>
      <c r="L210" s="368"/>
      <c r="M210" s="368"/>
      <c r="N210" s="262"/>
      <c r="O210" s="262"/>
      <c r="P210" s="262"/>
      <c r="Q210" s="180"/>
      <c r="S210" s="245"/>
      <c r="T210" s="368"/>
      <c r="U210" s="368"/>
      <c r="V210" s="368"/>
      <c r="W210" s="262"/>
      <c r="X210" s="262"/>
      <c r="Y210" s="262"/>
      <c r="Z210" s="180"/>
      <c r="AB210" s="245"/>
      <c r="AC210" s="368"/>
      <c r="AD210" s="368"/>
      <c r="AE210" s="368"/>
      <c r="AF210" s="262"/>
      <c r="AG210" s="262"/>
      <c r="AH210" s="262"/>
      <c r="AI210" s="180"/>
    </row>
    <row r="211" ht="19.5" spans="1:35">
      <c r="A211" s="275"/>
      <c r="B211" s="276"/>
      <c r="C211" s="276"/>
      <c r="D211" s="276"/>
      <c r="E211" s="276"/>
      <c r="F211" s="276"/>
      <c r="G211" s="276"/>
      <c r="H211" s="281"/>
      <c r="J211" s="275"/>
      <c r="K211" s="276"/>
      <c r="L211" s="276"/>
      <c r="M211" s="276"/>
      <c r="N211" s="276"/>
      <c r="O211" s="276"/>
      <c r="P211" s="276"/>
      <c r="Q211" s="281"/>
      <c r="S211" s="275"/>
      <c r="T211" s="276"/>
      <c r="U211" s="276"/>
      <c r="V211" s="276"/>
      <c r="W211" s="276"/>
      <c r="X211" s="276"/>
      <c r="Y211" s="276"/>
      <c r="Z211" s="281"/>
      <c r="AB211" s="275"/>
      <c r="AC211" s="276"/>
      <c r="AD211" s="276"/>
      <c r="AE211" s="276"/>
      <c r="AF211" s="276"/>
      <c r="AG211" s="276"/>
      <c r="AH211" s="276"/>
      <c r="AI211" s="281"/>
    </row>
    <row r="215" ht="24" spans="1:8">
      <c r="A215" s="369" t="s">
        <v>182</v>
      </c>
      <c r="B215" s="369"/>
      <c r="C215" s="369"/>
      <c r="D215" s="369"/>
      <c r="E215" s="369"/>
      <c r="F215" s="369"/>
      <c r="G215" s="369"/>
      <c r="H215" s="369"/>
    </row>
    <row r="216" ht="19.5" spans="1:8">
      <c r="A216" s="245"/>
      <c r="B216" s="250"/>
      <c r="C216" s="250"/>
      <c r="D216" s="250"/>
      <c r="E216" s="291"/>
      <c r="F216" s="291"/>
      <c r="G216" s="291"/>
      <c r="H216" s="180"/>
    </row>
    <row r="217" spans="1:8">
      <c r="A217" s="370" t="s">
        <v>127</v>
      </c>
      <c r="B217" s="371" t="s">
        <v>39</v>
      </c>
      <c r="C217" s="371"/>
      <c r="D217" s="371"/>
      <c r="E217" s="371" t="s">
        <v>40</v>
      </c>
      <c r="F217" s="372"/>
      <c r="G217" s="291"/>
      <c r="H217" s="180"/>
    </row>
    <row r="218" spans="1:8">
      <c r="A218" s="373" t="s">
        <v>207</v>
      </c>
      <c r="B218" s="365" t="str">
        <f>A206</f>
        <v>33</v>
      </c>
      <c r="C218" s="365"/>
      <c r="D218" s="365"/>
      <c r="E218" s="365" t="str">
        <f>B205</f>
        <v>5000</v>
      </c>
      <c r="F218" s="372"/>
      <c r="G218" s="291"/>
      <c r="H218" s="180"/>
    </row>
    <row r="219" spans="1:8">
      <c r="A219" s="245"/>
      <c r="B219" s="250"/>
      <c r="C219" s="250"/>
      <c r="D219" s="250"/>
      <c r="E219" s="291"/>
      <c r="F219" s="291"/>
      <c r="G219" s="291"/>
      <c r="H219" s="180"/>
    </row>
    <row r="220" spans="1:8">
      <c r="A220" s="370" t="s">
        <v>184</v>
      </c>
      <c r="B220" s="371" t="s">
        <v>185</v>
      </c>
      <c r="C220" s="371"/>
      <c r="D220" s="371"/>
      <c r="E220" s="371" t="s">
        <v>186</v>
      </c>
      <c r="F220" s="291"/>
      <c r="G220" s="291"/>
      <c r="H220" s="180"/>
    </row>
    <row r="221" spans="1:8">
      <c r="A221" s="366">
        <f>A176</f>
        <v>546.961609847631</v>
      </c>
      <c r="B221" s="126">
        <f>B176</f>
        <v>80.4375</v>
      </c>
      <c r="C221" s="365"/>
      <c r="D221" s="365"/>
      <c r="E221" s="126">
        <f>E176</f>
        <v>627.399109847631</v>
      </c>
      <c r="F221" s="291"/>
      <c r="G221" s="291"/>
      <c r="H221" s="180"/>
    </row>
    <row r="222" spans="1:8">
      <c r="A222" s="245"/>
      <c r="B222" s="250"/>
      <c r="C222" s="250"/>
      <c r="D222" s="250"/>
      <c r="E222" s="291"/>
      <c r="F222" s="291"/>
      <c r="G222" s="291"/>
      <c r="H222" s="180"/>
    </row>
    <row r="223" spans="1:8">
      <c r="A223" s="245" t="s">
        <v>189</v>
      </c>
      <c r="B223" s="250" t="s">
        <v>190</v>
      </c>
      <c r="C223" s="250"/>
      <c r="D223" s="291"/>
      <c r="E223" s="250" t="s">
        <v>191</v>
      </c>
      <c r="F223" s="291"/>
      <c r="G223" s="291"/>
      <c r="H223" s="180"/>
    </row>
    <row r="224" spans="1:8">
      <c r="A224" s="132">
        <f>A182</f>
        <v>17440</v>
      </c>
      <c r="B224" s="133">
        <f>B182</f>
        <v>3488</v>
      </c>
      <c r="C224" s="272"/>
      <c r="D224" s="291"/>
      <c r="E224" s="274">
        <f>E182</f>
        <v>340</v>
      </c>
      <c r="F224" s="291"/>
      <c r="G224" s="291"/>
      <c r="H224" s="180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192</v>
      </c>
      <c r="B226" s="250" t="s">
        <v>138</v>
      </c>
      <c r="C226" s="250"/>
      <c r="D226" s="291"/>
      <c r="E226" s="250" t="s">
        <v>139</v>
      </c>
      <c r="F226" s="291"/>
      <c r="G226" s="291"/>
      <c r="H226" s="180"/>
    </row>
    <row r="227" spans="1:8">
      <c r="A227" s="132">
        <f>A185</f>
        <v>21268</v>
      </c>
      <c r="B227" s="133">
        <f>B185</f>
        <v>0</v>
      </c>
      <c r="C227" s="133"/>
      <c r="D227" s="291"/>
      <c r="E227" s="133">
        <f>E185</f>
        <v>0</v>
      </c>
      <c r="F227" s="291"/>
      <c r="G227" s="291"/>
      <c r="H227" s="141"/>
    </row>
    <row r="228" spans="1:8">
      <c r="A228" s="245"/>
      <c r="B228" s="250"/>
      <c r="C228" s="250"/>
      <c r="D228" s="291"/>
      <c r="E228" s="250"/>
      <c r="F228" s="291"/>
      <c r="G228" s="291"/>
      <c r="H228" s="180"/>
    </row>
    <row r="229" spans="1:8">
      <c r="A229" s="245" t="s">
        <v>140</v>
      </c>
      <c r="B229" s="250" t="s">
        <v>176</v>
      </c>
      <c r="C229" s="250"/>
      <c r="D229" s="291"/>
      <c r="E229" s="250" t="s">
        <v>181</v>
      </c>
      <c r="F229" s="291"/>
      <c r="G229" s="291"/>
      <c r="H229" s="180"/>
    </row>
    <row r="230" spans="1:8">
      <c r="A230" s="134">
        <f>A188</f>
        <v>0</v>
      </c>
      <c r="B230" s="133">
        <f>B188</f>
        <v>0</v>
      </c>
      <c r="C230" s="133"/>
      <c r="D230" s="291"/>
      <c r="E230" s="133">
        <f>E188</f>
        <v>21268</v>
      </c>
      <c r="F230" s="291"/>
      <c r="G230" s="291"/>
      <c r="H230" s="141"/>
    </row>
    <row r="231" spans="1:8">
      <c r="A231" s="245"/>
      <c r="B231" s="250"/>
      <c r="C231" s="250"/>
      <c r="D231" s="291"/>
      <c r="E231" s="250"/>
      <c r="F231" s="291"/>
      <c r="G231" s="291"/>
      <c r="H231" s="180"/>
    </row>
    <row r="232" spans="1:8">
      <c r="A232" s="245" t="s">
        <v>193</v>
      </c>
      <c r="B232" s="250" t="s">
        <v>53</v>
      </c>
      <c r="C232" s="250"/>
      <c r="D232" s="291"/>
      <c r="E232" s="250" t="s">
        <v>194</v>
      </c>
      <c r="F232" s="291"/>
      <c r="G232" s="291"/>
      <c r="H232" s="180"/>
    </row>
    <row r="233" spans="1:8">
      <c r="A233" s="134">
        <f>A191</f>
        <v>3434.77151512419</v>
      </c>
      <c r="B233" s="133" t="str">
        <f>B191</f>
        <v>239.99</v>
      </c>
      <c r="C233" s="133"/>
      <c r="D233" s="291"/>
      <c r="E233" s="133">
        <f>E191</f>
        <v>24952.7615151242</v>
      </c>
      <c r="F233" s="291"/>
      <c r="G233" s="291"/>
      <c r="H233" s="141"/>
    </row>
    <row r="234" spans="1:8">
      <c r="A234" s="245"/>
      <c r="B234" s="250"/>
      <c r="C234" s="250"/>
      <c r="D234" s="291"/>
      <c r="E234" s="250"/>
      <c r="F234" s="291"/>
      <c r="G234" s="291"/>
      <c r="H234" s="180"/>
    </row>
    <row r="235" spans="1:8">
      <c r="A235" s="245" t="s">
        <v>195</v>
      </c>
      <c r="B235" s="250" t="s">
        <v>196</v>
      </c>
      <c r="C235" s="250"/>
      <c r="D235" s="291"/>
      <c r="E235" s="250" t="s">
        <v>208</v>
      </c>
      <c r="F235" s="291"/>
      <c r="G235" s="291"/>
      <c r="H235" s="180"/>
    </row>
    <row r="236" spans="1:8">
      <c r="A236" s="134">
        <f>A194</f>
        <v>10</v>
      </c>
      <c r="B236" s="133">
        <f>B194</f>
        <v>239.99</v>
      </c>
      <c r="C236" s="133"/>
      <c r="D236" s="291"/>
      <c r="E236" s="133">
        <f>B68</f>
        <v>32</v>
      </c>
      <c r="F236" s="291"/>
      <c r="G236" s="291"/>
      <c r="H236" s="141"/>
    </row>
    <row r="237" spans="1:8">
      <c r="A237" s="245"/>
      <c r="B237" s="250"/>
      <c r="C237" s="250"/>
      <c r="D237" s="250"/>
      <c r="E237" s="291"/>
      <c r="F237" s="291"/>
      <c r="G237" s="291"/>
      <c r="H237" s="180"/>
    </row>
    <row r="238" spans="1:8">
      <c r="A238" s="245" t="s">
        <v>184</v>
      </c>
      <c r="B238" s="250" t="s">
        <v>185</v>
      </c>
      <c r="C238" s="250"/>
      <c r="D238" s="250"/>
      <c r="E238" s="250" t="s">
        <v>186</v>
      </c>
      <c r="F238" s="291"/>
      <c r="G238" s="291"/>
      <c r="H238" s="180"/>
    </row>
    <row r="239" spans="1:8">
      <c r="A239" s="134">
        <f>A176</f>
        <v>546.961609847631</v>
      </c>
      <c r="B239" s="133">
        <f>B176</f>
        <v>80.4375</v>
      </c>
      <c r="C239" s="272"/>
      <c r="D239" s="272"/>
      <c r="E239" s="133">
        <f>E176</f>
        <v>627.399109847631</v>
      </c>
      <c r="F239" s="291"/>
      <c r="G239" s="291"/>
      <c r="H239" s="180"/>
    </row>
    <row r="240" spans="1:8">
      <c r="A240" s="245"/>
      <c r="B240" s="250"/>
      <c r="C240" s="250"/>
      <c r="D240" s="250"/>
      <c r="E240" s="291"/>
      <c r="F240" s="291"/>
      <c r="G240" s="291"/>
      <c r="H240" s="180"/>
    </row>
    <row r="241" spans="1:8">
      <c r="A241" s="245" t="s">
        <v>209</v>
      </c>
      <c r="B241" s="250" t="s">
        <v>210</v>
      </c>
      <c r="C241" s="250"/>
      <c r="D241" s="250"/>
      <c r="E241" s="250" t="s">
        <v>67</v>
      </c>
      <c r="F241" s="291"/>
      <c r="G241" s="291"/>
      <c r="H241" s="180"/>
    </row>
    <row r="242" spans="1:8">
      <c r="A242" s="134">
        <f>E179</f>
        <v>7200</v>
      </c>
      <c r="B242" s="133">
        <f>E194</f>
        <v>7210</v>
      </c>
      <c r="C242" s="250"/>
      <c r="D242" s="250"/>
      <c r="E242" s="133">
        <f>J18*0.000006*100*1.2</f>
        <v>15.06816</v>
      </c>
      <c r="F242" s="291"/>
      <c r="G242" s="291"/>
      <c r="H242" s="180"/>
    </row>
    <row r="243" spans="1:8">
      <c r="A243" s="134"/>
      <c r="B243" s="133"/>
      <c r="C243" s="250"/>
      <c r="D243" s="250"/>
      <c r="E243" s="133"/>
      <c r="F243" s="291"/>
      <c r="G243" s="291"/>
      <c r="H243" s="180"/>
    </row>
    <row r="244" spans="1:8">
      <c r="A244" s="137" t="s">
        <v>211</v>
      </c>
      <c r="B244" s="105" t="s">
        <v>73</v>
      </c>
      <c r="C244" s="250"/>
      <c r="D244" s="250"/>
      <c r="E244" s="105" t="s">
        <v>132</v>
      </c>
      <c r="F244" s="291"/>
      <c r="G244" s="291"/>
      <c r="H244" s="180"/>
    </row>
    <row r="245" spans="1:8">
      <c r="A245" s="134">
        <f>A197</f>
        <v>5.02272</v>
      </c>
      <c r="B245" s="133">
        <f>E242+A245</f>
        <v>20.09088</v>
      </c>
      <c r="C245" s="250"/>
      <c r="D245" s="250"/>
      <c r="E245" s="133"/>
      <c r="F245" s="291"/>
      <c r="G245" s="291"/>
      <c r="H245" s="180"/>
    </row>
    <row r="246" spans="1:8">
      <c r="A246" s="134"/>
      <c r="B246" s="133"/>
      <c r="C246" s="250"/>
      <c r="D246" s="250"/>
      <c r="E246" s="133"/>
      <c r="F246" s="291"/>
      <c r="G246" s="291"/>
      <c r="H246" s="180"/>
    </row>
    <row r="247" ht="24" spans="1:8">
      <c r="A247" s="374" t="s">
        <v>212</v>
      </c>
      <c r="B247" s="374"/>
      <c r="C247" s="374"/>
      <c r="D247" s="374"/>
      <c r="E247" s="374"/>
      <c r="F247" s="374"/>
      <c r="G247" s="374"/>
      <c r="H247" s="374"/>
    </row>
    <row r="248" spans="1:8">
      <c r="A248" s="245" t="s">
        <v>213</v>
      </c>
      <c r="B248" s="250" t="s">
        <v>199</v>
      </c>
      <c r="C248" s="250"/>
      <c r="D248" s="250"/>
      <c r="E248" s="105" t="s">
        <v>200</v>
      </c>
      <c r="F248" s="291"/>
      <c r="G248" s="291"/>
      <c r="H248" s="180"/>
    </row>
    <row r="249" spans="1:8">
      <c r="A249" s="134">
        <f>H157</f>
        <v>0</v>
      </c>
      <c r="B249" s="133">
        <f>B197</f>
        <v>166.15625</v>
      </c>
      <c r="C249" s="250"/>
      <c r="D249" s="250"/>
      <c r="E249" s="133">
        <f>E197</f>
        <v>49.5</v>
      </c>
      <c r="F249" s="291"/>
      <c r="G249" s="291"/>
      <c r="H249" s="180"/>
    </row>
    <row r="250" spans="1:8">
      <c r="A250" s="134"/>
      <c r="B250" s="133"/>
      <c r="C250" s="250"/>
      <c r="D250" s="250"/>
      <c r="E250" s="291"/>
      <c r="F250" s="291"/>
      <c r="G250" s="291"/>
      <c r="H250" s="180"/>
    </row>
    <row r="251" spans="1:8">
      <c r="A251" s="137" t="s">
        <v>201</v>
      </c>
      <c r="B251" s="105" t="s">
        <v>202</v>
      </c>
      <c r="C251" s="250"/>
      <c r="D251" s="250"/>
      <c r="E251" s="105"/>
      <c r="F251" s="291"/>
      <c r="G251" s="291"/>
      <c r="H251" s="180"/>
    </row>
    <row r="252" spans="1:8">
      <c r="A252" s="134">
        <f>A200</f>
        <v>99.9916666666667</v>
      </c>
      <c r="B252" s="133">
        <f>B249+E249+A252+A249</f>
        <v>315.647916666667</v>
      </c>
      <c r="C252" s="250"/>
      <c r="D252" s="250"/>
      <c r="E252" s="133"/>
      <c r="F252" s="291"/>
      <c r="G252" s="291"/>
      <c r="H252" s="180"/>
    </row>
    <row r="253" spans="1:8">
      <c r="A253" s="245"/>
      <c r="B253" s="250"/>
      <c r="C253" s="250"/>
      <c r="D253" s="250"/>
      <c r="E253" s="291"/>
      <c r="F253" s="291"/>
      <c r="G253" s="291"/>
      <c r="H253" s="180"/>
    </row>
    <row r="254" ht="19.5" spans="1:8">
      <c r="A254" s="275"/>
      <c r="B254" s="276"/>
      <c r="C254" s="276"/>
      <c r="D254" s="276"/>
      <c r="E254" s="276"/>
      <c r="F254" s="276"/>
      <c r="G254" s="276"/>
      <c r="H254" s="281"/>
    </row>
    <row r="260" ht="24" spans="1:8">
      <c r="A260" s="369" t="s">
        <v>214</v>
      </c>
      <c r="B260" s="369"/>
      <c r="C260" s="369"/>
      <c r="D260" s="369"/>
      <c r="E260" s="369"/>
      <c r="F260" s="369"/>
      <c r="G260" s="369"/>
      <c r="H260" s="369"/>
    </row>
    <row r="261" ht="19.5" spans="1:8">
      <c r="A261" s="245"/>
      <c r="B261" s="368"/>
      <c r="C261" s="368"/>
      <c r="D261" s="368"/>
      <c r="E261" s="262"/>
      <c r="F261" s="262"/>
      <c r="G261" s="262"/>
      <c r="H261" s="180"/>
    </row>
    <row r="262" spans="1:8">
      <c r="A262" s="370" t="s">
        <v>215</v>
      </c>
      <c r="B262" s="375">
        <f>B72</f>
        <v>0.065</v>
      </c>
      <c r="C262" s="376"/>
      <c r="D262" s="377" t="s">
        <v>216</v>
      </c>
      <c r="E262" s="377"/>
      <c r="F262" s="375">
        <f>B92</f>
        <v>0.115</v>
      </c>
      <c r="G262" s="262"/>
      <c r="H262" s="180"/>
    </row>
    <row r="263" spans="1:8">
      <c r="A263" s="370" t="s">
        <v>217</v>
      </c>
      <c r="B263" s="393">
        <f>(E191-B191)-(B210-B191-A194)</f>
        <v>1960.45151512419</v>
      </c>
      <c r="C263" s="376"/>
      <c r="D263" s="377" t="s">
        <v>218</v>
      </c>
      <c r="E263" s="377"/>
      <c r="F263" s="378">
        <f>F270+F276+F278+B279+B280</f>
        <v>199.3875</v>
      </c>
      <c r="G263" s="262"/>
      <c r="H263" s="180"/>
    </row>
    <row r="264" spans="1:8">
      <c r="A264" s="370" t="s">
        <v>219</v>
      </c>
      <c r="B264" s="378">
        <f>F271+B272</f>
        <v>594.991666666667</v>
      </c>
      <c r="C264" s="376"/>
      <c r="D264" s="377" t="s">
        <v>220</v>
      </c>
      <c r="E264" s="377"/>
      <c r="F264" s="378">
        <f>(B263-F263)+B264</f>
        <v>2356.05568179086</v>
      </c>
      <c r="G264" s="262"/>
      <c r="H264" s="180"/>
    </row>
    <row r="265" ht="19.5" spans="1:8">
      <c r="A265" s="379"/>
      <c r="B265" s="377"/>
      <c r="C265" s="380"/>
      <c r="D265" s="380"/>
      <c r="E265" s="380"/>
      <c r="F265" s="380"/>
      <c r="G265" s="381"/>
      <c r="H265" s="382"/>
    </row>
    <row r="266" ht="19.5" spans="1:8">
      <c r="A266" s="245" t="s">
        <v>215</v>
      </c>
      <c r="B266" s="383">
        <f>B262</f>
        <v>0.065</v>
      </c>
      <c r="C266" s="376"/>
      <c r="D266" s="376"/>
      <c r="E266" s="376"/>
      <c r="F266" s="376"/>
      <c r="G266" s="262"/>
      <c r="H266" s="180"/>
    </row>
    <row r="267" ht="19.5" spans="1:8">
      <c r="A267" s="384"/>
      <c r="B267" s="385"/>
      <c r="C267" s="386"/>
      <c r="D267" s="386"/>
      <c r="E267" s="381"/>
      <c r="F267" s="381"/>
      <c r="G267" s="381"/>
      <c r="H267" s="382"/>
    </row>
    <row r="268" ht="19.5" spans="1:8">
      <c r="A268" s="245" t="s">
        <v>221</v>
      </c>
      <c r="B268" s="383">
        <f>B73</f>
        <v>0.05</v>
      </c>
      <c r="C268" s="368"/>
      <c r="D268" s="105" t="s">
        <v>222</v>
      </c>
      <c r="E268" s="105"/>
      <c r="F268" s="383">
        <v>0</v>
      </c>
      <c r="G268" s="262"/>
      <c r="H268" s="180"/>
    </row>
    <row r="269" ht="19.5" spans="1:8">
      <c r="A269" s="128" t="s">
        <v>216</v>
      </c>
      <c r="B269" s="387">
        <f>B92</f>
        <v>0.115</v>
      </c>
      <c r="C269" s="388"/>
      <c r="D269" s="105" t="s">
        <v>217</v>
      </c>
      <c r="E269" s="105"/>
      <c r="F269" s="389">
        <f>B263</f>
        <v>1960.45151512419</v>
      </c>
      <c r="G269" s="262"/>
      <c r="H269" s="180"/>
    </row>
    <row r="270" ht="19.5" spans="1:8">
      <c r="A270" s="245" t="s">
        <v>223</v>
      </c>
      <c r="B270" s="387">
        <f>B76</f>
        <v>0.009375</v>
      </c>
      <c r="C270" s="368"/>
      <c r="D270" s="105" t="s">
        <v>223</v>
      </c>
      <c r="E270" s="105"/>
      <c r="F270" s="144">
        <f>B77</f>
        <v>199.3875</v>
      </c>
      <c r="G270" s="262"/>
      <c r="H270" s="180"/>
    </row>
    <row r="271" ht="19.5" spans="1:8">
      <c r="A271" s="245" t="s">
        <v>224</v>
      </c>
      <c r="B271" s="383">
        <f>A117</f>
        <v>0.3</v>
      </c>
      <c r="C271" s="368"/>
      <c r="D271" s="105" t="s">
        <v>224</v>
      </c>
      <c r="E271" s="105"/>
      <c r="F271" s="389">
        <f>E249*10</f>
        <v>495</v>
      </c>
      <c r="G271" s="262"/>
      <c r="H271" s="180"/>
    </row>
    <row r="272" spans="1:8">
      <c r="A272" s="245" t="s">
        <v>225</v>
      </c>
      <c r="B272" s="389">
        <f>A252</f>
        <v>99.9916666666667</v>
      </c>
      <c r="C272" s="368"/>
      <c r="D272" s="129" t="s">
        <v>220</v>
      </c>
      <c r="E272" s="129"/>
      <c r="F272" s="389">
        <f>(B263-F263)+B264</f>
        <v>2356.05568179086</v>
      </c>
      <c r="G272" s="262"/>
      <c r="H272" s="180"/>
    </row>
    <row r="273" spans="1:8">
      <c r="A273" s="134"/>
      <c r="B273" s="127"/>
      <c r="C273" s="368"/>
      <c r="D273" s="368"/>
      <c r="E273" s="127"/>
      <c r="F273" s="262"/>
      <c r="G273" s="262"/>
      <c r="H273" s="180"/>
    </row>
    <row r="274" ht="24" spans="1:8">
      <c r="A274" s="374" t="s">
        <v>226</v>
      </c>
      <c r="B274" s="374"/>
      <c r="C274" s="374"/>
      <c r="D274" s="374"/>
      <c r="E274" s="374"/>
      <c r="F274" s="374"/>
      <c r="G274" s="374"/>
      <c r="H274" s="374"/>
    </row>
    <row r="275" ht="19.5" spans="1:8">
      <c r="A275" s="245" t="s">
        <v>227</v>
      </c>
      <c r="B275" s="144">
        <v>0</v>
      </c>
      <c r="C275" s="368"/>
      <c r="D275" s="390" t="s">
        <v>228</v>
      </c>
      <c r="E275" s="390"/>
      <c r="F275" s="144">
        <v>0</v>
      </c>
      <c r="G275" s="262"/>
      <c r="H275" s="180"/>
    </row>
    <row r="276" spans="1:8">
      <c r="A276" s="134"/>
      <c r="B276" s="389"/>
      <c r="C276" s="368"/>
      <c r="D276" s="105" t="s">
        <v>229</v>
      </c>
      <c r="E276" s="105"/>
      <c r="F276" s="389">
        <f>B275+F275*B218</f>
        <v>0</v>
      </c>
      <c r="G276" s="262"/>
      <c r="H276" s="180"/>
    </row>
    <row r="277" spans="1:8">
      <c r="A277" s="137" t="s">
        <v>230</v>
      </c>
      <c r="B277" s="391" t="s">
        <v>4</v>
      </c>
      <c r="C277" s="368"/>
      <c r="D277" s="105" t="s">
        <v>231</v>
      </c>
      <c r="E277" s="105"/>
      <c r="F277" s="391">
        <f>B79</f>
        <v>0</v>
      </c>
      <c r="G277" s="262"/>
      <c r="H277" s="180"/>
    </row>
    <row r="278" ht="19.5" spans="1:8">
      <c r="A278" s="137"/>
      <c r="B278" s="392"/>
      <c r="C278" s="368"/>
      <c r="D278" s="105" t="s">
        <v>232</v>
      </c>
      <c r="E278" s="105"/>
      <c r="F278" s="389">
        <f>B100</f>
        <v>0</v>
      </c>
      <c r="G278" s="262"/>
      <c r="H278" s="180"/>
    </row>
    <row r="279" ht="19.5" spans="1:8">
      <c r="A279" s="137" t="s">
        <v>233</v>
      </c>
      <c r="B279" s="144">
        <v>0</v>
      </c>
      <c r="C279" s="368"/>
      <c r="D279" s="368"/>
      <c r="E279" s="127"/>
      <c r="F279" s="262"/>
      <c r="G279" s="262"/>
      <c r="H279" s="180"/>
    </row>
    <row r="280" ht="19.5" spans="1:8">
      <c r="A280" s="245" t="s">
        <v>234</v>
      </c>
      <c r="B280" s="144">
        <v>0</v>
      </c>
      <c r="C280" s="368"/>
      <c r="D280" s="368"/>
      <c r="E280" s="262"/>
      <c r="F280" s="262"/>
      <c r="G280" s="262"/>
      <c r="H280" s="180"/>
    </row>
    <row r="281" ht="19.5" spans="1:8">
      <c r="A281" s="275"/>
      <c r="B281" s="276"/>
      <c r="C281" s="276"/>
      <c r="D281" s="276"/>
      <c r="E281" s="276"/>
      <c r="F281" s="276"/>
      <c r="G281" s="276"/>
      <c r="H281" s="281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B204:D204"/>
    <mergeCell ref="K204:M204"/>
    <mergeCell ref="T204:V204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  <mergeCell ref="A58:A59"/>
    <mergeCell ref="A204:A205"/>
    <mergeCell ref="J204:J205"/>
    <mergeCell ref="S204:S205"/>
    <mergeCell ref="AB204:AB205"/>
  </mergeCells>
  <dataValidations count="4">
    <dataValidation type="list" allowBlank="1" showInputMessage="1" showErrorMessage="1" sqref="B114 K114 T114 AC114">
      <formula1>$Y$136:$Y$145</formula1>
    </dataValidation>
    <dataValidation type="list" allowBlank="1" showInputMessage="1" showErrorMessage="1" sqref="E114 N114 W114 AF114 A120 J120 S120 AB120">
      <formula1>$Z$19:$Z$20</formula1>
    </dataValidation>
    <dataValidation type="list" allowBlank="1" showInputMessage="1" showErrorMessage="1" sqref="B117:D117 K117:M117 T117:V117 AC117:AE117">
      <formula1>$AP$117:$AP$118</formula1>
    </dataValidation>
    <dataValidation type="list" allowBlank="1" showInputMessage="1" showErrorMessage="1" sqref="A18:A20 A153:A155 J153:J155 S153:S155 AB153:AB155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46" workbookViewId="0">
      <selection activeCell="B68" sqref="B68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415" t="s">
        <v>0</v>
      </c>
      <c r="B1" s="415"/>
      <c r="C1" s="415"/>
      <c r="D1" s="415"/>
      <c r="E1" s="415"/>
      <c r="F1" s="41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416" t="s">
        <v>1</v>
      </c>
      <c r="B2" s="417">
        <f>B9+B11</f>
        <v>18000</v>
      </c>
      <c r="C2" s="416" t="s">
        <v>2</v>
      </c>
      <c r="D2" s="417">
        <f>C9</f>
        <v>3600</v>
      </c>
      <c r="E2" s="416" t="s">
        <v>3</v>
      </c>
      <c r="F2" s="418">
        <f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419"/>
      <c r="B3" s="420"/>
      <c r="C3" s="420"/>
      <c r="D3" s="420"/>
      <c r="E3" s="420"/>
      <c r="F3" s="421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416" t="s">
        <v>5</v>
      </c>
      <c r="B4" s="417">
        <f>B15+C15</f>
        <v>21600</v>
      </c>
      <c r="C4" s="422"/>
      <c r="D4" s="422"/>
      <c r="E4" s="422"/>
      <c r="F4" s="423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424" t="s">
        <v>6</v>
      </c>
      <c r="B7" s="424" t="s">
        <v>7</v>
      </c>
      <c r="C7" s="424" t="s">
        <v>2</v>
      </c>
      <c r="D7" s="425"/>
      <c r="E7" s="425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426"/>
      <c r="B8" s="2"/>
      <c r="C8" s="2"/>
      <c r="D8" s="425"/>
      <c r="E8" s="425"/>
      <c r="F8" s="2"/>
      <c r="G8" s="209" t="e">
        <f>G9*100/B3</f>
        <v>#DIV/0!</v>
      </c>
      <c r="H8" s="2"/>
      <c r="I8" s="81" t="s">
        <v>3</v>
      </c>
      <c r="J8" s="82">
        <f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424" t="s">
        <v>8</v>
      </c>
      <c r="B9" s="427">
        <v>18000</v>
      </c>
      <c r="C9" s="82">
        <f>B9*0.2</f>
        <v>3600</v>
      </c>
      <c r="D9" s="425"/>
      <c r="E9" s="425"/>
      <c r="F9" s="2"/>
      <c r="G9" s="208">
        <f>E9-G11</f>
        <v>-152558.333333333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428"/>
      <c r="B10" s="2"/>
      <c r="C10" s="2"/>
      <c r="D10" s="425"/>
      <c r="E10" s="425"/>
      <c r="F10" s="2"/>
      <c r="G10" s="208"/>
      <c r="H10" s="2"/>
      <c r="I10" s="83" t="s">
        <v>1</v>
      </c>
      <c r="J10" s="82">
        <f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424" t="s">
        <v>9</v>
      </c>
      <c r="B11" s="427">
        <v>0</v>
      </c>
      <c r="C11" s="427">
        <f>B11*0.2</f>
        <v>0</v>
      </c>
      <c r="D11" s="425"/>
      <c r="E11" s="425"/>
      <c r="F11" s="2"/>
      <c r="G11" s="208">
        <f>G13/1.2</f>
        <v>152558.333333333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428"/>
      <c r="B12" s="2"/>
      <c r="C12" s="2"/>
      <c r="D12" s="425"/>
      <c r="E12" s="425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424" t="s">
        <v>10</v>
      </c>
      <c r="B13" s="427">
        <v>0</v>
      </c>
      <c r="C13" s="82"/>
      <c r="D13" s="425"/>
      <c r="E13" s="425"/>
      <c r="F13" s="2"/>
      <c r="G13" s="208">
        <f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428"/>
      <c r="B14" s="2"/>
      <c r="C14" s="2"/>
      <c r="D14" s="425"/>
      <c r="E14" s="425"/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424" t="s">
        <v>12</v>
      </c>
      <c r="B15" s="82">
        <f>SUM(B9:B13)</f>
        <v>18000</v>
      </c>
      <c r="C15" s="82">
        <f>SUM(C9:C13)</f>
        <v>3600</v>
      </c>
      <c r="D15" s="425"/>
      <c r="E15" s="425"/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429"/>
      <c r="B16" s="429"/>
      <c r="C16" s="429"/>
      <c r="D16" s="425"/>
      <c r="E16" s="425"/>
      <c r="F16" s="2"/>
      <c r="G16" s="212">
        <f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429"/>
      <c r="B17" s="429"/>
      <c r="C17" s="429"/>
      <c r="D17" s="425"/>
      <c r="E17" s="425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429"/>
      <c r="B18" s="429"/>
      <c r="C18" s="429"/>
      <c r="D18" s="425"/>
      <c r="E18" s="425"/>
      <c r="F18" s="2"/>
      <c r="G18" s="19">
        <f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430" t="s">
        <v>17</v>
      </c>
      <c r="B19" s="430"/>
      <c r="C19" s="430"/>
      <c r="D19" s="430"/>
      <c r="E19" s="82">
        <f>B4</f>
        <v>21600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431"/>
      <c r="B20" s="2"/>
      <c r="C20" s="2"/>
      <c r="D20" s="2"/>
      <c r="E20" s="43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22.05" customHeight="1" spans="1:26">
      <c r="A21" s="430" t="s">
        <v>20</v>
      </c>
      <c r="B21" s="430"/>
      <c r="C21" s="430"/>
      <c r="D21" s="430"/>
      <c r="E21" s="82">
        <f>B15</f>
        <v>18000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36</v>
      </c>
      <c r="I29" s="54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10000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66666.6666666667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6000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36</v>
      </c>
      <c r="B33" s="40">
        <v>10000</v>
      </c>
      <c r="C33" s="41"/>
      <c r="D33" s="216">
        <f>H48</f>
        <v>190.81237436313</v>
      </c>
      <c r="E33" s="14"/>
      <c r="F33" s="2"/>
      <c r="G33" s="29" t="s">
        <v>355</v>
      </c>
      <c r="H33" s="217">
        <f>E21-E11</f>
        <v>18000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36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0.07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140.81237436313</v>
      </c>
      <c r="B36" s="133">
        <f>IF(B26="YES",H42,"")</f>
        <v>50</v>
      </c>
      <c r="C36" s="31"/>
      <c r="D36" s="53">
        <f>H31</f>
        <v>66666.6666666667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18000</v>
      </c>
      <c r="I39" s="50">
        <f>(I48*H46)+H44</f>
        <v>57161.3120530432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20000</v>
      </c>
      <c r="B40" s="102">
        <f>IF(B26="YES",H42,"0")</f>
        <v>50</v>
      </c>
      <c r="C40" s="102"/>
      <c r="D40" s="53">
        <f>I32</f>
        <v>6000</v>
      </c>
      <c r="E40" s="14"/>
      <c r="F40" s="2"/>
      <c r="G40" s="2" t="s">
        <v>107</v>
      </c>
      <c r="H40" s="50">
        <f>A40/1.2</f>
        <v>16666.6666666667</v>
      </c>
      <c r="I40" s="50">
        <f>H39-I39</f>
        <v>-39161.3120530432</v>
      </c>
      <c r="J40" s="2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0.00583333333333333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50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13439.5850433384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30</v>
      </c>
      <c r="B45" s="13"/>
      <c r="C45" s="220">
        <v>30</v>
      </c>
      <c r="D45" s="220"/>
      <c r="E45" s="14"/>
      <c r="F45" s="2"/>
      <c r="G45" s="2" t="s">
        <v>373</v>
      </c>
      <c r="H45" s="50">
        <f>(H39-H44)</f>
        <v>4560.41495666159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32.3864644516332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140.81237436313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190.81237436313</v>
      </c>
      <c r="I48" s="50">
        <f>I49-H42</f>
        <v>1350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10000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36</v>
      </c>
      <c r="B52" s="71">
        <f>H48</f>
        <v>190.81237436313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35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35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35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 t="s">
        <v>375</v>
      </c>
      <c r="B60" s="13">
        <f>E19</f>
        <v>21600</v>
      </c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v>37405</v>
      </c>
      <c r="C61" s="13"/>
      <c r="D61" s="13"/>
      <c r="E61" s="14"/>
      <c r="F61" s="2"/>
      <c r="G61" s="6" t="s">
        <v>14</v>
      </c>
      <c r="H61" s="12">
        <f>G18</f>
        <v>0</v>
      </c>
      <c r="I61" s="13"/>
      <c r="J61" s="13"/>
      <c r="K61" s="14"/>
      <c r="L61" s="2"/>
      <c r="M61" s="6" t="s">
        <v>14</v>
      </c>
      <c r="N61" s="12">
        <f>G18</f>
        <v>0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0.105</v>
      </c>
      <c r="C63" s="13"/>
      <c r="D63" s="13"/>
      <c r="E63" s="14"/>
      <c r="F63" s="2"/>
      <c r="G63" s="6" t="s">
        <v>278</v>
      </c>
      <c r="H63" s="10">
        <f>H62+(H62*0.25*(H29/12-1))</f>
        <v>0.105</v>
      </c>
      <c r="I63" s="13"/>
      <c r="J63" s="13"/>
      <c r="K63" s="14"/>
      <c r="L63" s="2"/>
      <c r="M63" s="6" t="s">
        <v>278</v>
      </c>
      <c r="N63" s="10">
        <f>N62+(N62*0.25*(H29/12-1))</f>
        <v>0.105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C64</f>
        <v>10000</v>
      </c>
      <c r="C64" s="222">
        <v>10000</v>
      </c>
      <c r="D64" s="12">
        <f>B64</f>
        <v>10000</v>
      </c>
      <c r="E64" s="223">
        <f>D64/(B58+B57)</f>
        <v>277.777777777778</v>
      </c>
      <c r="F64" s="2"/>
      <c r="G64" s="72" t="s">
        <v>91</v>
      </c>
      <c r="H64" s="80">
        <f>H61*H63</f>
        <v>0</v>
      </c>
      <c r="I64" s="13"/>
      <c r="J64" s="12">
        <f>H64-G145</f>
        <v>0</v>
      </c>
      <c r="K64" s="14"/>
      <c r="L64" s="2"/>
      <c r="M64" s="72" t="s">
        <v>91</v>
      </c>
      <c r="N64" s="80">
        <f>N61*N63</f>
        <v>0</v>
      </c>
      <c r="O64" s="13"/>
      <c r="P64" s="12">
        <f>N64-M145</f>
        <v>0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0.02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0.02</v>
      </c>
      <c r="I66" s="13"/>
      <c r="J66" s="13"/>
      <c r="K66" s="14"/>
      <c r="L66" s="2"/>
      <c r="M66" s="6" t="s">
        <v>93</v>
      </c>
      <c r="N66" s="10">
        <f>N65+(N65*0.5*(H29/12-1))</f>
        <v>0.02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B60*B66</f>
        <v>432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0</v>
      </c>
      <c r="I67" s="13"/>
      <c r="J67" s="12"/>
      <c r="K67" s="14"/>
      <c r="L67" s="2"/>
      <c r="M67" s="72" t="s">
        <v>94</v>
      </c>
      <c r="N67" s="80">
        <f>(N61*N66)/1.2</f>
        <v>0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180</v>
      </c>
      <c r="C73" s="13"/>
      <c r="D73" s="228">
        <f>B73+B71</f>
        <v>380</v>
      </c>
      <c r="E73" s="14" t="s">
        <v>229</v>
      </c>
      <c r="F73" s="2"/>
      <c r="G73" s="72" t="s">
        <v>100</v>
      </c>
      <c r="H73" s="80">
        <f>H72*H29</f>
        <v>162</v>
      </c>
      <c r="I73" s="13"/>
      <c r="J73" s="12">
        <f>H73+H71</f>
        <v>322</v>
      </c>
      <c r="K73" s="14"/>
      <c r="L73" s="2"/>
      <c r="M73" s="72" t="s">
        <v>100</v>
      </c>
      <c r="N73" s="80">
        <f>N72*H29</f>
        <v>162</v>
      </c>
      <c r="O73" s="13"/>
      <c r="P73" s="12">
        <f>N73+N71</f>
        <v>322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165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((B74+B75)/12)*(H29+1)</f>
        <v>508.75</v>
      </c>
      <c r="C76" s="13"/>
      <c r="D76" s="12">
        <f>B76</f>
        <v>508.75</v>
      </c>
      <c r="E76" s="14"/>
      <c r="F76" s="2"/>
      <c r="G76" s="72" t="s">
        <v>281</v>
      </c>
      <c r="H76" s="80">
        <f>((H74+H75)/12)*(H29-11)</f>
        <v>343.75</v>
      </c>
      <c r="I76" s="13"/>
      <c r="J76" s="12">
        <f>H76</f>
        <v>343.75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444.444444444444</v>
      </c>
      <c r="C77" s="229"/>
      <c r="D77" s="12">
        <f>B77</f>
        <v>444.444444444444</v>
      </c>
      <c r="E77" s="223">
        <f>D77/(B58+B57)</f>
        <v>12.3456790123457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229"/>
      <c r="D78" s="12">
        <f>B78</f>
        <v>222.222222222222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35.7986111111111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11955.4166666667</v>
      </c>
      <c r="C81" s="229"/>
      <c r="D81" s="230"/>
      <c r="E81" s="223"/>
      <c r="F81" s="2"/>
      <c r="G81" s="91" t="s">
        <v>103</v>
      </c>
      <c r="H81" s="92">
        <f>SUM(J64:J80)</f>
        <v>1065.75</v>
      </c>
      <c r="I81" s="13"/>
      <c r="J81" s="13"/>
      <c r="K81" s="14"/>
      <c r="L81" s="2"/>
      <c r="M81" s="91" t="s">
        <v>103</v>
      </c>
      <c r="N81" s="92">
        <f>SUM(P64:P80)</f>
        <v>722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332.094907407407</v>
      </c>
      <c r="C82" s="229"/>
      <c r="D82" s="13"/>
      <c r="E82" s="223"/>
      <c r="F82" s="2"/>
      <c r="G82" s="6" t="s">
        <v>104</v>
      </c>
      <c r="H82" s="11">
        <f>H81/H29</f>
        <v>29.6041666666667</v>
      </c>
      <c r="I82" s="13"/>
      <c r="J82" s="13"/>
      <c r="K82" s="14"/>
      <c r="L82" s="2"/>
      <c r="M82" s="6" t="s">
        <v>104</v>
      </c>
      <c r="N82" s="11">
        <f>N81/H29</f>
        <v>20.0555555555556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140.81237436313</v>
      </c>
      <c r="C83" s="229"/>
      <c r="D83" s="13"/>
      <c r="E83" s="223">
        <f>B83+E80+E77+E64</f>
        <v>466.734442264365</v>
      </c>
      <c r="F83" s="2"/>
      <c r="G83" s="93" t="s">
        <v>105</v>
      </c>
      <c r="H83" s="94">
        <f>H47</f>
        <v>140.81237436313</v>
      </c>
      <c r="I83" s="13"/>
      <c r="J83" s="13"/>
      <c r="K83" s="14"/>
      <c r="L83" s="2"/>
      <c r="M83" s="93" t="s">
        <v>105</v>
      </c>
      <c r="N83" s="94">
        <f>H47</f>
        <v>140.81237436313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17024.6621437394</v>
      </c>
      <c r="C85" s="229"/>
      <c r="D85" s="229"/>
      <c r="E85" s="223">
        <f>B85/(B58+B57)</f>
        <v>472.907281770538</v>
      </c>
      <c r="F85" s="2"/>
      <c r="G85" s="75" t="s">
        <v>115</v>
      </c>
      <c r="H85" s="95">
        <f>((H83*H29)+H81)*1.2</f>
        <v>7361.99457248723</v>
      </c>
      <c r="I85" s="13"/>
      <c r="J85" s="13"/>
      <c r="K85" s="14"/>
      <c r="L85" s="2"/>
      <c r="M85" s="75" t="s">
        <v>115</v>
      </c>
      <c r="N85" s="95">
        <f>((N83*H29)+N81)</f>
        <v>5791.24547707269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144.218598232564</v>
      </c>
      <c r="C86" s="229" t="s">
        <v>232</v>
      </c>
      <c r="D86" s="13"/>
      <c r="E86" s="223">
        <f>B86/(B58+B57)</f>
        <v>4.00607217312678</v>
      </c>
      <c r="F86" s="2"/>
      <c r="G86" s="6" t="s">
        <v>116</v>
      </c>
      <c r="H86" s="11">
        <f>((((H83*H29)+H81))/(1-H70))*H70</f>
        <v>51.9705143277638</v>
      </c>
      <c r="I86" s="13"/>
      <c r="J86" s="13"/>
      <c r="K86" s="14"/>
      <c r="L86" s="2"/>
      <c r="M86" s="6" t="s">
        <v>116</v>
      </c>
      <c r="N86" s="11">
        <f>(N85/(1-N70))*N70</f>
        <v>49.0585538598332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17168.8807419719</v>
      </c>
      <c r="C87" s="229"/>
      <c r="D87" s="231"/>
      <c r="E87" s="223">
        <f>E86+E85</f>
        <v>476.913353943665</v>
      </c>
      <c r="F87" s="2"/>
      <c r="G87" s="72" t="s">
        <v>117</v>
      </c>
      <c r="H87" s="80">
        <f>IF(H110="YES",((H85+H86)-K114),(H85+H86))</f>
        <v>7413.965086815</v>
      </c>
      <c r="I87" s="13"/>
      <c r="J87" s="13"/>
      <c r="K87" s="14"/>
      <c r="L87" s="2"/>
      <c r="M87" s="72" t="s">
        <v>117</v>
      </c>
      <c r="N87" s="80">
        <f>IF(N110="YES",((N85+N86)-Q114),(N85+N86))</f>
        <v>5840.30403093253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</f>
        <v>65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210.731707317073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175.609756097561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476.913353943665</v>
      </c>
      <c r="C90" s="229"/>
      <c r="D90" s="13"/>
      <c r="E90" s="232"/>
      <c r="F90" s="2"/>
      <c r="G90" s="97" t="s">
        <v>119</v>
      </c>
      <c r="H90" s="98">
        <f>IF(H99=Y98,(H87-J105)/(H58),H87/(H57+H58))</f>
        <v>180.828416751585</v>
      </c>
      <c r="I90" s="13"/>
      <c r="J90" s="13"/>
      <c r="K90" s="14"/>
      <c r="L90" s="2"/>
      <c r="M90" s="97" t="s">
        <v>119</v>
      </c>
      <c r="N90" s="98">
        <f>IF(N99=Y98,(N87-P105)/(N58),N87/(N57+N58))</f>
        <v>142.446439778842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541.913353943665</v>
      </c>
      <c r="C91" s="229"/>
      <c r="D91" s="233"/>
      <c r="E91" s="194"/>
      <c r="F91" s="2"/>
      <c r="G91" s="99" t="s">
        <v>120</v>
      </c>
      <c r="H91" s="100">
        <f>IF(G105="YES",H90+H89,H90)</f>
        <v>391.560124068658</v>
      </c>
      <c r="I91" s="13"/>
      <c r="J91" s="13"/>
      <c r="K91" s="14"/>
      <c r="L91" s="2"/>
      <c r="M91" s="99" t="s">
        <v>120</v>
      </c>
      <c r="N91" s="100">
        <f>IF(M105="YES",N90+N89,N90)</f>
        <v>318.056195876403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199.99</v>
      </c>
      <c r="B102" s="102">
        <v>400</v>
      </c>
      <c r="C102" s="102"/>
      <c r="D102" s="102">
        <v>200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0.3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((E118*1.2)+E117)-E114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36</v>
      </c>
      <c r="C125" s="118"/>
      <c r="D125" s="117">
        <f>B160</f>
        <v>10000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180.828416751585</v>
      </c>
      <c r="H127" s="126">
        <f>IF(G105="YES",H89*H57,0)</f>
        <v>1264.39024390244</v>
      </c>
      <c r="I127" s="126"/>
      <c r="J127" s="167">
        <f>H91</f>
        <v>391.560124068658</v>
      </c>
      <c r="K127" s="14"/>
      <c r="L127" s="2"/>
      <c r="M127" s="125">
        <f>N90</f>
        <v>142.446439778842</v>
      </c>
      <c r="N127" s="126">
        <f>IF(M105="YES",N89*N57,0)</f>
        <v>1053.65853658537</v>
      </c>
      <c r="O127" s="126"/>
      <c r="P127" s="126">
        <f>N91</f>
        <v>318.056195876403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476.913353943665</v>
      </c>
      <c r="B128" s="113">
        <f>IF(A105="YES",B89,0)</f>
        <v>65</v>
      </c>
      <c r="C128" s="118"/>
      <c r="D128" s="113">
        <f>B91</f>
        <v>541.913353943665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36</v>
      </c>
      <c r="H130" s="40">
        <f>B151</f>
        <v>0</v>
      </c>
      <c r="I130" s="41"/>
      <c r="J130" s="40">
        <f>B58</f>
        <v>35</v>
      </c>
      <c r="K130" s="14"/>
      <c r="L130" s="2"/>
      <c r="M130" s="39">
        <f>M155</f>
        <v>36</v>
      </c>
      <c r="N130" s="40">
        <f>B151</f>
        <v>0</v>
      </c>
      <c r="O130" s="41"/>
      <c r="P130" s="40">
        <f>B58</f>
        <v>35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476.913353943665</v>
      </c>
      <c r="C131" s="109"/>
      <c r="D131" s="127">
        <f>IF(A105="YES",B89*B57,0)</f>
        <v>65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1084.97050050951</v>
      </c>
      <c r="H133" s="133">
        <f>IF(G105="YES",H89*H57,0)</f>
        <v>1264.39024390244</v>
      </c>
      <c r="I133" s="31"/>
      <c r="J133" s="53">
        <f>H91*H57</f>
        <v>2349.36074441195</v>
      </c>
      <c r="K133" s="14"/>
      <c r="L133" s="2"/>
      <c r="M133" s="132">
        <f>N90*N57</f>
        <v>854.678638673053</v>
      </c>
      <c r="N133" s="133">
        <f>IF(M105="YES",N89*N57,0)</f>
        <v>1053.65853658537</v>
      </c>
      <c r="O133" s="31"/>
      <c r="P133" s="53">
        <f>N91*N57</f>
        <v>1908.33717525842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541.913353943665</v>
      </c>
      <c r="B134" s="127">
        <f>E114</f>
        <v>4000</v>
      </c>
      <c r="C134" s="109"/>
      <c r="D134" s="135">
        <f>B58</f>
        <v>35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</v>
      </c>
      <c r="H136" s="133">
        <f>IF(G105="YES",E15*0.000002,0)</f>
        <v>0</v>
      </c>
      <c r="I136" s="133"/>
      <c r="J136" s="133">
        <f>G136+H136</f>
        <v>0</v>
      </c>
      <c r="K136" s="141"/>
      <c r="L136" s="2"/>
      <c r="M136" s="134">
        <f>E15*0.000006</f>
        <v>0</v>
      </c>
      <c r="N136" s="133">
        <f>IF(M105="YES",E15*0.000002,0)</f>
        <v>0</v>
      </c>
      <c r="O136" s="133"/>
      <c r="P136" s="133">
        <f>M136+N136</f>
        <v>0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476.913353943665</v>
      </c>
      <c r="B137" s="127">
        <f>IF(A105="YES",B89,0)</f>
        <v>65</v>
      </c>
      <c r="C137" s="109"/>
      <c r="D137" s="127">
        <f>B91</f>
        <v>541.913353943665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0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0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(B61*0.000006)*1.2*100</f>
        <v>26.9316</v>
      </c>
      <c r="B140" s="143">
        <f>IF(A105="YES",B61*0.000002,0)*1.2*100</f>
        <v>8.9772</v>
      </c>
      <c r="C140" s="109"/>
      <c r="D140" s="143">
        <f>A140+B140</f>
        <v>35.9088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36</v>
      </c>
      <c r="H142" s="133">
        <f>G102-100</f>
        <v>99.99</v>
      </c>
      <c r="I142" s="133"/>
      <c r="J142" s="133" t="e">
        <f>(H139+J139+G142+H142)-H145</f>
        <v>#DIV/0!</v>
      </c>
      <c r="K142" s="141"/>
      <c r="L142" s="2"/>
      <c r="M142" s="134">
        <f>IF(M105="YES",((B36*N105)*0.1)*(M130),0)</f>
        <v>36</v>
      </c>
      <c r="N142" s="133">
        <f>M102-100</f>
        <v>99.99</v>
      </c>
      <c r="O142" s="133"/>
      <c r="P142" s="133" t="e">
        <f>(N139+P139+M142+N142)-N145</f>
        <v>#DIV/0!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 t="e">
        <f>(H139+J139+G142+H142)*(G145/H64)</f>
        <v>#DIV/0!</v>
      </c>
      <c r="I145" s="13"/>
      <c r="J145" s="13"/>
      <c r="K145" s="14"/>
      <c r="L145" s="2"/>
      <c r="M145" s="134">
        <v>0</v>
      </c>
      <c r="N145" s="133" t="e">
        <f>(N139+P139+M142+N142)*(M145/N64)</f>
        <v>#DIV/0!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432</v>
      </c>
      <c r="B148" s="133">
        <f>B102</f>
        <v>400</v>
      </c>
      <c r="C148" s="127"/>
      <c r="D148" s="127">
        <f>IF(A105="YES",(B40*B105)*B125,0)*0.1</f>
        <v>54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985.99</v>
      </c>
      <c r="E151" s="141"/>
      <c r="F151" s="2"/>
      <c r="G151" s="67"/>
      <c r="H151" s="69">
        <f>B51</f>
        <v>10000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36</v>
      </c>
      <c r="H152" s="71">
        <f>H91</f>
        <v>391.560124068658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10000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36</v>
      </c>
      <c r="N155" s="71">
        <f>N91</f>
        <v>318.056195876403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10000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36</v>
      </c>
      <c r="B161" s="71">
        <f>B91</f>
        <v>541.913353943665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36</v>
      </c>
      <c r="C174" s="158"/>
      <c r="D174" s="117">
        <f>D125</f>
        <v>10000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476.913353943665</v>
      </c>
      <c r="B177" s="156">
        <f>IF(A105="YES",B89,0)</f>
        <v>65</v>
      </c>
      <c r="C177" s="158"/>
      <c r="D177" s="156">
        <f>B91</f>
        <v>541.913353943665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476.913353943665</v>
      </c>
      <c r="C180" s="154"/>
      <c r="D180" s="133">
        <f>IF(A105="YES",B89*B57,0)</f>
        <v>65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541.913353943665</v>
      </c>
      <c r="B183" s="133">
        <f>E114</f>
        <v>4000</v>
      </c>
      <c r="C183" s="154"/>
      <c r="D183" s="162">
        <f>B58</f>
        <v>35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476.913353943665</v>
      </c>
      <c r="B186" s="133">
        <f>IF(A105="YES",B89,0)</f>
        <v>65</v>
      </c>
      <c r="C186" s="154"/>
      <c r="D186" s="133">
        <f>B91</f>
        <v>541.913353943665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A140</f>
        <v>26.9316</v>
      </c>
      <c r="B189" s="166">
        <f>B140</f>
        <v>8.9772</v>
      </c>
      <c r="C189" s="154"/>
      <c r="D189" s="166">
        <f>A189+B189</f>
        <v>35.9088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432</v>
      </c>
      <c r="B197" s="133">
        <f>B102</f>
        <v>400</v>
      </c>
      <c r="C197" s="133"/>
      <c r="D197" s="133">
        <f>IF(A105="YES",(B40*B105)*B125,0)*0.1</f>
        <v>54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985.99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0.07</v>
      </c>
      <c r="C209" s="113" t="s">
        <v>217</v>
      </c>
      <c r="D209" s="173">
        <f>D64</f>
        <v>10000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432</v>
      </c>
      <c r="C211" s="112" t="s">
        <v>219</v>
      </c>
      <c r="D211" s="173">
        <f>B225+E221+B221+B223</f>
        <v>879.99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10447.99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10000</v>
      </c>
      <c r="C217" s="177" t="s">
        <v>223</v>
      </c>
      <c r="D217" s="109"/>
      <c r="E217" s="178">
        <f>B66</f>
        <v>0.02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432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200</v>
      </c>
      <c r="C223" s="130" t="s">
        <v>220</v>
      </c>
      <c r="D223" s="109"/>
      <c r="E223" s="180">
        <f>(B217-B211+D211)</f>
        <v>10447.99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540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380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144.218598232564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64">
    <mergeCell ref="A1:F1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  <mergeCell ref="D7:E18"/>
    <mergeCell ref="A16:C18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44" workbookViewId="0">
      <selection activeCell="F260" sqref="F260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>
        <v>0</v>
      </c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248">
        <v>0</v>
      </c>
      <c r="C4" s="248">
        <v>0</v>
      </c>
      <c r="D4" s="248">
        <v>0</v>
      </c>
      <c r="E4" s="248"/>
      <c r="F4" s="248">
        <v>0</v>
      </c>
      <c r="G4" s="248"/>
      <c r="H4" s="249"/>
      <c r="I4" s="240"/>
      <c r="J4" s="240"/>
    </row>
    <row r="5" spans="1:10">
      <c r="A5" s="245" t="s">
        <v>153</v>
      </c>
      <c r="B5" s="246">
        <v>0</v>
      </c>
      <c r="C5" s="246">
        <v>0</v>
      </c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>
        <v>23125</v>
      </c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>
        <v>0</v>
      </c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>
        <v>0</v>
      </c>
      <c r="C13" s="254"/>
      <c r="D13" s="254"/>
      <c r="E13" s="254">
        <v>585</v>
      </c>
      <c r="F13" s="254"/>
      <c r="G13" s="35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9.54545454545454</v>
      </c>
      <c r="E32" s="37"/>
      <c r="F32" s="2"/>
      <c r="G32" s="38" t="s">
        <v>243</v>
      </c>
      <c r="H32" s="36">
        <f>A41</f>
        <v>9.54545454545454</v>
      </c>
      <c r="J32" s="404" t="s">
        <v>37</v>
      </c>
      <c r="K32" s="413" t="s">
        <v>382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509.545454545455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 t="s">
        <v>381</v>
      </c>
      <c r="J36" s="404" t="s">
        <v>51</v>
      </c>
      <c r="K36" s="407">
        <f>K32-K34</f>
        <v>20268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18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9.54545454545454</v>
      </c>
      <c r="B41" s="55">
        <f>IF(B38="YES",D38+A41,D38)</f>
        <v>509.545454545455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9.54545454545454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509.909090909091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414" t="s">
        <v>4</v>
      </c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509.909090909091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20928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0.072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17862.0274483356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199.3875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20268</v>
      </c>
      <c r="C81" s="250"/>
      <c r="D81" s="250"/>
      <c r="E81" s="291"/>
      <c r="F81" s="264" t="s">
        <v>106</v>
      </c>
      <c r="G81" s="266">
        <f>B81</f>
        <v>20268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0.137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0.0114166666666667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4950.38529500718</v>
      </c>
      <c r="C86" s="250">
        <f>(B82/((1+B84)^(B85+1)))</f>
        <v>4950.38529500718</v>
      </c>
      <c r="D86" s="250"/>
      <c r="E86" s="291"/>
      <c r="F86" s="245" t="s">
        <v>111</v>
      </c>
      <c r="G86" s="180">
        <f>(G82/((1+G84)^(G85+1)))</f>
        <v>6024.37295128565</v>
      </c>
      <c r="H86" s="180"/>
    </row>
    <row r="87" spans="1:8">
      <c r="A87" s="245" t="s">
        <v>112</v>
      </c>
      <c r="B87" s="180">
        <f>((1-(1/((1+B84)^B85)))/B84)</f>
        <v>26.6800219733353</v>
      </c>
      <c r="C87" s="250">
        <f>((1-(1/((1+B84)^B85)))/B84)</f>
        <v>26.6800219733353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15317.6147049928</v>
      </c>
      <c r="C88" s="250">
        <f>B81-B86</f>
        <v>15317.6147049928</v>
      </c>
      <c r="D88" s="250"/>
      <c r="E88" s="291"/>
      <c r="F88" s="245" t="s">
        <v>113</v>
      </c>
      <c r="G88" s="180">
        <f>G81-G86</f>
        <v>14243.6270487143</v>
      </c>
      <c r="H88" s="180"/>
    </row>
    <row r="89" spans="1:8">
      <c r="A89" s="245" t="s">
        <v>114</v>
      </c>
      <c r="B89" s="180">
        <f>(B88/B87)</f>
        <v>574.123016851398</v>
      </c>
      <c r="C89" s="250">
        <f>(B88/B87)</f>
        <v>574.123016851398</v>
      </c>
      <c r="D89" s="250"/>
      <c r="E89" s="291"/>
      <c r="F89" s="245" t="s">
        <v>114</v>
      </c>
      <c r="G89" s="180">
        <f>(G88/G87)</f>
        <v>486.005136521857</v>
      </c>
      <c r="H89" s="180"/>
    </row>
    <row r="90" spans="1:8">
      <c r="A90" s="245" t="s">
        <v>115</v>
      </c>
      <c r="B90" s="180">
        <f>((B89*(B85))+B77)</f>
        <v>18371.9365392447</v>
      </c>
      <c r="C90" s="250"/>
      <c r="D90" s="250"/>
      <c r="E90" s="291"/>
      <c r="F90" s="245" t="s">
        <v>115</v>
      </c>
      <c r="G90" s="180">
        <f>((G89*(G85))+G77)</f>
        <v>15552.1643686994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18371.9365392447</v>
      </c>
      <c r="C92" s="250"/>
      <c r="D92" s="250"/>
      <c r="E92" s="291"/>
      <c r="F92" s="275" t="s">
        <v>117</v>
      </c>
      <c r="G92" s="281">
        <f>(G90+G91)</f>
        <v>15552.1643686994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>
        <f>IF(B38="YES",((H36/B85)*(1+A108)*1.2),"0")</f>
        <v>14.175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574.123016851398</v>
      </c>
      <c r="C95" s="250"/>
      <c r="D95" s="250"/>
      <c r="E95" s="291"/>
      <c r="F95" s="319" t="s">
        <v>119</v>
      </c>
      <c r="G95" s="320">
        <f>G92/(G85)</f>
        <v>486.005136521857</v>
      </c>
      <c r="H95" s="180"/>
    </row>
    <row r="96" ht="19.5" spans="1:8">
      <c r="A96" s="321" t="s">
        <v>120</v>
      </c>
      <c r="B96" s="322">
        <f>B94+B95</f>
        <v>588.298016851398</v>
      </c>
      <c r="C96" s="250"/>
      <c r="D96" s="250"/>
      <c r="E96" s="291"/>
      <c r="F96" s="321" t="s">
        <v>120</v>
      </c>
      <c r="G96" s="322">
        <f>G94+G95</f>
        <v>486.005136521857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>
        <v>0</v>
      </c>
      <c r="E108" s="327">
        <f>B83</f>
        <v>0.137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f>B122</f>
        <v>0</v>
      </c>
      <c r="D122" s="338">
        <f>D4</f>
        <v>0</v>
      </c>
      <c r="E122" s="248">
        <f>D122</f>
        <v>0</v>
      </c>
      <c r="F122" s="338">
        <f>F4</f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f>B5</f>
        <v>0</v>
      </c>
      <c r="C123" s="336">
        <f>B123</f>
        <v>0</v>
      </c>
      <c r="D123" s="340">
        <f>D5</f>
        <v>0</v>
      </c>
      <c r="E123" s="336">
        <f>D123</f>
        <v>0</v>
      </c>
      <c r="F123" s="340">
        <f>F5</f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16745</v>
      </c>
      <c r="C125" s="80">
        <f t="shared" si="0"/>
        <v>16745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 t="shared" ref="G135:G142" si="1">H9</f>
        <v>16745</v>
      </c>
      <c r="H135" s="354">
        <f>C125+E125+G125+H128</f>
        <v>16745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 t="shared" si="1"/>
        <v>695</v>
      </c>
      <c r="H136" s="180">
        <f>G136</f>
        <v>695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35">
        <f t="shared" si="1"/>
        <v>3488</v>
      </c>
      <c r="H137" s="180">
        <f>(H135+H136)*20%</f>
        <v>3488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 t="shared" si="1"/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 t="shared" si="1"/>
        <v>275</v>
      </c>
      <c r="H139" s="180">
        <f>G139</f>
        <v>275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 t="shared" si="1"/>
        <v>65</v>
      </c>
      <c r="H140" s="180">
        <f>G140</f>
        <v>65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5">
        <f t="shared" si="1"/>
        <v>21268</v>
      </c>
      <c r="H141" s="356">
        <f>(H135+H136+H139+H140+H137)-H138</f>
        <v>21268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35">
        <f t="shared" si="1"/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21268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0</v>
      </c>
      <c r="I148" s="239">
        <f>(H148-G81)/1.2</f>
        <v>-16890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21268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574.123016851398</v>
      </c>
      <c r="B167" s="126">
        <f>B94</f>
        <v>14.175</v>
      </c>
      <c r="C167" s="365"/>
      <c r="D167" s="365"/>
      <c r="E167" s="126">
        <f>B96</f>
        <v>588.298016851398</v>
      </c>
      <c r="F167" s="262"/>
      <c r="G167" s="262">
        <f>ROUND(G95,2)</f>
        <v>486.01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>
        <f>B29</f>
        <v>12345</v>
      </c>
      <c r="B170" s="42">
        <f>B30</f>
        <v>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17440</v>
      </c>
      <c r="B173" s="133">
        <f>H137</f>
        <v>3488</v>
      </c>
      <c r="C173" s="272"/>
      <c r="D173" s="262"/>
      <c r="E173" s="274">
        <f>H139+H140</f>
        <v>340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21268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21268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4303.93653924473</v>
      </c>
      <c r="B182" s="133" t="str">
        <f>B114</f>
        <v>239.99</v>
      </c>
      <c r="C182" s="133"/>
      <c r="D182" s="262"/>
      <c r="E182" s="133">
        <f>E179+A182+B182+A185</f>
        <v>25821.9265392447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5.02272</v>
      </c>
      <c r="B188" s="133">
        <f>(G158*B67)/1.2</f>
        <v>166.15625</v>
      </c>
      <c r="C188" s="250"/>
      <c r="D188" s="250"/>
      <c r="E188" s="133">
        <f>IF(E105="YES",(H36*A108)*0.1,0)</f>
        <v>6.3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272.447916666667</v>
      </c>
      <c r="C191" s="250"/>
      <c r="D191" s="250"/>
      <c r="E191" s="133">
        <f>H148</f>
        <v>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588.298016851398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1484.32</v>
      </c>
      <c r="B201" s="272">
        <f>E179+A201+B182+A185</f>
        <v>23002.31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574.123016851398</v>
      </c>
      <c r="B212" s="126">
        <f>B167</f>
        <v>14.175</v>
      </c>
      <c r="C212" s="365"/>
      <c r="D212" s="365"/>
      <c r="E212" s="126">
        <f>E167</f>
        <v>588.298016851398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17440</v>
      </c>
      <c r="B215" s="133">
        <f>B173</f>
        <v>3488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21268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21268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4303.93653924473</v>
      </c>
      <c r="B224" s="133" t="str">
        <f>B182</f>
        <v>239.99</v>
      </c>
      <c r="C224" s="133"/>
      <c r="D224" s="291"/>
      <c r="E224" s="133">
        <f>E182</f>
        <v>25821.9265392447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574.123016851398</v>
      </c>
      <c r="B230" s="133">
        <f>B167</f>
        <v>14.175</v>
      </c>
      <c r="C230" s="272"/>
      <c r="D230" s="272"/>
      <c r="E230" s="133">
        <f>E167</f>
        <v>588.298016851398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J18*0.000006*100*1.2</f>
        <v>15.06816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5.02272</v>
      </c>
      <c r="B236" s="133">
        <f>E233+A236</f>
        <v>20.09088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0</v>
      </c>
      <c r="B240" s="133">
        <f>B188</f>
        <v>166.15625</v>
      </c>
      <c r="C240" s="250"/>
      <c r="D240" s="250"/>
      <c r="E240" s="133">
        <f>IF(E105="YES",(H36*A108)*0.1,0)</f>
        <v>6.3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272.447916666667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0.137</v>
      </c>
      <c r="G253" s="262"/>
      <c r="H253" s="180"/>
    </row>
    <row r="254" spans="1:8">
      <c r="A254" s="370" t="s">
        <v>217</v>
      </c>
      <c r="B254" s="393">
        <f>(E182-B182)-(B201-B182-A185)</f>
        <v>2829.61653924473</v>
      </c>
      <c r="C254" s="376"/>
      <c r="D254" s="377" t="s">
        <v>218</v>
      </c>
      <c r="E254" s="377"/>
      <c r="F254" s="378">
        <f>F261+F267+F269+B270+B271</f>
        <v>199.3875</v>
      </c>
      <c r="G254" s="262"/>
      <c r="H254" s="180"/>
    </row>
    <row r="255" spans="1:8">
      <c r="A255" s="370" t="s">
        <v>219</v>
      </c>
      <c r="B255" s="378">
        <f>F262+B263</f>
        <v>162.991666666667</v>
      </c>
      <c r="C255" s="376"/>
      <c r="D255" s="377" t="s">
        <v>220</v>
      </c>
      <c r="E255" s="377"/>
      <c r="F255" s="378">
        <f>(B254-F254)+B255</f>
        <v>2793.2207059114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0.072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0.137</v>
      </c>
      <c r="C260" s="388"/>
      <c r="D260" s="105" t="s">
        <v>217</v>
      </c>
      <c r="E260" s="105"/>
      <c r="F260" s="389">
        <f>B254</f>
        <v>2829.61653924473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199.3875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63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2793.2207059114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8:A20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22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>
        <v>0</v>
      </c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248">
        <v>0</v>
      </c>
      <c r="C4" s="248">
        <v>0</v>
      </c>
      <c r="D4" s="248">
        <v>0</v>
      </c>
      <c r="E4" s="248"/>
      <c r="F4" s="248">
        <v>0</v>
      </c>
      <c r="G4" s="248"/>
      <c r="H4" s="249"/>
      <c r="I4" s="240"/>
      <c r="J4" s="240"/>
    </row>
    <row r="5" spans="1:10">
      <c r="A5" s="245" t="s">
        <v>153</v>
      </c>
      <c r="B5" s="246">
        <v>0</v>
      </c>
      <c r="C5" s="246">
        <v>0</v>
      </c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413" t="s">
        <v>382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>
        <v>0</v>
      </c>
      <c r="J36" s="404" t="s">
        <v>51</v>
      </c>
      <c r="K36" s="407">
        <f>K32-K34</f>
        <v>20268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19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500.363636363636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500.363636363636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20928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17002.4078787606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199.3875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20268</v>
      </c>
      <c r="C81" s="250"/>
      <c r="D81" s="250"/>
      <c r="E81" s="291"/>
      <c r="F81" s="264" t="s">
        <v>106</v>
      </c>
      <c r="G81" s="266">
        <f>B81</f>
        <v>20268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5255.82391109543</v>
      </c>
      <c r="C86" s="250">
        <f>(B82/((1+B84)^(B85+1)))</f>
        <v>5255.82391109543</v>
      </c>
      <c r="D86" s="250"/>
      <c r="E86" s="291"/>
      <c r="F86" s="245" t="s">
        <v>111</v>
      </c>
      <c r="G86" s="180">
        <f>(G82/((1+G84)^(G85+1)))</f>
        <v>6024.37295128565</v>
      </c>
      <c r="H86" s="180"/>
    </row>
    <row r="87" spans="1:8">
      <c r="A87" s="245" t="s">
        <v>112</v>
      </c>
      <c r="B87" s="180">
        <f>((1-(1/((1+B84)^B85)))/B84)</f>
        <v>27.4464895133802</v>
      </c>
      <c r="C87" s="250">
        <f>((1-(1/((1+B84)^B85)))/B84)</f>
        <v>27.4464895133802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15012.1760889046</v>
      </c>
      <c r="C88" s="250">
        <f>B81-B86</f>
        <v>15012.1760889046</v>
      </c>
      <c r="D88" s="250"/>
      <c r="E88" s="291"/>
      <c r="F88" s="245" t="s">
        <v>113</v>
      </c>
      <c r="G88" s="180">
        <f>G81-G86</f>
        <v>14243.6270487143</v>
      </c>
      <c r="H88" s="180"/>
    </row>
    <row r="89" spans="1:8">
      <c r="A89" s="245" t="s">
        <v>114</v>
      </c>
      <c r="B89" s="180">
        <f>(B88/B87)</f>
        <v>546.961609847631</v>
      </c>
      <c r="C89" s="250">
        <f>(B88/B87)</f>
        <v>546.961609847631</v>
      </c>
      <c r="D89" s="250"/>
      <c r="E89" s="291"/>
      <c r="F89" s="245" t="s">
        <v>114</v>
      </c>
      <c r="G89" s="180">
        <f>(G88/G87)</f>
        <v>486.005136521857</v>
      </c>
      <c r="H89" s="180"/>
    </row>
    <row r="90" spans="1:8">
      <c r="A90" s="245" t="s">
        <v>115</v>
      </c>
      <c r="B90" s="180">
        <f>((B89*(B85))+B77)</f>
        <v>17502.7715151242</v>
      </c>
      <c r="C90" s="250"/>
      <c r="D90" s="250"/>
      <c r="E90" s="291"/>
      <c r="F90" s="245" t="s">
        <v>115</v>
      </c>
      <c r="G90" s="180">
        <f>((G89*(G85))+G77)</f>
        <v>15552.1643686994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17502.7715151242</v>
      </c>
      <c r="C92" s="250"/>
      <c r="D92" s="250"/>
      <c r="E92" s="291"/>
      <c r="F92" s="275" t="s">
        <v>117</v>
      </c>
      <c r="G92" s="281">
        <f>(G90+G91)</f>
        <v>15552.1643686994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546.961609847631</v>
      </c>
      <c r="C95" s="250"/>
      <c r="D95" s="250"/>
      <c r="E95" s="291"/>
      <c r="F95" s="319" t="s">
        <v>119</v>
      </c>
      <c r="G95" s="320">
        <f>G92/(G85)</f>
        <v>486.005136521857</v>
      </c>
      <c r="H95" s="180"/>
    </row>
    <row r="96" ht="19.5" spans="1:8">
      <c r="A96" s="321" t="s">
        <v>120</v>
      </c>
      <c r="B96" s="322">
        <f>B94+B95</f>
        <v>546.961609847631</v>
      </c>
      <c r="C96" s="250"/>
      <c r="D96" s="250"/>
      <c r="E96" s="291"/>
      <c r="F96" s="321" t="s">
        <v>120</v>
      </c>
      <c r="G96" s="322">
        <f>G94+G95</f>
        <v>486.005136521857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0.2</v>
      </c>
      <c r="B108" s="102" t="s">
        <v>121</v>
      </c>
      <c r="C108" s="102"/>
      <c r="D108" s="102"/>
      <c r="E108" s="327">
        <f>B83</f>
        <v>0.115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 t="s">
        <v>18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 t="s">
        <v>18</v>
      </c>
      <c r="B120" s="331">
        <v>0</v>
      </c>
      <c r="C120" s="332" t="s">
        <v>150</v>
      </c>
      <c r="D120" s="331" t="s">
        <v>149</v>
      </c>
      <c r="E120" s="333">
        <v>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f>B122</f>
        <v>0</v>
      </c>
      <c r="D122" s="338">
        <f>D4</f>
        <v>0</v>
      </c>
      <c r="E122" s="248">
        <f>D122</f>
        <v>0</v>
      </c>
      <c r="F122" s="338">
        <f>F4</f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f>B5</f>
        <v>0</v>
      </c>
      <c r="C123" s="336">
        <f>B123</f>
        <v>0</v>
      </c>
      <c r="D123" s="340">
        <f>D5</f>
        <v>0</v>
      </c>
      <c r="E123" s="336">
        <f>D123</f>
        <v>0</v>
      </c>
      <c r="F123" s="340">
        <f>F5</f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16745</v>
      </c>
      <c r="C125" s="80">
        <f t="shared" si="0"/>
        <v>16745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 t="shared" ref="G135:G142" si="1">H9</f>
        <v>16745</v>
      </c>
      <c r="H135" s="354">
        <f>C125+E125+G125+H128</f>
        <v>16745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 t="shared" si="1"/>
        <v>695</v>
      </c>
      <c r="H136" s="180">
        <f>G136</f>
        <v>695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35">
        <f t="shared" si="1"/>
        <v>3488</v>
      </c>
      <c r="H137" s="180">
        <f>(H135+H136)*20%</f>
        <v>3488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 t="shared" si="1"/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 t="shared" si="1"/>
        <v>275</v>
      </c>
      <c r="H139" s="180">
        <f>G139</f>
        <v>275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 t="shared" si="1"/>
        <v>65</v>
      </c>
      <c r="H140" s="180">
        <f>G140</f>
        <v>65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5">
        <f t="shared" si="1"/>
        <v>21268</v>
      </c>
      <c r="H141" s="356">
        <f>(H135+H136+H139+H140+H137)-H138</f>
        <v>21268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35">
        <f t="shared" si="1"/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21268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0</v>
      </c>
      <c r="I148" s="239">
        <f>(H148-G81)/1.2</f>
        <v>-16890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21268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>
        <v>0</v>
      </c>
      <c r="F161" s="262"/>
      <c r="G161" s="262">
        <v>0</v>
      </c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>
        <v>0</v>
      </c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66">
        <f>B95</f>
        <v>546.961609847631</v>
      </c>
      <c r="B167" s="126" t="str">
        <f>B94</f>
        <v>0</v>
      </c>
      <c r="C167" s="365"/>
      <c r="D167" s="365"/>
      <c r="E167" s="126">
        <f>B96</f>
        <v>546.961609847631</v>
      </c>
      <c r="F167" s="262"/>
      <c r="G167" s="262">
        <f>ROUND(G95,2)</f>
        <v>486.01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33</v>
      </c>
      <c r="B170" s="42" t="str">
        <f>H30</f>
        <v>5000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17440</v>
      </c>
      <c r="B173" s="133">
        <f>H137</f>
        <v>3488</v>
      </c>
      <c r="C173" s="272"/>
      <c r="D173" s="262"/>
      <c r="E173" s="274">
        <f>H139+H140</f>
        <v>340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H141</f>
        <v>21268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21268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3434.77151512419</v>
      </c>
      <c r="B182" s="133" t="str">
        <f>B114</f>
        <v>199.99</v>
      </c>
      <c r="C182" s="133"/>
      <c r="D182" s="262"/>
      <c r="E182" s="133">
        <f>E179+A182+(B182*1.2)+A185</f>
        <v>24952.7595151242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A179+B182*1.2</f>
        <v>239.988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4.1856</v>
      </c>
      <c r="B188" s="133">
        <f>(G158*B67)/1.2</f>
        <v>166.15625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266.14625</v>
      </c>
      <c r="C191" s="250"/>
      <c r="D191" s="250"/>
      <c r="E191" s="133">
        <f>H148</f>
        <v>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546.961609847631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1484.32</v>
      </c>
      <c r="B201" s="272">
        <f>E179+A201+(B182*1.2)+A185</f>
        <v>23002.308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546.961609847631</v>
      </c>
      <c r="B212" s="126" t="str">
        <f>B167</f>
        <v>0</v>
      </c>
      <c r="C212" s="365"/>
      <c r="D212" s="365"/>
      <c r="E212" s="126">
        <f>E167</f>
        <v>546.961609847631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17440</v>
      </c>
      <c r="B215" s="133">
        <f>B173</f>
        <v>3488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21268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21268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3434.77151512419</v>
      </c>
      <c r="B224" s="133" t="str">
        <f>B182</f>
        <v>199.99</v>
      </c>
      <c r="C224" s="133"/>
      <c r="D224" s="291"/>
      <c r="E224" s="133">
        <f>E182</f>
        <v>24952.7595151242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546.961609847631</v>
      </c>
      <c r="B230" s="133" t="str">
        <f>B167</f>
        <v>0</v>
      </c>
      <c r="C230" s="272"/>
      <c r="D230" s="272"/>
      <c r="E230" s="133">
        <f>E167</f>
        <v>546.961609847631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J18*0.000006*100</f>
        <v>12.5568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A188</f>
        <v>4.1856</v>
      </c>
      <c r="B236" s="133">
        <f>E233+A236</f>
        <v>16.7424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0</v>
      </c>
      <c r="B240" s="133">
        <f>B188</f>
        <v>166.15625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266.14625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78">
        <f>(E182-B182)-(B201-B182-A185)</f>
        <v>1960.45151512419</v>
      </c>
      <c r="C254" s="376"/>
      <c r="D254" s="377" t="s">
        <v>218</v>
      </c>
      <c r="E254" s="377"/>
      <c r="F254" s="378">
        <f>F261+F267+F269+B270+B271</f>
        <v>199.3875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1861.05401512419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B254</f>
        <v>1960.45151512419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199.3875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1861.05401512419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8:A20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21" workbookViewId="0">
      <selection activeCell="H139" sqref="H139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>
        <v>0</v>
      </c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248">
        <v>0</v>
      </c>
      <c r="C4" s="248">
        <v>0</v>
      </c>
      <c r="D4" s="248">
        <v>0</v>
      </c>
      <c r="E4" s="248"/>
      <c r="F4" s="248">
        <v>0</v>
      </c>
      <c r="G4" s="248"/>
      <c r="H4" s="249"/>
      <c r="I4" s="240"/>
      <c r="J4" s="240"/>
    </row>
    <row r="5" spans="1:10">
      <c r="A5" s="245" t="s">
        <v>153</v>
      </c>
      <c r="B5" s="246">
        <v>0</v>
      </c>
      <c r="C5" s="246">
        <v>0</v>
      </c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9.54545454545454</v>
      </c>
      <c r="E32" s="37"/>
      <c r="F32" s="2"/>
      <c r="G32" s="38" t="s">
        <v>243</v>
      </c>
      <c r="H32" s="36">
        <f>A41</f>
        <v>9.54545454545454</v>
      </c>
      <c r="J32" s="404" t="s">
        <v>37</v>
      </c>
      <c r="K32" s="413" t="s">
        <v>382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509.545454545455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 t="s">
        <v>381</v>
      </c>
      <c r="J36" s="404" t="s">
        <v>51</v>
      </c>
      <c r="K36" s="407">
        <f>K32-K34</f>
        <v>20268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18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9.54545454545454</v>
      </c>
      <c r="B41" s="55">
        <f>IF(B38="YES",D38+A41,D38)</f>
        <v>509.545454545455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9.54545454545454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509.909090909091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509.909090909091</v>
      </c>
      <c r="C53" s="71"/>
      <c r="D53" s="13"/>
      <c r="E53" s="14"/>
      <c r="I53" s="240"/>
      <c r="J53" s="240"/>
      <c r="K53" s="240"/>
      <c r="P53" s="273"/>
    </row>
    <row r="54" spans="9:16"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>
        <v>10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20928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>
        <v>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16992.8624242151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199.3875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>
        <v>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>
        <v>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>
        <v>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>
        <v>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>
        <v>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>
        <v>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20268</v>
      </c>
      <c r="C81" s="250"/>
      <c r="D81" s="250"/>
      <c r="E81" s="291"/>
      <c r="F81" s="264" t="s">
        <v>106</v>
      </c>
      <c r="G81" s="266">
        <f>B81</f>
        <v>20268</v>
      </c>
      <c r="H81" s="180"/>
    </row>
    <row r="82" spans="1:8">
      <c r="A82" s="245" t="s">
        <v>107</v>
      </c>
      <c r="B82" s="180">
        <f>IF(A111="YES",D41,0)*1.2</f>
        <v>7200</v>
      </c>
      <c r="C82" s="250"/>
      <c r="D82" s="250"/>
      <c r="E82" s="291"/>
      <c r="F82" s="245" t="s">
        <v>107</v>
      </c>
      <c r="G82" s="180">
        <f>IF(A111="YES",D41,0)*1.2</f>
        <v>7200</v>
      </c>
      <c r="H82" s="180"/>
    </row>
    <row r="83" spans="1:29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5255.82391109543</v>
      </c>
      <c r="C86" s="250">
        <f>(B82/((1+B84)^(B85+1)))</f>
        <v>5255.82391109543</v>
      </c>
      <c r="D86" s="250"/>
      <c r="E86" s="291"/>
      <c r="F86" s="245" t="s">
        <v>111</v>
      </c>
      <c r="G86" s="180">
        <f>(G82/((1+G84)^(G85+1)))</f>
        <v>6024.37295128565</v>
      </c>
      <c r="H86" s="180"/>
    </row>
    <row r="87" spans="1:8">
      <c r="A87" s="245" t="s">
        <v>112</v>
      </c>
      <c r="B87" s="180">
        <f>((1-(1/((1+B84)^B85)))/B84)</f>
        <v>27.4464895133802</v>
      </c>
      <c r="C87" s="250">
        <f>((1-(1/((1+B84)^B85)))/B84)</f>
        <v>27.4464895133802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15012.1760889046</v>
      </c>
      <c r="C88" s="250">
        <f>B81-B86</f>
        <v>15012.1760889046</v>
      </c>
      <c r="D88" s="250"/>
      <c r="E88" s="291"/>
      <c r="F88" s="245" t="s">
        <v>113</v>
      </c>
      <c r="G88" s="180">
        <f>G81-G86</f>
        <v>14243.6270487143</v>
      </c>
      <c r="H88" s="180"/>
    </row>
    <row r="89" spans="1:8">
      <c r="A89" s="245" t="s">
        <v>114</v>
      </c>
      <c r="B89" s="180">
        <f>(B88/B87)</f>
        <v>546.961609847631</v>
      </c>
      <c r="C89" s="250">
        <f>(B88/B87)</f>
        <v>546.961609847631</v>
      </c>
      <c r="D89" s="250"/>
      <c r="E89" s="291"/>
      <c r="F89" s="245" t="s">
        <v>114</v>
      </c>
      <c r="G89" s="180">
        <f>(G88/G87)</f>
        <v>486.005136521857</v>
      </c>
      <c r="H89" s="180"/>
    </row>
    <row r="90" spans="1:8">
      <c r="A90" s="245" t="s">
        <v>115</v>
      </c>
      <c r="B90" s="180">
        <f>((B89*(B85))+B77)</f>
        <v>17502.7715151242</v>
      </c>
      <c r="C90" s="250"/>
      <c r="D90" s="250"/>
      <c r="E90" s="291"/>
      <c r="F90" s="245" t="s">
        <v>115</v>
      </c>
      <c r="G90" s="180">
        <f>((G89*(G85))+G77)</f>
        <v>15552.1643686994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17502.7715151242</v>
      </c>
      <c r="C92" s="250"/>
      <c r="D92" s="250"/>
      <c r="E92" s="291"/>
      <c r="F92" s="275" t="s">
        <v>117</v>
      </c>
      <c r="G92" s="281">
        <f>(G90+G91)</f>
        <v>15552.1643686994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>
        <f>IF(B38="YES",((H36/B85)*(1+A108)*1.2),"0")</f>
        <v>15.35625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546.961609847631</v>
      </c>
      <c r="C95" s="250"/>
      <c r="D95" s="250"/>
      <c r="E95" s="291"/>
      <c r="F95" s="319" t="s">
        <v>119</v>
      </c>
      <c r="G95" s="320">
        <f>G92/(G85)</f>
        <v>486.005136521857</v>
      </c>
      <c r="H95" s="180"/>
    </row>
    <row r="96" ht="19.5" spans="1:8">
      <c r="A96" s="321" t="s">
        <v>120</v>
      </c>
      <c r="B96" s="322">
        <f>B94+B95</f>
        <v>562.317859847631</v>
      </c>
      <c r="C96" s="250"/>
      <c r="D96" s="250"/>
      <c r="E96" s="291"/>
      <c r="F96" s="321" t="s">
        <v>120</v>
      </c>
      <c r="G96" s="322">
        <f>G94+G95</f>
        <v>486.005136521857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271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>
        <v>0.3</v>
      </c>
      <c r="B108" s="102" t="s">
        <v>121</v>
      </c>
      <c r="C108" s="102"/>
      <c r="D108" s="102"/>
      <c r="E108" s="327">
        <f>B83</f>
        <v>0.115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>
        <v>0</v>
      </c>
      <c r="C111" s="102"/>
      <c r="D111" s="102"/>
      <c r="E111" s="102">
        <v>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f>B122</f>
        <v>0</v>
      </c>
      <c r="D122" s="338">
        <f>D4</f>
        <v>0</v>
      </c>
      <c r="E122" s="248">
        <f>D122</f>
        <v>0</v>
      </c>
      <c r="F122" s="338">
        <f>F4</f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f>B5</f>
        <v>0</v>
      </c>
      <c r="C123" s="336">
        <f>B123</f>
        <v>0</v>
      </c>
      <c r="D123" s="340">
        <f>D5</f>
        <v>0</v>
      </c>
      <c r="E123" s="336">
        <f>D123</f>
        <v>0</v>
      </c>
      <c r="F123" s="340">
        <f>F5</f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16745</v>
      </c>
      <c r="C125" s="80">
        <f t="shared" si="0"/>
        <v>16745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 t="shared" ref="G135:G142" si="1">H9</f>
        <v>16745</v>
      </c>
      <c r="H135" s="354">
        <f>C125+E125+G125+H128</f>
        <v>16745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 t="shared" si="1"/>
        <v>695</v>
      </c>
      <c r="H136" s="180">
        <f>G136</f>
        <v>695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35">
        <f t="shared" si="1"/>
        <v>3488</v>
      </c>
      <c r="H137" s="180">
        <f>(H135+H136)*20%</f>
        <v>3488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 t="shared" si="1"/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 t="shared" si="1"/>
        <v>275</v>
      </c>
      <c r="H139" s="180">
        <f>G139</f>
        <v>275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 t="shared" si="1"/>
        <v>65</v>
      </c>
      <c r="H140" s="180">
        <f>G140</f>
        <v>65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5">
        <f t="shared" si="1"/>
        <v>21268</v>
      </c>
      <c r="H141" s="356">
        <f>(H135+H136+H139+H140+H137)-H138</f>
        <v>21268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35">
        <f t="shared" si="1"/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21268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0</v>
      </c>
      <c r="I148" s="239">
        <f>(H148-G81)/1.2</f>
        <v>-16890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>
        <v>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21268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546.961609847631</v>
      </c>
      <c r="B167" s="126">
        <f>B94</f>
        <v>15.35625</v>
      </c>
      <c r="C167" s="365"/>
      <c r="D167" s="365"/>
      <c r="E167" s="126">
        <f>B96</f>
        <v>562.317859847631</v>
      </c>
      <c r="F167" s="262"/>
      <c r="G167" s="262">
        <f>ROUND(G95,2)</f>
        <v>486.01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33</v>
      </c>
      <c r="B170" s="40" t="str">
        <f>H30</f>
        <v>5000</v>
      </c>
      <c r="C170" s="367"/>
      <c r="D170" s="262"/>
      <c r="E170" s="274">
        <v>7200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17440</v>
      </c>
      <c r="B173" s="133">
        <f>H137</f>
        <v>3488</v>
      </c>
      <c r="C173" s="272"/>
      <c r="D173" s="262"/>
      <c r="E173" s="274">
        <f>H139+H140</f>
        <v>340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21268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21268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3434.77151512419</v>
      </c>
      <c r="B182" s="133" t="str">
        <f>B114</f>
        <v>239.99</v>
      </c>
      <c r="C182" s="133"/>
      <c r="D182" s="262"/>
      <c r="E182" s="133">
        <f>E179+A182+B182+A185</f>
        <v>24952.7615151242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A179+B182</f>
        <v>239.99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J18*0.000002*100*1.2</f>
        <v>5.02272</v>
      </c>
      <c r="B188" s="133">
        <f>(G158*B67)/1.2</f>
        <v>166.15625</v>
      </c>
      <c r="C188" s="250"/>
      <c r="D188" s="250"/>
      <c r="E188" s="133">
        <f>IF(E105="YES",(H36*A108)*0.1,0)</f>
        <v>9.45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(B182/1.2)-100</f>
        <v>99.9916666666667</v>
      </c>
      <c r="B191" s="133">
        <f>B188+E188+A191</f>
        <v>275.597916666667</v>
      </c>
      <c r="C191" s="250"/>
      <c r="D191" s="250"/>
      <c r="E191" s="133">
        <f>H148</f>
        <v>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562.317859847631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1484.32</v>
      </c>
      <c r="B201" s="272">
        <f>E179+A201+B182+A185</f>
        <v>23002.31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546.961609847631</v>
      </c>
      <c r="B212" s="126">
        <f>B167</f>
        <v>15.35625</v>
      </c>
      <c r="C212" s="365"/>
      <c r="D212" s="365"/>
      <c r="E212" s="126">
        <f>E167</f>
        <v>562.317859847631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17440</v>
      </c>
      <c r="B215" s="133">
        <f>B173</f>
        <v>3488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21268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21268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3434.77151512419</v>
      </c>
      <c r="B224" s="133" t="str">
        <f>B182</f>
        <v>239.99</v>
      </c>
      <c r="C224" s="133"/>
      <c r="D224" s="291"/>
      <c r="E224" s="133">
        <f>E182</f>
        <v>24952.7615151242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239.99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546.961609847631</v>
      </c>
      <c r="B230" s="133">
        <f>B167</f>
        <v>15.35625</v>
      </c>
      <c r="C230" s="272"/>
      <c r="D230" s="272"/>
      <c r="E230" s="133">
        <f>E167</f>
        <v>562.317859847631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A188</f>
        <v>5.02272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0</v>
      </c>
      <c r="B240" s="133">
        <f>B188</f>
        <v>166.15625</v>
      </c>
      <c r="C240" s="250"/>
      <c r="D240" s="250"/>
      <c r="E240" s="133">
        <f>E188</f>
        <v>9.45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275.597916666667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93">
        <f>(E182-B182)-(B201-B182-A185)</f>
        <v>1960.45151512419</v>
      </c>
      <c r="C254" s="376"/>
      <c r="D254" s="377" t="s">
        <v>218</v>
      </c>
      <c r="E254" s="377"/>
      <c r="F254" s="378">
        <f>F261+F267+F269+B270+B271</f>
        <v>199.3875</v>
      </c>
      <c r="G254" s="262"/>
      <c r="H254" s="180"/>
    </row>
    <row r="255" spans="1:8">
      <c r="A255" s="370" t="s">
        <v>219</v>
      </c>
      <c r="B255" s="378">
        <f>F262+B263</f>
        <v>194.491666666667</v>
      </c>
      <c r="C255" s="376"/>
      <c r="D255" s="377" t="s">
        <v>220</v>
      </c>
      <c r="E255" s="377"/>
      <c r="F255" s="378">
        <f>(B254-F254)+B255</f>
        <v>1955.55568179086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B254</f>
        <v>1960.45151512419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199.3875</v>
      </c>
      <c r="G261" s="262"/>
      <c r="H261" s="180"/>
    </row>
    <row r="262" ht="19.5" spans="1:8">
      <c r="A262" s="245" t="s">
        <v>224</v>
      </c>
      <c r="B262" s="383">
        <f>A108</f>
        <v>0.3</v>
      </c>
      <c r="C262" s="368"/>
      <c r="D262" s="105" t="s">
        <v>224</v>
      </c>
      <c r="E262" s="105"/>
      <c r="F262" s="389">
        <f>E240*10</f>
        <v>94.5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1955.55568179086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8:A20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71" workbookViewId="0">
      <selection activeCell="B68" sqref="B68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0.00</v>
      </c>
      <c r="E32" s="37"/>
      <c r="F32" s="2"/>
      <c r="G32" s="38" t="s">
        <v>243</v>
      </c>
      <c r="H32" s="36" t="str">
        <f>A41</f>
        <v>0.00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249</v>
      </c>
      <c r="B41" s="55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 t="str">
        <f>H32</f>
        <v>0.00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8803.62666666667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8878.20357671104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739.850298059253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739.850298059253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 t="s">
        <v>130</v>
      </c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341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>
        <v>199.99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 t="s">
        <v>18</v>
      </c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19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>
        <v>0</v>
      </c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739.850298059253</v>
      </c>
      <c r="B134" s="113">
        <f>IF(A111="YES",B95,0)</f>
        <v>0</v>
      </c>
      <c r="C134" s="119"/>
      <c r="D134" s="113">
        <f>B97</f>
        <v>739.850298059253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739.850298059253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739.850298059253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739.850298059253</v>
      </c>
      <c r="B143" s="127">
        <f>IF(A111="YES",B95,0)</f>
        <v>0</v>
      </c>
      <c r="C143" s="109"/>
      <c r="D143" s="127">
        <f>B97</f>
        <v>739.850298059253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1307.188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1267.19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709.27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739.850298059253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739.850298059253</v>
      </c>
      <c r="B177" s="156">
        <f>IF(A111="YES",B95,0)</f>
        <v>0</v>
      </c>
      <c r="C177" s="159"/>
      <c r="D177" s="156">
        <f>B91</f>
        <v>8803.62666666667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739.850298059253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739.850298059253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739.850298059253</v>
      </c>
      <c r="B186" s="133">
        <f>IF(A111="YES",B95,0)</f>
        <v>0</v>
      </c>
      <c r="C186" s="154"/>
      <c r="D186" s="133">
        <f>B97</f>
        <v>739.850298059253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709.27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09" workbookViewId="0">
      <selection activeCell="E125" sqref="E125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0</v>
      </c>
      <c r="B41" s="55" t="str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10564.352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10638.9289100444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886.577409170364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886.577409170364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 t="s">
        <v>130</v>
      </c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>
        <v>239.99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 t="s">
        <v>18</v>
      </c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19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>
        <v>0</v>
      </c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886.577409170364</v>
      </c>
      <c r="B134" s="113">
        <f>IF(A111="YES",B95,0)</f>
        <v>0</v>
      </c>
      <c r="C134" s="119"/>
      <c r="D134" s="113">
        <f>B97</f>
        <v>886.577409170364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886.577409170364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886.577409170364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886.577409170364</v>
      </c>
      <c r="B143" s="127">
        <f>IF(A111="YES",B95,0)</f>
        <v>0</v>
      </c>
      <c r="C143" s="109"/>
      <c r="D143" s="127">
        <f>B97</f>
        <v>886.577409170364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1307.188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1267.19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709.271666666667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886.577409170364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886.577409170364</v>
      </c>
      <c r="B177" s="156">
        <f>IF(A111="YES",B95,0)</f>
        <v>0</v>
      </c>
      <c r="C177" s="159"/>
      <c r="D177" s="156">
        <f>B91</f>
        <v>10564.352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886.577409170364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886.577409170364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886.577409170364</v>
      </c>
      <c r="B186" s="133">
        <f>IF(A111="YES",B95,0)</f>
        <v>0</v>
      </c>
      <c r="C186" s="154"/>
      <c r="D186" s="133">
        <f>B97</f>
        <v>886.577409170364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709.271666666667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61" workbookViewId="0">
      <selection activeCell="B75" sqref="B75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>
        <v>23125</v>
      </c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>
        <v>0</v>
      </c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>
        <v>0</v>
      </c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0.00</v>
      </c>
      <c r="E32" s="37"/>
      <c r="F32" s="2"/>
      <c r="G32" s="38" t="s">
        <v>243</v>
      </c>
      <c r="H32" s="36" t="str">
        <f>A41</f>
        <v>0.00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249</v>
      </c>
      <c r="B41" s="55">
        <f>IF(B38="YES",D38+A41,D38)</f>
        <v>500</v>
      </c>
      <c r="C41" s="55"/>
      <c r="D41" s="400">
        <v>6000</v>
      </c>
      <c r="E41" s="400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 t="str">
        <f>H32</f>
        <v>0.00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8803.62666666667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8878.20357671104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739.850298059253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739.850298059253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739.850298059253</v>
      </c>
      <c r="B134" s="113">
        <f>IF(A111="YES",B95,0)</f>
        <v>0</v>
      </c>
      <c r="C134" s="119"/>
      <c r="D134" s="113">
        <f>B97</f>
        <v>739.850298059253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739.850298059253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739.850298059253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739.850298059253</v>
      </c>
      <c r="B143" s="127">
        <f>IF(A111="YES",B95,0)</f>
        <v>0</v>
      </c>
      <c r="C143" s="109"/>
      <c r="D143" s="127">
        <f>B97</f>
        <v>739.850298059253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1307.188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1267.19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709.27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739.850298059253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739.850298059253</v>
      </c>
      <c r="B177" s="156">
        <f>IF(A111="YES",B95,0)</f>
        <v>0</v>
      </c>
      <c r="C177" s="159"/>
      <c r="D177" s="156">
        <f>B91</f>
        <v>8803.62666666667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739.850298059253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739.850298059253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739.850298059253</v>
      </c>
      <c r="B186" s="133">
        <f>IF(A111="YES",B95,0)</f>
        <v>0</v>
      </c>
      <c r="C186" s="154"/>
      <c r="D186" s="133">
        <f>B97</f>
        <v>739.850298059253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709.27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9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 t="str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348</v>
      </c>
      <c r="B41" s="55" t="str">
        <f>IF(B38="YES",D38+A41,D38)</f>
        <v>500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348</v>
      </c>
      <c r="E44" s="48"/>
      <c r="F44" s="2"/>
      <c r="G44" s="2" t="s">
        <v>257</v>
      </c>
      <c r="H44" s="50" t="str">
        <f>H32</f>
        <v>0</v>
      </c>
      <c r="I44" s="193">
        <f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501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338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198" t="s">
        <v>279</v>
      </c>
      <c r="B80" s="199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200" t="s">
        <v>280</v>
      </c>
      <c r="B81" s="201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8803.62666666667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8878.20357671104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739.850298059253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739.850298059253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350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4">
        <v>0</v>
      </c>
      <c r="C111" s="104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739.850298059253</v>
      </c>
      <c r="B134" s="113">
        <f>IF(A111="YES",B95,0)</f>
        <v>0</v>
      </c>
      <c r="C134" s="119"/>
      <c r="D134" s="113">
        <f>B97</f>
        <v>739.850298059253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739.850298059253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739.850298059253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739.850298059253</v>
      </c>
      <c r="B143" s="127">
        <f>IF(A111="YES",B95,0)</f>
        <v>0</v>
      </c>
      <c r="C143" s="109"/>
      <c r="D143" s="127">
        <f>B97</f>
        <v>739.850298059253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0</v>
      </c>
      <c r="H148" s="133">
        <f>G108-100</f>
        <v>139.988</v>
      </c>
      <c r="I148" s="133"/>
      <c r="J148" s="133">
        <f>(H145+J145+G148+H148)-H151</f>
        <v>1307.188</v>
      </c>
      <c r="K148" s="141"/>
      <c r="L148" s="2"/>
      <c r="M148" s="134">
        <f>IF(M111="YES",((A41*N111)*0.1)*(M133),0)</f>
        <v>0</v>
      </c>
      <c r="N148" s="133">
        <f>M108-100</f>
        <v>99.99</v>
      </c>
      <c r="O148" s="133"/>
      <c r="P148" s="133">
        <f>(N145+P145+M148+N148)-N151</f>
        <v>1267.19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33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709.27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739.850298059253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739.850298059253</v>
      </c>
      <c r="B177" s="156">
        <f>IF(A111="YES",B95,0)</f>
        <v>0</v>
      </c>
      <c r="C177" s="159"/>
      <c r="D177" s="156">
        <f>B91</f>
        <v>8803.62666666667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739.850298059253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739.850298059253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739.850298059253</v>
      </c>
      <c r="B186" s="133">
        <f>IF(A111="YES",B95,0)</f>
        <v>0</v>
      </c>
      <c r="C186" s="154"/>
      <c r="D186" s="133">
        <f>B97</f>
        <v>739.850298059253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709.27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12" workbookViewId="0">
      <selection activeCell="B221" sqref="B221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 t="str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70</v>
      </c>
      <c r="B41" s="55">
        <f>IF(B38="YES",D38+A41,D38)</f>
        <v>550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349</v>
      </c>
      <c r="E44" s="48"/>
      <c r="F44" s="2"/>
      <c r="G44" s="2" t="s">
        <v>257</v>
      </c>
      <c r="H44" s="50" t="str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 t="s">
        <v>4</v>
      </c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((B89*H29)+B87)*1.2</f>
        <v>10564.352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10638.9289100444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IF(B105=Z104,(((H44*B35)+(H44*B35)*(B111/100))/(B64)),(((H44*B35)+(H44*B35)*(B111/100))/(B63+B64)))*1.2</f>
        <v>72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886.577409170364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886.577409170364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284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239.99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239.99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-2760.01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886.577409170364</v>
      </c>
      <c r="B134" s="113">
        <f>IF(A111="YES",B95,0)</f>
        <v>0</v>
      </c>
      <c r="C134" s="119"/>
      <c r="D134" s="113">
        <f>B97</f>
        <v>886.577409170364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886.577409170364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886.577409170364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886.577409170364</v>
      </c>
      <c r="B143" s="127">
        <f>IF(A111="YES",B95,0)</f>
        <v>0</v>
      </c>
      <c r="C143" s="109"/>
      <c r="D143" s="127">
        <f>B97</f>
        <v>886.577409170364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1319.188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1279.19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239.99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(E124/1.2)-100</f>
        <v>99.9916666666667</v>
      </c>
      <c r="B157" s="127">
        <f>(A154+B154+D154+A157)*(A149/B70)</f>
        <v>0</v>
      </c>
      <c r="C157" s="127"/>
      <c r="D157" s="127">
        <f>(A154+B154+D154+A157)-B157</f>
        <v>709.271666666667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886.577409170364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886.577409170364</v>
      </c>
      <c r="B177" s="156">
        <f>IF(A111="YES",B95,0)</f>
        <v>0</v>
      </c>
      <c r="C177" s="159"/>
      <c r="D177" s="156">
        <f>B97</f>
        <v>886.577409170364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886.577409170364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886.577409170364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886.577409170364</v>
      </c>
      <c r="B186" s="133">
        <f>IF(A111="YES",B95,0)</f>
        <v>0</v>
      </c>
      <c r="C186" s="154"/>
      <c r="D186" s="133">
        <f>B97</f>
        <v>886.577409170364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239.99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B108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(E124/1.2)-100</f>
        <v>99.9916666666667</v>
      </c>
      <c r="B200" s="133">
        <f>(A154+B154+D154+A157)*(A149/B70)</f>
        <v>0</v>
      </c>
      <c r="C200" s="133"/>
      <c r="D200" s="133">
        <f>(A154+B154+D154+A157)-B157</f>
        <v>709.271666666667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100" workbookViewId="0">
      <selection activeCell="E126" sqref="E126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56.7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 t="str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 t="str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 t="str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 t="s">
        <v>57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s">
        <v>70</v>
      </c>
      <c r="B41" s="55">
        <f>IF(B38="YES",D38+A41,D38)</f>
        <v>550</v>
      </c>
      <c r="C41" s="55"/>
      <c r="D41" s="48" t="s">
        <v>334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s">
        <v>42</v>
      </c>
      <c r="B44" s="48" t="s">
        <v>336</v>
      </c>
      <c r="C44" s="48"/>
      <c r="D44" s="48" t="s">
        <v>349</v>
      </c>
      <c r="E44" s="48"/>
      <c r="F44" s="2"/>
      <c r="G44" s="2" t="s">
        <v>257</v>
      </c>
      <c r="H44" s="50" t="str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 t="s">
        <v>349</v>
      </c>
      <c r="C47" s="192"/>
      <c r="D47" s="48" t="s">
        <v>349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/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2:26"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337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337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20928</v>
      </c>
      <c r="C67" s="13"/>
      <c r="D67" s="13"/>
      <c r="E67" s="14"/>
      <c r="F67" s="2"/>
      <c r="G67" s="6" t="s">
        <v>14</v>
      </c>
      <c r="H67" s="12">
        <f>G18</f>
        <v>20928</v>
      </c>
      <c r="I67" s="13"/>
      <c r="J67" s="13"/>
      <c r="K67" s="14"/>
      <c r="L67" s="2"/>
      <c r="M67" s="6" t="s">
        <v>14</v>
      </c>
      <c r="N67" s="12">
        <f>G18</f>
        <v>20928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1464.96</v>
      </c>
      <c r="C70" s="13">
        <v>10000</v>
      </c>
      <c r="D70" s="12">
        <f>B70-A149</f>
        <v>1464.96</v>
      </c>
      <c r="E70" s="14">
        <f>D70/12</f>
        <v>122.08</v>
      </c>
      <c r="F70" s="2"/>
      <c r="G70" s="72" t="s">
        <v>91</v>
      </c>
      <c r="H70" s="80">
        <f>H67*H69</f>
        <v>1464.96</v>
      </c>
      <c r="I70" s="13"/>
      <c r="J70" s="12">
        <f>H70-G151</f>
        <v>1464.96</v>
      </c>
      <c r="K70" s="14"/>
      <c r="L70" s="2"/>
      <c r="M70" s="72" t="s">
        <v>91</v>
      </c>
      <c r="N70" s="80">
        <f>N67*N69</f>
        <v>1464.96</v>
      </c>
      <c r="O70" s="13"/>
      <c r="P70" s="12">
        <f>N70-M151</f>
        <v>1464.96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209.28</v>
      </c>
      <c r="C73" s="13"/>
      <c r="D73" s="12"/>
      <c r="E73" s="14"/>
      <c r="F73" s="2"/>
      <c r="G73" s="72" t="s">
        <v>94</v>
      </c>
      <c r="H73" s="80">
        <f>H67*H72</f>
        <v>104.64</v>
      </c>
      <c r="I73" s="13"/>
      <c r="J73" s="12"/>
      <c r="K73" s="14"/>
      <c r="L73" s="2"/>
      <c r="M73" s="72" t="s">
        <v>94</v>
      </c>
      <c r="N73" s="80">
        <f>N67*N72</f>
        <v>104.64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0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12.5</v>
      </c>
      <c r="I82" s="13"/>
      <c r="J82" s="12">
        <f>IF(A50="YES",0,H82)</f>
        <v>12.5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f>B108/(1-0.1)</f>
        <v>444.444444444444</v>
      </c>
      <c r="C83" s="13"/>
      <c r="D83" s="12">
        <f>B83</f>
        <v>444.444444444444</v>
      </c>
      <c r="E83" s="14">
        <f>D83/12</f>
        <v>37.037037037037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f>D108/(1-0.1)</f>
        <v>222.222222222222</v>
      </c>
      <c r="C84" s="13"/>
      <c r="D84" s="12">
        <f>B84</f>
        <v>222.222222222222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2791.62666666667</v>
      </c>
      <c r="C87" s="13"/>
      <c r="D87" s="13"/>
      <c r="E87" s="14"/>
      <c r="F87" s="2"/>
      <c r="G87" s="91" t="s">
        <v>103</v>
      </c>
      <c r="H87" s="92">
        <f>SUM(J70:J86)</f>
        <v>4591.46</v>
      </c>
      <c r="I87" s="13"/>
      <c r="J87" s="13"/>
      <c r="K87" s="14"/>
      <c r="L87" s="2"/>
      <c r="M87" s="91" t="s">
        <v>103</v>
      </c>
      <c r="N87" s="92">
        <f>SUM(P70:P86)</f>
        <v>4578.96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232.635555555556</v>
      </c>
      <c r="C88" s="13"/>
      <c r="D88" s="13"/>
      <c r="E88" s="14"/>
      <c r="F88" s="2"/>
      <c r="G88" s="6" t="s">
        <v>104</v>
      </c>
      <c r="H88" s="11">
        <f>H87/H29</f>
        <v>382.621666666667</v>
      </c>
      <c r="I88" s="13"/>
      <c r="J88" s="13"/>
      <c r="K88" s="14"/>
      <c r="L88" s="2"/>
      <c r="M88" s="6" t="s">
        <v>104</v>
      </c>
      <c r="N88" s="11">
        <f>N87/H29</f>
        <v>381.58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8803.62666666667</v>
      </c>
      <c r="C91" s="13"/>
      <c r="D91" s="13"/>
      <c r="E91" s="14"/>
      <c r="F91" s="2"/>
      <c r="G91" s="75" t="s">
        <v>115</v>
      </c>
      <c r="H91" s="95">
        <f>((H89*H29)+H87)*1.2</f>
        <v>12724.152</v>
      </c>
      <c r="I91" s="13"/>
      <c r="J91" s="13"/>
      <c r="K91" s="14"/>
      <c r="L91" s="2"/>
      <c r="M91" s="75" t="s">
        <v>115</v>
      </c>
      <c r="N91" s="95">
        <f>((N89*H29)+N87)</f>
        <v>10590.96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74.5769100443727</v>
      </c>
      <c r="C92" s="13"/>
      <c r="D92" s="13"/>
      <c r="E92" s="195"/>
      <c r="F92" s="2"/>
      <c r="G92" s="6" t="s">
        <v>116</v>
      </c>
      <c r="H92" s="11">
        <f>(((H89*H29)+H87)/(1-H76))*H76</f>
        <v>89.8235820895522</v>
      </c>
      <c r="I92" s="13"/>
      <c r="J92" s="13"/>
      <c r="K92" s="14"/>
      <c r="L92" s="2"/>
      <c r="M92" s="6" t="s">
        <v>116</v>
      </c>
      <c r="N92" s="11">
        <f>(N91/(1-N76))*N76</f>
        <v>89.7176926179911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8878.20357671104</v>
      </c>
      <c r="C93" s="13"/>
      <c r="D93" s="13"/>
      <c r="E93" s="14"/>
      <c r="F93" s="2"/>
      <c r="G93" s="72" t="s">
        <v>117</v>
      </c>
      <c r="H93" s="80">
        <f>IF(H116="YES",((H91+H92)-K120),(H91+H92))</f>
        <v>14813.9755820895</v>
      </c>
      <c r="I93" s="13"/>
      <c r="J93" s="13"/>
      <c r="K93" s="14"/>
      <c r="L93" s="2"/>
      <c r="M93" s="72" t="s">
        <v>117</v>
      </c>
      <c r="N93" s="80">
        <f>IF(N116="YES",((N91+N92)-K120),(N91+N92))</f>
        <v>12680.677692618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IF(B105=Z104,(((H44*B35)+(H44*B35)*(B111/100))/(B64)),(((H44*B35)+(H44*B35)*(B111/100))/(B63+B64)))</f>
        <v>60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IF(B105=Z104,(B93-D111)/(B64),B93/(B63+B64))</f>
        <v>739.850298059253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739.850298059253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/>
      <c r="B105" s="101" t="s">
        <v>130</v>
      </c>
      <c r="C105" s="101"/>
      <c r="D105" s="197">
        <v>1000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400</v>
      </c>
      <c r="C108" s="102"/>
      <c r="D108" s="102">
        <v>200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19</v>
      </c>
      <c r="B111" s="101">
        <v>20</v>
      </c>
      <c r="C111" s="101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 t="s">
        <v>4</v>
      </c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6000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2000</v>
      </c>
      <c r="E119" s="102">
        <v>2000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-2000</v>
      </c>
      <c r="E120" s="106">
        <f>E118-E119</f>
        <v>4000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-6000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1000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((E124*1.2)+E123)-E120</f>
        <v>-2760.012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11" t="s">
        <v>127</v>
      </c>
      <c r="B130" s="112">
        <v>0</v>
      </c>
      <c r="C130" s="113"/>
      <c r="D130" s="112" t="s">
        <v>84</v>
      </c>
      <c r="E130" s="1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116" t="s">
        <v>286</v>
      </c>
      <c r="B131" s="117">
        <f>A167</f>
        <v>12</v>
      </c>
      <c r="C131" s="118"/>
      <c r="D131" s="117">
        <f>B166</f>
        <v>5000</v>
      </c>
      <c r="E131" s="1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11"/>
      <c r="B132" s="112"/>
      <c r="C132" s="112"/>
      <c r="D132" s="112"/>
      <c r="E132" s="1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11" t="s">
        <v>119</v>
      </c>
      <c r="B133" s="112" t="s">
        <v>294</v>
      </c>
      <c r="C133" s="113"/>
      <c r="D133" s="112" t="s">
        <v>295</v>
      </c>
      <c r="E133" s="114"/>
      <c r="F133" s="2"/>
      <c r="G133" s="39">
        <f>G158</f>
        <v>12</v>
      </c>
      <c r="H133" s="40">
        <f>B157</f>
        <v>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16">
        <f>B96</f>
        <v>739.850298059253</v>
      </c>
      <c r="B134" s="113">
        <f>IF(A111="YES",B95,0)</f>
        <v>0</v>
      </c>
      <c r="C134" s="119"/>
      <c r="D134" s="113">
        <f>B97</f>
        <v>739.850298059253</v>
      </c>
      <c r="E134" s="1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08"/>
      <c r="B135" s="109"/>
      <c r="C135" s="109"/>
      <c r="D135" s="109"/>
      <c r="E135" s="110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2" t="s">
        <v>23</v>
      </c>
      <c r="B136" s="123" t="s">
        <v>299</v>
      </c>
      <c r="C136" s="124"/>
      <c r="D136" s="123" t="s">
        <v>300</v>
      </c>
      <c r="E136" s="110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20" t="str">
        <f>B105</f>
        <v> Monthly in advance </v>
      </c>
      <c r="B137" s="127">
        <f>B96*B63</f>
        <v>739.850298059253</v>
      </c>
      <c r="C137" s="109"/>
      <c r="D137" s="127">
        <f>IF(A111="YES",B95*B63,0)</f>
        <v>0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28" t="s">
        <v>304</v>
      </c>
      <c r="B139" s="129" t="s">
        <v>305</v>
      </c>
      <c r="C139" s="130"/>
      <c r="D139" s="131" t="s">
        <v>208</v>
      </c>
      <c r="E139" s="110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34">
        <f>B97*B63</f>
        <v>739.850298059253</v>
      </c>
      <c r="B140" s="127">
        <f>E120</f>
        <v>4000</v>
      </c>
      <c r="C140" s="109"/>
      <c r="D140" s="135">
        <f>B64</f>
        <v>11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34"/>
      <c r="B141" s="136"/>
      <c r="C141" s="109"/>
      <c r="D141" s="109"/>
      <c r="E141" s="110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7" t="s">
        <v>119</v>
      </c>
      <c r="B142" s="138" t="s">
        <v>294</v>
      </c>
      <c r="C142" s="109"/>
      <c r="D142" s="109" t="s">
        <v>295</v>
      </c>
      <c r="E142" s="110"/>
      <c r="F142" s="2"/>
      <c r="G142" s="134">
        <f>E15*0.000006</f>
        <v>0.127608</v>
      </c>
      <c r="H142" s="133">
        <f>IF(G111="YES",E15*0.000002,0)</f>
        <v>0.042536</v>
      </c>
      <c r="I142" s="133"/>
      <c r="J142" s="133">
        <f>G142+H142</f>
        <v>0.170144</v>
      </c>
      <c r="K142" s="141"/>
      <c r="L142" s="2"/>
      <c r="M142" s="134">
        <f>E15*0.000006</f>
        <v>0.127608</v>
      </c>
      <c r="N142" s="133">
        <f>IF(M111="YES",E15*0.000002,0)</f>
        <v>0.042536</v>
      </c>
      <c r="O142" s="133"/>
      <c r="P142" s="133">
        <f>M142+N142</f>
        <v>0.170144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f>B96</f>
        <v>739.850298059253</v>
      </c>
      <c r="B143" s="127">
        <f>IF(A111="YES",B95,0)</f>
        <v>0</v>
      </c>
      <c r="C143" s="109"/>
      <c r="D143" s="127">
        <f>B97</f>
        <v>739.850298059253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08"/>
      <c r="B144" s="109"/>
      <c r="C144" s="109"/>
      <c r="D144" s="109"/>
      <c r="E144" s="110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9" t="s">
        <v>67</v>
      </c>
      <c r="B145" s="140" t="s">
        <v>312</v>
      </c>
      <c r="C145" s="127"/>
      <c r="D145" s="140" t="s">
        <v>73</v>
      </c>
      <c r="E145" s="141"/>
      <c r="F145" s="2"/>
      <c r="G145" s="134">
        <f>G108</f>
        <v>239.988</v>
      </c>
      <c r="H145" s="133">
        <f>H73/1.2</f>
        <v>87.2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87.2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>
        <f>(G18*0.000006)*1.2*100</f>
        <v>15.06816</v>
      </c>
      <c r="B146" s="143">
        <f>G18*0.000002*1.2*100</f>
        <v>5.02272</v>
      </c>
      <c r="C146" s="109"/>
      <c r="D146" s="143">
        <f>A146+B146</f>
        <v>20.09088</v>
      </c>
      <c r="E146" s="110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42"/>
      <c r="B147" s="143"/>
      <c r="C147" s="109"/>
      <c r="D147" s="143"/>
      <c r="E147" s="110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9" t="s">
        <v>316</v>
      </c>
      <c r="B148" s="140" t="s">
        <v>53</v>
      </c>
      <c r="C148" s="127"/>
      <c r="D148" s="140" t="s">
        <v>282</v>
      </c>
      <c r="E148" s="110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1319.188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1279.19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34">
        <v>0</v>
      </c>
      <c r="B149" s="127">
        <f>E124</f>
        <v>199.99</v>
      </c>
      <c r="C149" s="109"/>
      <c r="D149" s="144">
        <f>B108</f>
        <v>400</v>
      </c>
      <c r="E149" s="110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34"/>
      <c r="B150" s="127"/>
      <c r="C150" s="109"/>
      <c r="D150" s="127"/>
      <c r="E150" s="110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45" t="s">
        <v>319</v>
      </c>
      <c r="B151" s="146"/>
      <c r="C151" s="147"/>
      <c r="D151" s="146"/>
      <c r="E151" s="148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42"/>
      <c r="B152" s="143"/>
      <c r="C152" s="109"/>
      <c r="D152" s="143"/>
      <c r="E152" s="110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320</v>
      </c>
      <c r="B153" s="109" t="s">
        <v>321</v>
      </c>
      <c r="C153" s="109"/>
      <c r="D153" s="109" t="s">
        <v>322</v>
      </c>
      <c r="E153" s="110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B73</f>
        <v>209.28</v>
      </c>
      <c r="B154" s="127">
        <f>B108</f>
        <v>400</v>
      </c>
      <c r="C154" s="127"/>
      <c r="D154" s="127">
        <f>IF(A111="YES",(A41/100*B111)*B131,0)*0.1</f>
        <v>0</v>
      </c>
      <c r="E154" s="141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 t="s">
        <v>324</v>
      </c>
      <c r="B156" s="109" t="s">
        <v>318</v>
      </c>
      <c r="C156" s="109"/>
      <c r="D156" s="109" t="s">
        <v>315</v>
      </c>
      <c r="E156" s="110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34">
        <f>E124-100</f>
        <v>99.99</v>
      </c>
      <c r="B157" s="127">
        <f>(A154+B154+D154+A157)*(A149/B70)</f>
        <v>0</v>
      </c>
      <c r="C157" s="127"/>
      <c r="D157" s="127">
        <f>(A154+B154+D154+A157)-B157</f>
        <v>709.27</v>
      </c>
      <c r="E157" s="141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09"/>
      <c r="C158" s="109"/>
      <c r="D158" s="109"/>
      <c r="E158" s="110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108" t="s">
        <v>325</v>
      </c>
      <c r="B159" s="109"/>
      <c r="C159" s="109"/>
      <c r="D159" s="109"/>
      <c r="E159" s="110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134">
        <f>D108</f>
        <v>200</v>
      </c>
      <c r="B160" s="127"/>
      <c r="C160" s="109"/>
      <c r="D160" s="109"/>
      <c r="E160" s="110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108"/>
      <c r="B161" s="109"/>
      <c r="C161" s="109"/>
      <c r="D161" s="109"/>
      <c r="E161" s="110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49" t="s">
        <v>323</v>
      </c>
      <c r="B163" s="109"/>
      <c r="C163" s="109"/>
      <c r="D163" s="150"/>
      <c r="E163" s="151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52"/>
      <c r="C164" s="152"/>
      <c r="D164" s="109"/>
      <c r="E164" s="110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67" t="s">
        <v>83</v>
      </c>
      <c r="B165" s="68" t="s">
        <v>84</v>
      </c>
      <c r="C165" s="68"/>
      <c r="D165" s="109"/>
      <c r="E165" s="110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67"/>
      <c r="B166" s="69">
        <f>B57</f>
        <v>5000</v>
      </c>
      <c r="C166" s="69"/>
      <c r="D166" s="109"/>
      <c r="E166" s="110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70">
        <f>A58</f>
        <v>12</v>
      </c>
      <c r="B167" s="71">
        <f>B97</f>
        <v>739.850298059253</v>
      </c>
      <c r="C167" s="71"/>
      <c r="D167" s="109"/>
      <c r="E167" s="110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08"/>
      <c r="B168" s="109"/>
      <c r="C168" s="109"/>
      <c r="D168" s="109"/>
      <c r="E168" s="110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08"/>
      <c r="B169" s="109"/>
      <c r="C169" s="109"/>
      <c r="D169" s="109"/>
      <c r="E169" s="110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08"/>
      <c r="B170" s="109"/>
      <c r="C170" s="109"/>
      <c r="D170" s="109"/>
      <c r="E170" s="110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57">
        <f>A167</f>
        <v>12</v>
      </c>
      <c r="C174" s="158"/>
      <c r="D174" s="156">
        <f>B166</f>
        <v>5000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B96</f>
        <v>739.850298059253</v>
      </c>
      <c r="B177" s="156">
        <f>IF(A111="YES",B95,0)</f>
        <v>0</v>
      </c>
      <c r="C177" s="159"/>
      <c r="D177" s="156">
        <f>B91</f>
        <v>8803.62666666667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B105</f>
        <v> Monthly in advance </v>
      </c>
      <c r="B180" s="133">
        <f>B96*B63</f>
        <v>739.850298059253</v>
      </c>
      <c r="C180" s="154"/>
      <c r="D180" s="133">
        <f>IF(A111="YES",B95*B63,0)</f>
        <v>0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B97*B63</f>
        <v>739.850298059253</v>
      </c>
      <c r="B183" s="133">
        <f>E120</f>
        <v>4000</v>
      </c>
      <c r="C183" s="154"/>
      <c r="D183" s="162">
        <f>B64</f>
        <v>11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B96</f>
        <v>739.850298059253</v>
      </c>
      <c r="B186" s="133">
        <f>IF(A111="YES",B95,0)</f>
        <v>0</v>
      </c>
      <c r="C186" s="154"/>
      <c r="D186" s="133">
        <f>B97</f>
        <v>739.850298059253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G18*0.000002*1.2*100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E124</f>
        <v>199.99</v>
      </c>
      <c r="C192" s="154"/>
      <c r="D192" s="144">
        <f>B108</f>
        <v>400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B73</f>
        <v>209.28</v>
      </c>
      <c r="B197" s="133">
        <f>B154</f>
        <v>400</v>
      </c>
      <c r="C197" s="133"/>
      <c r="D197" s="133">
        <f>IF(A111="YES",(A41/100*B111)*B131,0)*0.1</f>
        <v>0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E124-100</f>
        <v>99.99</v>
      </c>
      <c r="B200" s="133">
        <f>(A154+B154+D154+A157)*(A149/B70)</f>
        <v>0</v>
      </c>
      <c r="C200" s="133"/>
      <c r="D200" s="133">
        <f>(A154+B154+D154+A157)-B157</f>
        <v>709.27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D108</f>
        <v>200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</v>
      </c>
      <c r="C209" s="113" t="s">
        <v>217</v>
      </c>
      <c r="D209" s="173">
        <f>D70</f>
        <v>1464.96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209.28</v>
      </c>
      <c r="C211" s="112" t="s">
        <v>219</v>
      </c>
      <c r="D211" s="173">
        <f>B225+E221+B221+B223</f>
        <v>339.99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1595.67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D70</f>
        <v>1464.96</v>
      </c>
      <c r="C217" s="177" t="s">
        <v>223</v>
      </c>
      <c r="D217" s="109"/>
      <c r="E217" s="178">
        <f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B73</f>
        <v>209.28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40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B84-(B84*(E219*100))</f>
        <v>200</v>
      </c>
      <c r="C223" s="130" t="s">
        <v>220</v>
      </c>
      <c r="D223" s="109"/>
      <c r="E223" s="180">
        <f>(B217-B211+D211)</f>
        <v>1595.67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0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B77</f>
        <v>200</v>
      </c>
      <c r="C229" s="130" t="s">
        <v>228</v>
      </c>
      <c r="D229" s="143"/>
      <c r="E229" s="184">
        <f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B74</f>
        <v>0.0075</v>
      </c>
      <c r="C231" s="130" t="s">
        <v>231</v>
      </c>
      <c r="D231" s="143"/>
      <c r="E231" s="178">
        <f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B92</f>
        <v>74.5769100443727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B85</f>
        <v>200</v>
      </c>
      <c r="C233" s="186" t="s">
        <v>330</v>
      </c>
      <c r="D233" s="187"/>
      <c r="E233" s="184">
        <f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B86</f>
        <v>200</v>
      </c>
      <c r="C235" s="190" t="s">
        <v>331</v>
      </c>
      <c r="D235" s="190"/>
      <c r="E235" s="184">
        <f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H156:I156"/>
    <mergeCell ref="H157:I157"/>
    <mergeCell ref="H158:I158"/>
    <mergeCell ref="N159:O159"/>
    <mergeCell ref="N160:O160"/>
    <mergeCell ref="N161:O161"/>
    <mergeCell ref="B165:C165"/>
    <mergeCell ref="B166:C166"/>
    <mergeCell ref="B167:C167"/>
    <mergeCell ref="A171:E171"/>
    <mergeCell ref="A207:E207"/>
    <mergeCell ref="A56:A57"/>
    <mergeCell ref="A165:A166"/>
    <mergeCell ref="G156:G157"/>
    <mergeCell ref="M159:M160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 A111 G111 M111 O113 B116 H116 N116">
      <formula1>$Z$19:$Z$20</formula1>
    </dataValidation>
    <dataValidation type="list" allowBlank="1" showErrorMessage="1" sqref="B105">
      <formula1>'FL (Formula 3) - BCH, PCH, FL'!$Z$103:$Z$111</formula1>
    </dataValidation>
    <dataValidation type="list" allowBlank="1" showErrorMessage="1" sqref="H105 N105">
      <formula1>$Y$103:$Y$112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60" workbookViewId="0">
      <selection activeCell="B233" sqref="B233"/>
    </sheetView>
  </sheetViews>
  <sheetFormatPr defaultColWidth="8.31666666666667" defaultRowHeight="18.75"/>
  <cols>
    <col min="1" max="1" customWidth="true" style="239" width="41.6666666666667"/>
    <col min="2" max="6" customWidth="true" style="239" width="18.8833333333333"/>
    <col min="7" max="7" customWidth="true" style="239" width="23.1333333333333"/>
    <col min="8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 t="n">
        <v>46854.17</v>
      </c>
      <c r="C3" s="246">
        <v>0</v>
      </c>
      <c r="D3" s="246" t="n">
        <v>0.0</v>
      </c>
      <c r="E3" s="246"/>
      <c r="F3" s="246" t="n">
        <v>833.33</v>
      </c>
      <c r="G3" s="246"/>
      <c r="H3" s="247">
        <v>0</v>
      </c>
      <c r="I3" s="240"/>
      <c r="J3" s="240"/>
    </row>
    <row r="4" spans="1:10">
      <c r="A4" s="245" t="s">
        <v>152</v>
      </c>
      <c r="B4" s="248" t="n">
        <v>0.0</v>
      </c>
      <c r="C4" s="248">
        <v>0</v>
      </c>
      <c r="D4" s="248" t="n">
        <v>0.0</v>
      </c>
      <c r="E4" s="248"/>
      <c r="F4" s="248" t="n">
        <v>0.0</v>
      </c>
      <c r="G4" s="248"/>
      <c r="H4" s="249"/>
      <c r="I4" s="240"/>
      <c r="J4" s="240"/>
    </row>
    <row r="5" spans="1:10">
      <c r="A5" s="245" t="s">
        <v>153</v>
      </c>
      <c r="B5" s="246" t="n">
        <v>0.0</v>
      </c>
      <c r="C5" s="246">
        <v>0</v>
      </c>
      <c r="D5" s="246" t="n">
        <v>0.0</v>
      </c>
      <c r="E5" s="246"/>
      <c r="F5" s="246" t="n">
        <v>0.0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 t="n">
        <v>550.0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 t="n">
        <v>585.0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 t="n">
        <v>65.0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 t="n">
        <v>0.0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 t="n">
        <v>0.0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" t="s">
        <v>236</v>
      </c>
      <c r="B24" s="26"/>
      <c r="C24" s="26"/>
      <c r="D24" s="26"/>
      <c r="E24" s="26"/>
      <c r="F24" s="2"/>
      <c r="G24" s="2"/>
      <c r="H24" s="2"/>
      <c r="P24" s="273"/>
    </row>
    <row r="25" spans="1:16">
      <c r="A25" s="6"/>
      <c r="B25" s="13"/>
      <c r="C25" s="13"/>
      <c r="D25" s="13"/>
      <c r="E25" s="14"/>
      <c r="F25" s="2"/>
      <c r="G25" s="2"/>
      <c r="H25" s="2"/>
      <c r="P25" s="273"/>
    </row>
    <row r="26" ht="24" spans="1:16">
      <c r="A26" s="27" t="s">
        <v>237</v>
      </c>
      <c r="B26" s="27"/>
      <c r="C26" s="27"/>
      <c r="D26" s="27"/>
      <c r="E26" s="27"/>
      <c r="F26" s="2"/>
      <c r="G26" s="28"/>
      <c r="H26" s="28"/>
      <c r="P26" s="273"/>
    </row>
    <row r="27" ht="19.5" spans="1:16">
      <c r="A27" s="6"/>
      <c r="B27" s="13"/>
      <c r="C27" s="13"/>
      <c r="D27" s="13"/>
      <c r="E27" s="14"/>
      <c r="F27" s="2"/>
      <c r="G27" s="29" t="s">
        <v>85</v>
      </c>
      <c r="H27" s="29">
        <f>IF(A32=Y104,1,IF(A32=Y105,1,IF(A32=Y106,3,IF(A32=Y107,6,IF(A32=Y108,9,IF(A32=Y109,12,IF(A32=Y110,3,IF(A32=Y111,6,IF(A32=Y112,9,0)))))))))</f>
        <v>0</v>
      </c>
      <c r="P27" s="273"/>
    </row>
    <row r="28" ht="38.25" spans="1:1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IF(A32=Y104,H29-H37,IF(A32=Y105,H29-H37,IF(A32=Y106,H29-1,IF(A32=Y107,H29-1,IF(A32=Y108,H29-1,IF(A32=Y109,H29-1,IF(A32=Y110,H29-H37,IF(A32=Y111,H29-H37,IF(A32=Y112,H29-H37,0)))))))))</f>
        <v>0</v>
      </c>
      <c r="P28" s="273"/>
    </row>
    <row r="29" ht="19.5" spans="1:1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 t="str">
        <f>B35</f>
        <v>33</v>
      </c>
      <c r="P29" s="273"/>
    </row>
    <row r="30" spans="1:16">
      <c r="A30" s="6"/>
      <c r="B30" s="35"/>
      <c r="C30" s="35"/>
      <c r="D30" s="13"/>
      <c r="E30" s="14"/>
      <c r="F30" s="2"/>
      <c r="G30" s="28" t="s">
        <v>32</v>
      </c>
      <c r="H30" s="28" t="str">
        <f>D35</f>
        <v>5000</v>
      </c>
      <c r="P30" s="273"/>
    </row>
    <row r="31" ht="38.25" spans="1:1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 t="str">
        <f>D38</f>
        <v>500</v>
      </c>
      <c r="P31" s="273"/>
    </row>
    <row r="32" ht="19.5" spans="1:16">
      <c r="A32" s="32" t="s">
        <v>130</v>
      </c>
      <c r="B32" s="37" t="str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0</v>
      </c>
      <c r="E32" s="37"/>
      <c r="F32" s="2"/>
      <c r="G32" s="38" t="s">
        <v>243</v>
      </c>
      <c r="H32" s="36">
        <f>A41</f>
        <v>0</v>
      </c>
      <c r="J32" s="404" t="s">
        <v>37</v>
      </c>
      <c r="K32" s="207" t="s">
        <v>386</v>
      </c>
      <c r="P32" s="273"/>
    </row>
    <row r="33" spans="1:1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J33" s="404"/>
      <c r="K33" s="405"/>
      <c r="P33" s="273"/>
    </row>
    <row r="34" ht="19.5" spans="1:1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 t="str">
        <f>A44</f>
        <v>12</v>
      </c>
      <c r="J34" s="404" t="s">
        <v>44</v>
      </c>
      <c r="K34" s="406" t="s">
        <v>45</v>
      </c>
      <c r="P34" s="273"/>
    </row>
    <row r="35" ht="19.5" spans="1:16">
      <c r="A35" s="37">
        <f>B32+D32</f>
        <v>500</v>
      </c>
      <c r="B35" s="33" t="s">
        <v>248</v>
      </c>
      <c r="C35" s="33"/>
      <c r="D35" s="33" t="s">
        <v>43</v>
      </c>
      <c r="E35" s="33"/>
      <c r="F35" s="2"/>
      <c r="G35" s="45"/>
      <c r="H35" s="46"/>
      <c r="J35" s="404"/>
      <c r="K35" s="405" t="n">
        <v>0.065</v>
      </c>
      <c r="P35" s="273"/>
    </row>
    <row r="36" spans="1:16">
      <c r="A36" s="6"/>
      <c r="B36" s="13"/>
      <c r="C36" s="13"/>
      <c r="D36" s="13"/>
      <c r="E36" s="14"/>
      <c r="F36" s="2"/>
      <c r="G36" s="2" t="s">
        <v>79</v>
      </c>
      <c r="H36" s="399" t="s">
        <v>387</v>
      </c>
      <c r="J36" s="404" t="s">
        <v>51</v>
      </c>
      <c r="K36" s="407">
        <f>K32-K34</f>
        <v>20268</v>
      </c>
      <c r="P36" s="273"/>
    </row>
    <row r="37" ht="19.5" spans="1:1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P37" s="273"/>
    </row>
    <row r="38" ht="19.5" spans="1:16">
      <c r="A38" s="47">
        <f>(B35/12)*D35</f>
        <v>13750</v>
      </c>
      <c r="B38" s="33" t="s">
        <v>18</v>
      </c>
      <c r="C38" s="33"/>
      <c r="D38" s="48" t="s">
        <v>57</v>
      </c>
      <c r="E38" s="48"/>
      <c r="F38" s="2"/>
      <c r="G38" s="2"/>
      <c r="H38" s="2"/>
      <c r="J38" s="408"/>
      <c r="K38" s="408"/>
      <c r="L38" s="240"/>
      <c r="N38" s="239">
        <f>80.88*36</f>
        <v>2911.68</v>
      </c>
      <c r="P38" s="273"/>
    </row>
    <row r="39" spans="1:16">
      <c r="A39" s="49"/>
      <c r="B39" s="41"/>
      <c r="C39" s="41"/>
      <c r="D39" s="13"/>
      <c r="E39" s="14"/>
      <c r="F39" s="2"/>
      <c r="G39" s="2"/>
      <c r="H39" s="50"/>
      <c r="L39" s="240"/>
      <c r="N39" s="239">
        <f>K39-L39</f>
        <v>0</v>
      </c>
      <c r="P39" s="273"/>
    </row>
    <row r="40" ht="19.5" spans="1:1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L40" s="240"/>
      <c r="N40" s="239">
        <f>N38-N39</f>
        <v>2911.68</v>
      </c>
      <c r="P40" s="273"/>
    </row>
    <row r="41" ht="19.5" spans="1:16">
      <c r="A41" s="48">
        <f>H36/B35</f>
        <v>0</v>
      </c>
      <c r="B41" s="55" t="str">
        <f>IF(B38="YES",D38+A41,D38)</f>
        <v>500</v>
      </c>
      <c r="C41" s="55"/>
      <c r="D41" s="48">
        <v>6000</v>
      </c>
      <c r="E41" s="48"/>
      <c r="F41" s="2"/>
      <c r="G41" s="2"/>
      <c r="H41" s="56"/>
      <c r="J41" s="240"/>
      <c r="K41" s="240"/>
      <c r="L41" s="240"/>
      <c r="P41" s="273"/>
    </row>
    <row r="42" spans="1:16">
      <c r="A42" s="49"/>
      <c r="B42" s="41"/>
      <c r="C42" s="41"/>
      <c r="D42" s="41"/>
      <c r="E42" s="57"/>
      <c r="F42" s="2"/>
      <c r="G42" s="58" t="s">
        <v>52</v>
      </c>
      <c r="H42" s="58"/>
      <c r="J42" s="240"/>
      <c r="K42" s="240"/>
      <c r="L42" s="240"/>
      <c r="P42" s="273"/>
    </row>
    <row r="43" ht="19.5" spans="1:1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500.363636363636</v>
      </c>
      <c r="J43" s="240"/>
      <c r="K43" s="240"/>
      <c r="L43" s="240"/>
      <c r="P43" s="273"/>
    </row>
    <row r="44" ht="19.5" spans="1:16">
      <c r="A44" s="48" t="s">
        <v>42</v>
      </c>
      <c r="B44" s="400">
        <v>0</v>
      </c>
      <c r="C44" s="400"/>
      <c r="D44" s="400">
        <v>0</v>
      </c>
      <c r="E44" s="400"/>
      <c r="F44" s="2"/>
      <c r="G44" s="2" t="s">
        <v>257</v>
      </c>
      <c r="H44" s="50">
        <f>H32</f>
        <v>0</v>
      </c>
      <c r="J44" s="240"/>
      <c r="K44" s="240"/>
      <c r="L44" s="240"/>
      <c r="P44" s="273"/>
    </row>
    <row r="45" spans="1:1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500.363636363636</v>
      </c>
      <c r="J45" s="240"/>
      <c r="K45" s="240"/>
      <c r="L45" s="240"/>
      <c r="P45" s="273"/>
    </row>
    <row r="46" ht="19.5" spans="1:1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500.363636363636</v>
      </c>
      <c r="J46" s="240"/>
      <c r="K46" s="240"/>
      <c r="L46" s="240"/>
      <c r="P46" s="273"/>
    </row>
    <row r="47" ht="19.5" spans="1:16">
      <c r="A47" s="131">
        <v>0</v>
      </c>
      <c r="B47" s="401">
        <v>0</v>
      </c>
      <c r="C47" s="401"/>
      <c r="D47" s="400">
        <v>0</v>
      </c>
      <c r="E47" s="400"/>
      <c r="F47" s="2"/>
      <c r="G47" s="2"/>
      <c r="H47" s="50"/>
      <c r="J47" s="240"/>
      <c r="K47" s="240"/>
      <c r="L47" s="240"/>
      <c r="P47" s="273"/>
    </row>
    <row r="48" spans="2:16">
      <c r="B48" s="41"/>
      <c r="C48" s="41"/>
      <c r="D48" s="41"/>
      <c r="E48" s="57"/>
      <c r="F48" s="2"/>
      <c r="G48" s="2"/>
      <c r="H48" s="50"/>
      <c r="J48" s="309"/>
      <c r="K48" s="240"/>
      <c r="L48" s="240"/>
      <c r="P48" s="273"/>
    </row>
    <row r="49" spans="1:16">
      <c r="A49" s="49"/>
      <c r="B49" s="41"/>
      <c r="C49" s="41"/>
      <c r="D49" s="41"/>
      <c r="E49" s="57"/>
      <c r="F49" s="2"/>
      <c r="G49" s="2"/>
      <c r="H49" s="50"/>
      <c r="J49" s="240"/>
      <c r="K49" s="240"/>
      <c r="L49" s="240"/>
      <c r="P49" s="273"/>
    </row>
    <row r="50" ht="19.5" spans="1:16">
      <c r="A50" s="6"/>
      <c r="B50" s="65"/>
      <c r="C50" s="65"/>
      <c r="D50" s="13"/>
      <c r="E50" s="14"/>
      <c r="I50" s="240"/>
      <c r="J50" s="240"/>
      <c r="K50" s="240"/>
      <c r="P50" s="273"/>
    </row>
    <row r="51" ht="19.5" customHeight="1" spans="1:16">
      <c r="A51" s="67" t="s">
        <v>83</v>
      </c>
      <c r="B51" s="68" t="s">
        <v>84</v>
      </c>
      <c r="C51" s="68"/>
      <c r="D51" s="13"/>
      <c r="E51" s="14"/>
      <c r="I51" s="240"/>
      <c r="J51" s="240"/>
      <c r="K51" s="240"/>
      <c r="P51" s="273"/>
    </row>
    <row r="52" ht="19.5" spans="1:16">
      <c r="A52" s="67"/>
      <c r="B52" s="69" t="str">
        <f>H30</f>
        <v>5000</v>
      </c>
      <c r="C52" s="69"/>
      <c r="D52" s="13"/>
      <c r="E52" s="14"/>
      <c r="I52" s="240"/>
      <c r="J52" s="240"/>
      <c r="K52" s="240"/>
      <c r="P52" s="273"/>
    </row>
    <row r="53" ht="19.5" spans="1:16">
      <c r="A53" s="70" t="str">
        <f>H29</f>
        <v>33</v>
      </c>
      <c r="B53" s="71">
        <f>H45</f>
        <v>500.363636363636</v>
      </c>
      <c r="C53" s="71"/>
      <c r="D53" s="13"/>
      <c r="E53" s="14"/>
      <c r="I53" s="240"/>
      <c r="J53" s="240"/>
      <c r="K53" s="240"/>
      <c r="P53" s="273"/>
    </row>
    <row r="54" spans="1:16">
      <c r="A54" s="402" t="s">
        <v>4</v>
      </c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8">
      <c r="A57" s="264"/>
      <c r="B57" s="265"/>
      <c r="C57" s="265"/>
      <c r="D57" s="265"/>
      <c r="E57" s="290"/>
      <c r="F57" s="290"/>
      <c r="G57" s="290"/>
      <c r="H57" s="266"/>
    </row>
    <row r="58" spans="1:8">
      <c r="A58" s="245" t="s">
        <v>85</v>
      </c>
      <c r="B58" s="250">
        <v>1</v>
      </c>
      <c r="C58" s="403"/>
      <c r="D58" s="250"/>
      <c r="E58" s="291"/>
      <c r="F58" s="291"/>
      <c r="G58" s="291"/>
      <c r="H58" s="180"/>
    </row>
    <row r="59" spans="1:8">
      <c r="A59" s="245" t="s">
        <v>86</v>
      </c>
      <c r="B59" s="250">
        <f>B35-B58</f>
        <v>32</v>
      </c>
      <c r="C59" s="403"/>
      <c r="D59" s="250"/>
      <c r="E59" s="291"/>
      <c r="F59" s="291"/>
      <c r="G59" s="291"/>
      <c r="H59" s="180"/>
    </row>
    <row r="60" spans="1:8">
      <c r="A60" s="292" t="s">
        <v>87</v>
      </c>
      <c r="B60" s="293" t="n">
        <v>10.0</v>
      </c>
      <c r="C60" s="403"/>
      <c r="D60" s="250"/>
      <c r="E60" s="291"/>
      <c r="F60" s="291"/>
      <c r="G60" s="291"/>
      <c r="H60" s="180"/>
    </row>
    <row r="61" ht="19.5" spans="1:8">
      <c r="A61" s="245" t="s">
        <v>14</v>
      </c>
      <c r="B61" s="250">
        <f>J18</f>
        <v>20928</v>
      </c>
      <c r="C61" s="403"/>
      <c r="D61" s="250"/>
      <c r="E61" s="291"/>
      <c r="F61" s="291"/>
      <c r="G61" s="291"/>
      <c r="H61" s="180"/>
    </row>
    <row r="62" spans="1:29">
      <c r="A62" s="294" t="s">
        <v>88</v>
      </c>
      <c r="B62" s="295" t="n">
        <v>0.0</v>
      </c>
      <c r="C62" s="403"/>
      <c r="D62" s="250"/>
      <c r="E62" s="291"/>
      <c r="F62" s="291"/>
      <c r="G62" s="291"/>
      <c r="H62" s="180"/>
      <c r="K62" s="409"/>
      <c r="T62" s="409"/>
      <c r="AC62" s="409"/>
    </row>
    <row r="63" spans="1:29">
      <c r="A63" s="242" t="s">
        <v>89</v>
      </c>
      <c r="B63" s="296" t="n">
        <v>0.065</v>
      </c>
      <c r="C63" s="403"/>
      <c r="D63" s="250"/>
      <c r="E63" s="291"/>
      <c r="F63" s="291"/>
      <c r="G63" s="291"/>
      <c r="H63" s="180"/>
      <c r="K63" s="409"/>
      <c r="T63" s="409"/>
      <c r="AC63" s="409"/>
    </row>
    <row r="64" ht="19.5" spans="1:29">
      <c r="A64" s="297" t="s">
        <v>90</v>
      </c>
      <c r="B64" s="298" t="n">
        <v>0.05</v>
      </c>
      <c r="C64" s="250"/>
      <c r="D64" s="250"/>
      <c r="E64" s="291"/>
      <c r="F64" s="291"/>
      <c r="G64" s="291"/>
      <c r="H64" s="180"/>
      <c r="K64" s="409"/>
      <c r="T64" s="409"/>
      <c r="AC64" s="409"/>
    </row>
    <row r="65" ht="19.5" spans="1:8">
      <c r="A65" s="275" t="s">
        <v>91</v>
      </c>
      <c r="B65" s="281">
        <f>(B89*B59)-B53</f>
        <v>17002.4078787606</v>
      </c>
      <c r="C65" s="250"/>
      <c r="D65" s="250"/>
      <c r="E65" s="291"/>
      <c r="F65" s="291"/>
      <c r="G65" s="291"/>
      <c r="H65" s="180"/>
    </row>
    <row r="66" spans="1:29">
      <c r="A66" s="294" t="s">
        <v>92</v>
      </c>
      <c r="B66" s="295" t="n">
        <v>0.005</v>
      </c>
      <c r="C66" s="250"/>
      <c r="D66" s="250"/>
      <c r="E66" s="291"/>
      <c r="F66" s="291"/>
      <c r="G66" s="291"/>
      <c r="H66" s="180"/>
      <c r="K66" s="409"/>
      <c r="T66" s="409"/>
      <c r="AC66" s="409"/>
    </row>
    <row r="67" spans="1:29">
      <c r="A67" s="245" t="s">
        <v>93</v>
      </c>
      <c r="B67" s="179">
        <f>B66+(B66*0.5*(H29/12-1))</f>
        <v>0.009375</v>
      </c>
      <c r="C67" s="250"/>
      <c r="D67" s="250"/>
      <c r="E67" s="291"/>
      <c r="F67" s="291"/>
      <c r="G67" s="291"/>
      <c r="H67" s="180"/>
      <c r="K67" s="409"/>
      <c r="T67" s="409"/>
      <c r="AC67" s="409"/>
    </row>
    <row r="68" ht="19.5" spans="1:8">
      <c r="A68" s="275" t="s">
        <v>94</v>
      </c>
      <c r="B68" s="281">
        <f>(G158*B67)</f>
        <v>199.3875</v>
      </c>
      <c r="C68" s="250"/>
      <c r="D68" s="250"/>
      <c r="E68" s="291"/>
      <c r="F68" s="291"/>
      <c r="G68" s="291"/>
      <c r="H68" s="180"/>
    </row>
    <row r="69" spans="1:29">
      <c r="A69" s="294" t="s">
        <v>95</v>
      </c>
      <c r="B69" s="295" t="n">
        <v>0.0</v>
      </c>
      <c r="C69" s="410"/>
      <c r="D69" s="250"/>
      <c r="E69" s="291"/>
      <c r="F69" s="291"/>
      <c r="G69" s="291"/>
      <c r="H69" s="180"/>
      <c r="K69" s="409"/>
      <c r="T69" s="409"/>
      <c r="AC69" s="409"/>
    </row>
    <row r="70" spans="1:29">
      <c r="A70" s="242" t="s">
        <v>96</v>
      </c>
      <c r="B70" s="296" t="n">
        <v>0.0</v>
      </c>
      <c r="C70" s="410"/>
      <c r="D70" s="250"/>
      <c r="E70" s="291"/>
      <c r="F70" s="291"/>
      <c r="G70" s="291"/>
      <c r="H70" s="180"/>
      <c r="K70" s="409"/>
      <c r="T70" s="409"/>
      <c r="AC70" s="409"/>
    </row>
    <row r="71" ht="19.5" spans="1:29">
      <c r="A71" s="275" t="s">
        <v>97</v>
      </c>
      <c r="B71" s="311">
        <f>B69*(1+B70)</f>
        <v>0</v>
      </c>
      <c r="C71" s="410"/>
      <c r="D71" s="250"/>
      <c r="E71" s="291"/>
      <c r="F71" s="291"/>
      <c r="G71" s="291"/>
      <c r="H71" s="180"/>
      <c r="K71" s="409"/>
      <c r="T71" s="409"/>
      <c r="AC71" s="409"/>
    </row>
    <row r="72" spans="1:8">
      <c r="A72" s="294" t="s">
        <v>98</v>
      </c>
      <c r="B72" s="312" t="n">
        <v>0.0</v>
      </c>
      <c r="C72" s="410"/>
      <c r="D72" s="250"/>
      <c r="E72" s="291"/>
      <c r="F72" s="291"/>
      <c r="G72" s="291"/>
      <c r="H72" s="180"/>
    </row>
    <row r="73" spans="1:8">
      <c r="A73" s="242" t="s">
        <v>99</v>
      </c>
      <c r="B73" s="293" t="n">
        <v>0.0</v>
      </c>
      <c r="C73" s="410"/>
      <c r="D73" s="250"/>
      <c r="E73" s="291"/>
      <c r="F73" s="291"/>
      <c r="G73" s="291"/>
      <c r="H73" s="180"/>
    </row>
    <row r="74" ht="19.5" spans="1:8">
      <c r="A74" s="275" t="s">
        <v>100</v>
      </c>
      <c r="B74" s="281">
        <f>B73*B35</f>
        <v>0</v>
      </c>
      <c r="C74" s="410"/>
      <c r="D74" s="250">
        <f>B74+B72</f>
        <v>0</v>
      </c>
      <c r="E74" s="291"/>
      <c r="F74" s="291"/>
      <c r="G74" s="291"/>
      <c r="H74" s="180"/>
    </row>
    <row r="75" spans="1:8">
      <c r="A75" s="242" t="s">
        <v>101</v>
      </c>
      <c r="B75" s="293" t="n">
        <v>0.0</v>
      </c>
      <c r="C75" s="410"/>
      <c r="D75" s="250">
        <f>B75</f>
        <v>0</v>
      </c>
      <c r="E75" s="291"/>
      <c r="F75" s="291"/>
      <c r="G75" s="291"/>
      <c r="H75" s="180"/>
    </row>
    <row r="76" ht="19.5" spans="1:8">
      <c r="A76" s="297" t="s">
        <v>102</v>
      </c>
      <c r="B76" s="313" t="n">
        <v>0.0</v>
      </c>
      <c r="C76" s="410"/>
      <c r="D76" s="250">
        <f>B76</f>
        <v>0</v>
      </c>
      <c r="E76" s="291"/>
      <c r="F76" s="250"/>
      <c r="G76" s="291"/>
      <c r="H76" s="180"/>
    </row>
    <row r="77" spans="1:8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</row>
    <row r="78" spans="1:8">
      <c r="A78" s="245" t="s">
        <v>104</v>
      </c>
      <c r="B78" s="180">
        <f>B77/B35</f>
        <v>0</v>
      </c>
      <c r="C78" s="250"/>
      <c r="D78" s="250"/>
      <c r="E78" s="291"/>
      <c r="F78" s="291"/>
      <c r="G78" s="291"/>
      <c r="H78" s="180"/>
    </row>
    <row r="79" ht="19.5" spans="1:8">
      <c r="A79" s="316" t="s">
        <v>105</v>
      </c>
      <c r="B79" s="278">
        <f>H46</f>
        <v>500.363636363636</v>
      </c>
      <c r="C79" s="250"/>
      <c r="D79" s="250"/>
      <c r="E79" s="291"/>
      <c r="F79" s="291"/>
      <c r="G79" s="291"/>
      <c r="H79" s="180"/>
    </row>
    <row r="80" ht="19.5" spans="1:8">
      <c r="A80" s="245"/>
      <c r="B80" s="250"/>
      <c r="C80" s="250"/>
      <c r="D80" s="250"/>
      <c r="E80" s="291"/>
      <c r="F80" s="291"/>
      <c r="G80" s="291"/>
      <c r="H80" s="180"/>
    </row>
    <row r="81" spans="1:8">
      <c r="A81" s="264" t="s">
        <v>106</v>
      </c>
      <c r="B81" s="266">
        <f>K36</f>
        <v>20268</v>
      </c>
      <c r="C81" s="250"/>
      <c r="D81" s="250"/>
      <c r="E81" s="291"/>
      <c r="F81" s="264" t="s">
        <v>106</v>
      </c>
      <c r="G81" s="266">
        <f>B81</f>
        <v>20268</v>
      </c>
      <c r="H81" s="180"/>
    </row>
    <row r="82" spans="1:8">
      <c r="A82" s="245" t="s">
        <v>107</v>
      </c>
      <c r="B82" s="180">
        <f>IF(A111="YES",D41,0)</f>
        <v>7200</v>
      </c>
      <c r="C82" s="250"/>
      <c r="D82" s="250"/>
      <c r="E82" s="291"/>
      <c r="F82" s="245" t="s">
        <v>107</v>
      </c>
      <c r="G82" s="180">
        <f>IF(A111="YES",D41,0)</f>
        <v>7200</v>
      </c>
      <c r="H82" s="180"/>
    </row>
    <row r="83" spans="1:29">
      <c r="A83" s="245" t="s">
        <v>108</v>
      </c>
      <c r="B83" s="317">
        <f>B62+B63+B64</f>
        <v>0.115</v>
      </c>
      <c r="C83" s="250"/>
      <c r="D83" s="250"/>
      <c r="E83" s="291"/>
      <c r="F83" s="245" t="s">
        <v>108</v>
      </c>
      <c r="G83" s="317">
        <f>B63</f>
        <v>0.065</v>
      </c>
      <c r="H83" s="180"/>
      <c r="K83" s="409"/>
      <c r="T83" s="409"/>
      <c r="AC83" s="409"/>
    </row>
    <row r="84" spans="1:29">
      <c r="A84" s="245" t="s">
        <v>109</v>
      </c>
      <c r="B84" s="179">
        <f>B83/12</f>
        <v>0.00958333333333333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K84" s="409"/>
      <c r="T84" s="409"/>
      <c r="AC84" s="409"/>
    </row>
    <row r="85" spans="1:8">
      <c r="A85" s="245" t="s">
        <v>110</v>
      </c>
      <c r="B85" s="180">
        <f>IF(B82=0,(B59+B58),(B59))</f>
        <v>32</v>
      </c>
      <c r="C85" s="250"/>
      <c r="D85" s="250"/>
      <c r="E85" s="291"/>
      <c r="F85" s="245" t="s">
        <v>110</v>
      </c>
      <c r="G85" s="180">
        <f>IF(G82=0,(B59+B58),(B59))</f>
        <v>32</v>
      </c>
      <c r="H85" s="180"/>
    </row>
    <row r="86" spans="1:8">
      <c r="A86" s="245" t="s">
        <v>111</v>
      </c>
      <c r="B86" s="180">
        <f>(B82/((1+B84)^(B85+1)))</f>
        <v>5255.82391109543</v>
      </c>
      <c r="C86" s="250">
        <f>(B82/((1+B84)^(B85+1)))</f>
        <v>5255.82391109543</v>
      </c>
      <c r="D86" s="250"/>
      <c r="E86" s="291"/>
      <c r="F86" s="245" t="s">
        <v>111</v>
      </c>
      <c r="G86" s="180">
        <f>(G82/((1+G84)^(G85+1)))</f>
        <v>6024.37295128565</v>
      </c>
      <c r="H86" s="180"/>
    </row>
    <row r="87" spans="1:8">
      <c r="A87" s="245" t="s">
        <v>112</v>
      </c>
      <c r="B87" s="180">
        <f>((1-(1/((1+B84)^B85)))/B84)</f>
        <v>27.4464895133802</v>
      </c>
      <c r="C87" s="250">
        <f>((1-(1/((1+B84)^B85)))/B84)</f>
        <v>27.4464895133802</v>
      </c>
      <c r="D87" s="250"/>
      <c r="E87" s="291"/>
      <c r="F87" s="245" t="s">
        <v>112</v>
      </c>
      <c r="G87" s="180">
        <f>((1-(1/((1+G84)^G85)))/G84)</f>
        <v>29.3075648349115</v>
      </c>
      <c r="H87" s="180"/>
    </row>
    <row r="88" spans="1:8">
      <c r="A88" s="245" t="s">
        <v>113</v>
      </c>
      <c r="B88" s="180">
        <f>B81-B86</f>
        <v>15012.1760889046</v>
      </c>
      <c r="C88" s="250">
        <f>B81-B86</f>
        <v>15012.1760889046</v>
      </c>
      <c r="D88" s="250"/>
      <c r="E88" s="291"/>
      <c r="F88" s="245" t="s">
        <v>113</v>
      </c>
      <c r="G88" s="180">
        <f>G81-G86</f>
        <v>14243.6270487143</v>
      </c>
      <c r="H88" s="180"/>
    </row>
    <row r="89" spans="1:8">
      <c r="A89" s="245" t="s">
        <v>114</v>
      </c>
      <c r="B89" s="180">
        <f>(B88/B87)</f>
        <v>546.961609847631</v>
      </c>
      <c r="C89" s="250">
        <f>(B88/B87)</f>
        <v>546.961609847631</v>
      </c>
      <c r="D89" s="250"/>
      <c r="E89" s="291"/>
      <c r="F89" s="245" t="s">
        <v>114</v>
      </c>
      <c r="G89" s="180">
        <f>(G88/G87)</f>
        <v>486.005136521857</v>
      </c>
      <c r="H89" s="180"/>
    </row>
    <row r="90" spans="1:8">
      <c r="A90" s="245" t="s">
        <v>115</v>
      </c>
      <c r="B90" s="180">
        <f>((B89*(B85))+B77)</f>
        <v>17502.7715151242</v>
      </c>
      <c r="C90" s="250"/>
      <c r="D90" s="250"/>
      <c r="E90" s="291"/>
      <c r="F90" s="245" t="s">
        <v>115</v>
      </c>
      <c r="G90" s="180">
        <f>((G89*(G85))+G77)</f>
        <v>15552.1643686994</v>
      </c>
      <c r="H90" s="180"/>
    </row>
    <row r="91" spans="1:8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</row>
    <row r="92" ht="19.5" spans="1:8">
      <c r="A92" s="275" t="s">
        <v>117</v>
      </c>
      <c r="B92" s="281">
        <f>(B90+B91)</f>
        <v>17502.7715151242</v>
      </c>
      <c r="C92" s="250"/>
      <c r="D92" s="250"/>
      <c r="E92" s="291"/>
      <c r="F92" s="275" t="s">
        <v>117</v>
      </c>
      <c r="G92" s="281">
        <f>(G90+G91)</f>
        <v>15552.1643686994</v>
      </c>
      <c r="H92" s="180"/>
    </row>
    <row r="93" ht="19.5" spans="1:8">
      <c r="A93" s="245"/>
      <c r="B93" s="250"/>
      <c r="C93" s="250"/>
      <c r="D93" s="250"/>
      <c r="E93" s="291"/>
      <c r="F93" s="245"/>
      <c r="G93" s="250"/>
      <c r="H93" s="180"/>
    </row>
    <row r="94" spans="1:8">
      <c r="A94" s="314" t="s">
        <v>118</v>
      </c>
      <c r="B94" s="318" t="str">
        <f>IF(B38="YES",((H36/B85)*(1+A108)),"0")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</row>
    <row r="95" spans="1:8">
      <c r="A95" s="319" t="s">
        <v>119</v>
      </c>
      <c r="B95" s="320">
        <f>B92/(B85)</f>
        <v>546.961609847631</v>
      </c>
      <c r="C95" s="250"/>
      <c r="D95" s="250"/>
      <c r="E95" s="291"/>
      <c r="F95" s="319" t="s">
        <v>119</v>
      </c>
      <c r="G95" s="320">
        <f>G92/(G85)</f>
        <v>486.005136521857</v>
      </c>
      <c r="H95" s="180"/>
    </row>
    <row r="96" ht="19.5" spans="1:8">
      <c r="A96" s="321" t="s">
        <v>120</v>
      </c>
      <c r="B96" s="322">
        <f>B94+B95</f>
        <v>546.961609847631</v>
      </c>
      <c r="C96" s="250"/>
      <c r="D96" s="250"/>
      <c r="E96" s="291"/>
      <c r="F96" s="321" t="s">
        <v>120</v>
      </c>
      <c r="G96" s="322">
        <f>G94+G95</f>
        <v>486.005136521857</v>
      </c>
      <c r="H96" s="180"/>
    </row>
    <row r="97" ht="19.5" spans="1:8">
      <c r="A97" s="275"/>
      <c r="B97" s="276"/>
      <c r="C97" s="276"/>
      <c r="D97" s="276"/>
      <c r="E97" s="323"/>
      <c r="F97" s="323"/>
      <c r="G97" s="323"/>
      <c r="H97" s="281"/>
    </row>
    <row r="98" spans="1:8">
      <c r="A98" s="262"/>
      <c r="B98" s="262"/>
      <c r="C98" s="262"/>
      <c r="D98" s="262"/>
      <c r="E98" s="262"/>
      <c r="F98" s="262"/>
      <c r="G98" s="262"/>
      <c r="H98" s="262"/>
    </row>
    <row r="99" spans="1:8">
      <c r="A99" s="262"/>
      <c r="B99" s="262"/>
      <c r="C99" s="262"/>
      <c r="D99" s="262"/>
      <c r="E99" s="262"/>
      <c r="F99" s="262"/>
      <c r="G99" s="262"/>
      <c r="H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408"/>
      <c r="K100" s="408"/>
      <c r="L100" s="408"/>
      <c r="M100" s="408"/>
      <c r="N100" s="408"/>
      <c r="O100" s="408"/>
      <c r="P100" s="408"/>
      <c r="Q100" s="408"/>
      <c r="S100" s="408"/>
      <c r="T100" s="408"/>
      <c r="U100" s="408"/>
      <c r="V100" s="408"/>
      <c r="W100" s="408"/>
      <c r="X100" s="408"/>
      <c r="Y100" s="408"/>
      <c r="Z100" s="408"/>
      <c r="AB100" s="408"/>
      <c r="AC100" s="408"/>
      <c r="AD100" s="408"/>
      <c r="AE100" s="408"/>
      <c r="AF100" s="408"/>
      <c r="AG100" s="408"/>
      <c r="AH100" s="408"/>
      <c r="AI100" s="408"/>
    </row>
    <row r="101" spans="1:8">
      <c r="A101" s="264"/>
      <c r="B101" s="265"/>
      <c r="C101" s="265"/>
      <c r="D101" s="265"/>
      <c r="E101" s="290"/>
      <c r="F101" s="290"/>
      <c r="G101" s="290"/>
      <c r="H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408"/>
      <c r="K102" s="408"/>
      <c r="L102" s="408"/>
      <c r="M102" s="408"/>
      <c r="N102" s="408"/>
      <c r="O102" s="408"/>
      <c r="P102" s="408"/>
      <c r="Q102" s="408"/>
      <c r="S102" s="408"/>
      <c r="T102" s="408"/>
      <c r="U102" s="408"/>
      <c r="V102" s="408"/>
      <c r="W102" s="408"/>
      <c r="X102" s="408"/>
      <c r="Y102" s="408"/>
      <c r="Z102" s="408"/>
      <c r="AB102" s="408"/>
      <c r="AC102" s="408"/>
      <c r="AD102" s="408"/>
      <c r="AE102" s="408"/>
      <c r="AF102" s="408"/>
      <c r="AG102" s="408"/>
      <c r="AH102" s="408"/>
      <c r="AI102" s="408"/>
    </row>
    <row r="103" ht="19.5" spans="1:26">
      <c r="A103" s="245"/>
      <c r="B103" s="250"/>
      <c r="C103" s="250"/>
      <c r="D103" s="250"/>
      <c r="E103" s="291"/>
      <c r="F103" s="291"/>
      <c r="G103" s="291"/>
      <c r="H103" s="325"/>
      <c r="Z103" s="2" t="s">
        <v>130</v>
      </c>
    </row>
    <row r="104" ht="19.5" spans="1:26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Z104" s="2" t="s">
        <v>263</v>
      </c>
    </row>
    <row r="105" ht="19.5" spans="1:34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K105" s="408"/>
      <c r="L105" s="408"/>
      <c r="M105" s="408"/>
      <c r="N105" s="408"/>
      <c r="O105" s="408"/>
      <c r="P105" s="408"/>
      <c r="T105" s="408"/>
      <c r="U105" s="408"/>
      <c r="V105" s="408"/>
      <c r="W105" s="408"/>
      <c r="X105" s="408"/>
      <c r="Y105" s="408"/>
      <c r="Z105" s="2" t="s">
        <v>264</v>
      </c>
      <c r="AC105" s="408"/>
      <c r="AD105" s="408"/>
      <c r="AE105" s="408"/>
      <c r="AF105" s="408"/>
      <c r="AG105" s="408"/>
      <c r="AH105" s="408"/>
    </row>
    <row r="106" spans="1:26">
      <c r="A106" s="245"/>
      <c r="B106" s="250"/>
      <c r="C106" s="250"/>
      <c r="D106" s="291"/>
      <c r="E106" s="250"/>
      <c r="F106" s="250"/>
      <c r="G106" s="291"/>
      <c r="H106" s="180"/>
      <c r="Z106" s="2" t="s">
        <v>265</v>
      </c>
    </row>
    <row r="107" ht="19.5" spans="1:26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Z107" s="2" t="s">
        <v>266</v>
      </c>
    </row>
    <row r="108" ht="19.5" spans="1:42">
      <c r="A108" s="411" t="n">
        <v>0.3</v>
      </c>
      <c r="B108" s="102" t="s">
        <v>121</v>
      </c>
      <c r="C108" s="102"/>
      <c r="D108" s="102"/>
      <c r="E108" s="327">
        <f>B83</f>
        <v>0.115</v>
      </c>
      <c r="F108" s="327"/>
      <c r="G108" s="327"/>
      <c r="H108" s="271"/>
      <c r="J108" s="409"/>
      <c r="K108" s="408"/>
      <c r="L108" s="408"/>
      <c r="M108" s="408"/>
      <c r="N108" s="409"/>
      <c r="O108" s="409"/>
      <c r="P108" s="409"/>
      <c r="S108" s="409"/>
      <c r="T108" s="408"/>
      <c r="U108" s="408"/>
      <c r="V108" s="408"/>
      <c r="W108" s="409"/>
      <c r="X108" s="409"/>
      <c r="Y108" s="409"/>
      <c r="Z108" s="2" t="s">
        <v>267</v>
      </c>
      <c r="AB108" s="409"/>
      <c r="AC108" s="408"/>
      <c r="AD108" s="408"/>
      <c r="AE108" s="408"/>
      <c r="AF108" s="409"/>
      <c r="AG108" s="409"/>
      <c r="AH108" s="409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Z109" s="2" t="s">
        <v>268</v>
      </c>
      <c r="AP109" s="239" t="s">
        <v>134</v>
      </c>
    </row>
    <row r="110" ht="19.5" spans="1:26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Z110" s="2" t="s">
        <v>269</v>
      </c>
    </row>
    <row r="111" ht="19.5" spans="1:34">
      <c r="A111" s="268" t="s">
        <v>18</v>
      </c>
      <c r="B111" s="102" t="n">
        <v>0.0</v>
      </c>
      <c r="C111" s="102"/>
      <c r="D111" s="102"/>
      <c r="E111" s="102" t="n">
        <v>0.0</v>
      </c>
      <c r="F111" s="102"/>
      <c r="G111" s="102"/>
      <c r="H111" s="325"/>
      <c r="K111" s="408"/>
      <c r="L111" s="408"/>
      <c r="M111" s="408"/>
      <c r="N111" s="408"/>
      <c r="O111" s="408"/>
      <c r="P111" s="408"/>
      <c r="T111" s="408"/>
      <c r="U111" s="408"/>
      <c r="V111" s="408"/>
      <c r="W111" s="408"/>
      <c r="X111" s="408"/>
      <c r="Y111" s="408"/>
      <c r="Z111" s="2" t="s">
        <v>270</v>
      </c>
      <c r="AC111" s="408"/>
      <c r="AD111" s="408"/>
      <c r="AE111" s="408"/>
      <c r="AF111" s="408"/>
      <c r="AG111" s="408"/>
      <c r="AH111" s="408"/>
    </row>
    <row r="112" spans="1:8">
      <c r="A112" s="245"/>
      <c r="B112" s="250"/>
      <c r="C112" s="250"/>
      <c r="D112" s="250"/>
      <c r="E112" s="250"/>
      <c r="F112" s="250"/>
      <c r="G112" s="291"/>
      <c r="H112" s="325"/>
    </row>
    <row r="113" ht="19.5" spans="1:8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</row>
    <row r="114" ht="19.5" spans="1:34">
      <c r="A114" s="134">
        <f>B111+E111</f>
        <v>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K114" s="408"/>
      <c r="L114" s="408"/>
      <c r="M114" s="408"/>
      <c r="N114" s="408"/>
      <c r="O114" s="408"/>
      <c r="P114" s="408"/>
      <c r="T114" s="408"/>
      <c r="U114" s="408"/>
      <c r="V114" s="408"/>
      <c r="W114" s="408"/>
      <c r="X114" s="408"/>
      <c r="Y114" s="408"/>
      <c r="AC114" s="408"/>
      <c r="AD114" s="408"/>
      <c r="AE114" s="408"/>
      <c r="AF114" s="408"/>
      <c r="AG114" s="408"/>
      <c r="AH114" s="408"/>
    </row>
    <row r="115" spans="1:8">
      <c r="A115" s="328"/>
      <c r="B115" s="291"/>
      <c r="C115" s="291"/>
      <c r="D115" s="291"/>
      <c r="E115" s="291"/>
      <c r="F115" s="291"/>
      <c r="G115" s="291"/>
      <c r="H115" s="325"/>
    </row>
    <row r="116" spans="1:8">
      <c r="A116" s="328"/>
      <c r="B116" s="291"/>
      <c r="C116" s="291"/>
      <c r="D116" s="291"/>
      <c r="E116" s="291"/>
      <c r="F116" s="291"/>
      <c r="G116" s="291"/>
      <c r="H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408"/>
      <c r="K117" s="408"/>
      <c r="L117" s="408"/>
      <c r="M117" s="408"/>
      <c r="N117" s="408"/>
      <c r="O117" s="408"/>
      <c r="P117" s="408"/>
      <c r="Q117" s="408"/>
      <c r="S117" s="408"/>
      <c r="T117" s="408"/>
      <c r="U117" s="408"/>
      <c r="V117" s="408"/>
      <c r="W117" s="408"/>
      <c r="X117" s="408"/>
      <c r="Y117" s="408"/>
      <c r="Z117" s="408"/>
      <c r="AB117" s="408"/>
      <c r="AC117" s="408"/>
      <c r="AD117" s="408"/>
      <c r="AE117" s="408"/>
      <c r="AF117" s="408"/>
      <c r="AG117" s="408"/>
      <c r="AH117" s="408"/>
      <c r="AI117" s="408"/>
    </row>
    <row r="118" spans="1:8">
      <c r="A118" s="328"/>
      <c r="B118" s="291"/>
      <c r="C118" s="291"/>
      <c r="D118" s="291"/>
      <c r="E118" s="291"/>
      <c r="F118" s="291"/>
      <c r="G118" s="291"/>
      <c r="H118" s="325"/>
    </row>
    <row r="119" ht="21" spans="1:34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K119" s="408"/>
      <c r="L119" s="408"/>
      <c r="M119" s="408"/>
      <c r="N119" s="408"/>
      <c r="O119" s="408"/>
      <c r="P119" s="408"/>
      <c r="T119" s="408"/>
      <c r="U119" s="408"/>
      <c r="V119" s="408"/>
      <c r="W119" s="408"/>
      <c r="X119" s="408"/>
      <c r="Y119" s="408"/>
      <c r="AC119" s="408"/>
      <c r="AD119" s="408"/>
      <c r="AE119" s="408"/>
      <c r="AF119" s="408"/>
      <c r="AG119" s="408"/>
      <c r="AH119" s="408"/>
    </row>
    <row r="120" ht="21.75" spans="1:8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</row>
    <row r="121" ht="19.5" spans="1:8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f>B122</f>
        <v>0</v>
      </c>
      <c r="D122" s="338">
        <f>D4</f>
        <v>0</v>
      </c>
      <c r="E122" s="248">
        <f>D122</f>
        <v>0</v>
      </c>
      <c r="F122" s="338">
        <f>F4</f>
        <v>0</v>
      </c>
      <c r="G122" s="412">
        <f>F122</f>
        <v>0</v>
      </c>
      <c r="H122" s="249"/>
      <c r="K122" s="409"/>
      <c r="L122" s="409"/>
      <c r="M122" s="409"/>
      <c r="N122" s="409"/>
      <c r="O122" s="409"/>
      <c r="P122" s="409"/>
      <c r="Q122" s="409"/>
      <c r="T122" s="409"/>
      <c r="U122" s="409"/>
      <c r="V122" s="409"/>
      <c r="W122" s="409"/>
      <c r="X122" s="409"/>
      <c r="Y122" s="409"/>
      <c r="Z122" s="409"/>
      <c r="AC122" s="409"/>
      <c r="AD122" s="409"/>
      <c r="AE122" s="409"/>
      <c r="AF122" s="409"/>
      <c r="AG122" s="409"/>
      <c r="AH122" s="409"/>
      <c r="AI122" s="409"/>
    </row>
    <row r="123" ht="19.5" spans="1:8">
      <c r="A123" s="245" t="s">
        <v>153</v>
      </c>
      <c r="B123" s="340">
        <f>B5</f>
        <v>0</v>
      </c>
      <c r="C123" s="336">
        <f>B123</f>
        <v>0</v>
      </c>
      <c r="D123" s="340">
        <f>D5</f>
        <v>0</v>
      </c>
      <c r="E123" s="336">
        <f>D123</f>
        <v>0</v>
      </c>
      <c r="F123" s="340">
        <f>F5</f>
        <v>0</v>
      </c>
      <c r="G123" s="336">
        <f>F123</f>
        <v>0</v>
      </c>
      <c r="H123" s="180"/>
    </row>
    <row r="124" spans="1:8">
      <c r="A124" s="245" t="s">
        <v>154</v>
      </c>
      <c r="B124" s="340">
        <f>(B121*B122)+B123</f>
        <v>0</v>
      </c>
      <c r="C124" s="95">
        <f>(C121*C122/100)+C123</f>
        <v>0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</row>
    <row r="125" ht="19.5" spans="1:8">
      <c r="A125" s="275" t="s">
        <v>155</v>
      </c>
      <c r="B125" s="341">
        <f t="shared" ref="B125:G125" si="0">B121-B124</f>
        <v>16745</v>
      </c>
      <c r="C125" s="80">
        <f t="shared" si="0"/>
        <v>16745</v>
      </c>
      <c r="D125" s="341">
        <f t="shared" si="0"/>
        <v>0</v>
      </c>
      <c r="E125" s="80">
        <f t="shared" si="0"/>
        <v>0</v>
      </c>
      <c r="F125" s="341">
        <f t="shared" si="0"/>
        <v>0</v>
      </c>
      <c r="G125" s="80">
        <f t="shared" si="0"/>
        <v>0</v>
      </c>
      <c r="H125" s="281"/>
    </row>
    <row r="126" spans="1:8">
      <c r="A126" s="245"/>
      <c r="B126" s="250"/>
      <c r="C126" s="250"/>
      <c r="D126" s="250"/>
      <c r="E126" s="250"/>
      <c r="F126" s="250"/>
      <c r="G126" s="250"/>
      <c r="H126" s="180"/>
    </row>
    <row r="127" ht="21" spans="1:8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</row>
    <row r="128" spans="1:8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</row>
    <row r="129" spans="1:8">
      <c r="A129" s="245"/>
      <c r="B129" s="250"/>
      <c r="C129" s="250"/>
      <c r="D129" s="250"/>
      <c r="E129" s="250"/>
      <c r="F129" s="250"/>
      <c r="G129" s="350"/>
      <c r="H129" s="351"/>
    </row>
    <row r="130" ht="19.5" spans="1:34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K130" s="408"/>
      <c r="L130" s="408"/>
      <c r="M130" s="408"/>
      <c r="N130" s="408"/>
      <c r="O130" s="408"/>
      <c r="P130" s="408"/>
      <c r="T130" s="408"/>
      <c r="U130" s="408"/>
      <c r="V130" s="408"/>
      <c r="W130" s="408"/>
      <c r="X130" s="408"/>
      <c r="Y130" s="408"/>
      <c r="AC130" s="408"/>
      <c r="AD130" s="408"/>
      <c r="AE130" s="408"/>
      <c r="AF130" s="408"/>
      <c r="AG130" s="408"/>
      <c r="AH130" s="408"/>
    </row>
    <row r="131" ht="19.5" spans="1:34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K131" s="408"/>
      <c r="L131" s="408"/>
      <c r="M131" s="409"/>
      <c r="N131" s="409"/>
      <c r="O131" s="408"/>
      <c r="P131" s="408"/>
      <c r="T131" s="408"/>
      <c r="U131" s="408"/>
      <c r="V131" s="409"/>
      <c r="W131" s="409"/>
      <c r="X131" s="408"/>
      <c r="Y131" s="408"/>
      <c r="AC131" s="408"/>
      <c r="AD131" s="408"/>
      <c r="AE131" s="409"/>
      <c r="AF131" s="409"/>
      <c r="AG131" s="408"/>
      <c r="AH131" s="408"/>
    </row>
    <row r="132" ht="19.5" spans="1:34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K132" s="408"/>
      <c r="L132" s="408"/>
      <c r="M132" s="409"/>
      <c r="N132" s="409"/>
      <c r="O132" s="408"/>
      <c r="P132" s="408"/>
      <c r="T132" s="408"/>
      <c r="U132" s="408"/>
      <c r="V132" s="409"/>
      <c r="W132" s="409"/>
      <c r="X132" s="408"/>
      <c r="Y132" s="408"/>
      <c r="AC132" s="408"/>
      <c r="AD132" s="408"/>
      <c r="AE132" s="409"/>
      <c r="AF132" s="409"/>
      <c r="AG132" s="408"/>
      <c r="AH132" s="408"/>
    </row>
    <row r="133" ht="19.5" spans="1:34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K133" s="408"/>
      <c r="L133" s="408"/>
      <c r="M133" s="409"/>
      <c r="N133" s="409"/>
      <c r="O133" s="408"/>
      <c r="P133" s="408"/>
      <c r="T133" s="408"/>
      <c r="U133" s="408"/>
      <c r="V133" s="409"/>
      <c r="W133" s="409"/>
      <c r="X133" s="408"/>
      <c r="Y133" s="408"/>
      <c r="AC133" s="408"/>
      <c r="AD133" s="408"/>
      <c r="AE133" s="409"/>
      <c r="AF133" s="409"/>
      <c r="AG133" s="408"/>
      <c r="AH133" s="408"/>
    </row>
    <row r="134" spans="1:8">
      <c r="A134" s="245"/>
      <c r="B134" s="250"/>
      <c r="C134" s="250"/>
      <c r="D134" s="250"/>
      <c r="E134" s="250"/>
      <c r="F134" s="250"/>
      <c r="G134" s="350"/>
      <c r="H134" s="351"/>
    </row>
    <row r="135" ht="21" spans="1:33">
      <c r="A135" s="251" t="s">
        <v>163</v>
      </c>
      <c r="B135" s="251"/>
      <c r="C135" s="251"/>
      <c r="D135" s="251"/>
      <c r="E135" s="251"/>
      <c r="F135" s="251"/>
      <c r="G135" s="252">
        <f t="shared" ref="G135:G142" si="1">H9</f>
        <v>16745</v>
      </c>
      <c r="H135" s="354">
        <f>C125+E125+G125+H128</f>
        <v>16745</v>
      </c>
      <c r="J135" s="408"/>
      <c r="K135" s="408"/>
      <c r="L135" s="408"/>
      <c r="M135" s="408"/>
      <c r="N135" s="408"/>
      <c r="O135" s="408"/>
      <c r="S135" s="408"/>
      <c r="T135" s="408"/>
      <c r="U135" s="408"/>
      <c r="V135" s="408"/>
      <c r="W135" s="408"/>
      <c r="X135" s="408"/>
      <c r="AB135" s="408"/>
      <c r="AC135" s="408"/>
      <c r="AD135" s="408"/>
      <c r="AE135" s="408"/>
      <c r="AF135" s="408"/>
      <c r="AG135" s="408"/>
    </row>
    <row r="136" spans="1:33">
      <c r="A136" s="254" t="s">
        <v>164</v>
      </c>
      <c r="B136" s="254"/>
      <c r="C136" s="254"/>
      <c r="D136" s="254"/>
      <c r="E136" s="254"/>
      <c r="F136" s="254"/>
      <c r="G136" s="35">
        <f t="shared" si="1"/>
        <v>695</v>
      </c>
      <c r="H136" s="180">
        <f>G136</f>
        <v>695</v>
      </c>
      <c r="J136" s="408"/>
      <c r="K136" s="408"/>
      <c r="L136" s="408"/>
      <c r="M136" s="408"/>
      <c r="N136" s="408"/>
      <c r="O136" s="408"/>
      <c r="S136" s="408"/>
      <c r="T136" s="408"/>
      <c r="U136" s="408"/>
      <c r="V136" s="408"/>
      <c r="W136" s="408"/>
      <c r="X136" s="408"/>
      <c r="AB136" s="408"/>
      <c r="AC136" s="408"/>
      <c r="AD136" s="408"/>
      <c r="AE136" s="408"/>
      <c r="AF136" s="408"/>
      <c r="AG136" s="408"/>
    </row>
    <row r="137" spans="1:33">
      <c r="A137" s="254" t="s">
        <v>165</v>
      </c>
      <c r="B137" s="254"/>
      <c r="C137" s="254"/>
      <c r="D137" s="254"/>
      <c r="E137" s="254"/>
      <c r="F137" s="254"/>
      <c r="G137" s="35">
        <f t="shared" si="1"/>
        <v>3488</v>
      </c>
      <c r="H137" s="180">
        <f>(H135+H136)*20%</f>
        <v>3488</v>
      </c>
      <c r="J137" s="408"/>
      <c r="K137" s="408"/>
      <c r="L137" s="408"/>
      <c r="M137" s="408"/>
      <c r="N137" s="408"/>
      <c r="O137" s="408"/>
      <c r="S137" s="408"/>
      <c r="T137" s="408"/>
      <c r="U137" s="408"/>
      <c r="V137" s="408"/>
      <c r="W137" s="408"/>
      <c r="X137" s="408"/>
      <c r="AB137" s="408"/>
      <c r="AC137" s="408"/>
      <c r="AD137" s="408"/>
      <c r="AE137" s="408"/>
      <c r="AF137" s="408"/>
      <c r="AG137" s="408"/>
    </row>
    <row r="138" spans="1:33">
      <c r="A138" s="254" t="s">
        <v>166</v>
      </c>
      <c r="B138" s="254"/>
      <c r="C138" s="254"/>
      <c r="D138" s="254"/>
      <c r="E138" s="254"/>
      <c r="F138" s="254"/>
      <c r="G138" s="35">
        <f t="shared" si="1"/>
        <v>0</v>
      </c>
      <c r="H138" s="180">
        <v>0</v>
      </c>
      <c r="J138" s="408"/>
      <c r="K138" s="408"/>
      <c r="L138" s="408"/>
      <c r="M138" s="408"/>
      <c r="N138" s="408"/>
      <c r="O138" s="408"/>
      <c r="S138" s="408"/>
      <c r="T138" s="408"/>
      <c r="U138" s="408"/>
      <c r="V138" s="408"/>
      <c r="W138" s="408"/>
      <c r="X138" s="408"/>
      <c r="AB138" s="408"/>
      <c r="AC138" s="408"/>
      <c r="AD138" s="408"/>
      <c r="AE138" s="408"/>
      <c r="AF138" s="408"/>
      <c r="AG138" s="408"/>
    </row>
    <row r="139" spans="1:33">
      <c r="A139" s="254" t="s">
        <v>167</v>
      </c>
      <c r="B139" s="254"/>
      <c r="C139" s="254"/>
      <c r="D139" s="254"/>
      <c r="E139" s="254"/>
      <c r="F139" s="254"/>
      <c r="G139" s="35">
        <f t="shared" si="1"/>
        <v>275</v>
      </c>
      <c r="H139" s="180">
        <f>G139</f>
        <v>275</v>
      </c>
      <c r="J139" s="408"/>
      <c r="K139" s="408"/>
      <c r="L139" s="408"/>
      <c r="M139" s="408"/>
      <c r="N139" s="408"/>
      <c r="O139" s="408"/>
      <c r="S139" s="408"/>
      <c r="T139" s="408"/>
      <c r="U139" s="408"/>
      <c r="V139" s="408"/>
      <c r="W139" s="408"/>
      <c r="X139" s="408"/>
      <c r="AB139" s="408"/>
      <c r="AC139" s="408"/>
      <c r="AD139" s="408"/>
      <c r="AE139" s="408"/>
      <c r="AF139" s="408"/>
      <c r="AG139" s="408"/>
    </row>
    <row r="140" ht="19.5" spans="1:33">
      <c r="A140" s="254" t="s">
        <v>168</v>
      </c>
      <c r="B140" s="254"/>
      <c r="C140" s="254"/>
      <c r="D140" s="254"/>
      <c r="E140" s="254"/>
      <c r="F140" s="254"/>
      <c r="G140" s="35">
        <f t="shared" si="1"/>
        <v>65</v>
      </c>
      <c r="H140" s="180">
        <f>G140</f>
        <v>65</v>
      </c>
      <c r="J140" s="408"/>
      <c r="K140" s="408"/>
      <c r="L140" s="408"/>
      <c r="M140" s="408"/>
      <c r="N140" s="408"/>
      <c r="O140" s="408"/>
      <c r="S140" s="408"/>
      <c r="T140" s="408"/>
      <c r="U140" s="408"/>
      <c r="V140" s="408"/>
      <c r="W140" s="408"/>
      <c r="X140" s="408"/>
      <c r="AB140" s="408"/>
      <c r="AC140" s="408"/>
      <c r="AD140" s="408"/>
      <c r="AE140" s="408"/>
      <c r="AF140" s="408"/>
      <c r="AG140" s="408"/>
    </row>
    <row r="141" ht="21.75" spans="1:33">
      <c r="A141" s="254" t="s">
        <v>169</v>
      </c>
      <c r="B141" s="254"/>
      <c r="C141" s="254"/>
      <c r="D141" s="254"/>
      <c r="E141" s="254"/>
      <c r="F141" s="254"/>
      <c r="G141" s="355">
        <f t="shared" si="1"/>
        <v>21268</v>
      </c>
      <c r="H141" s="356">
        <f>(H135+H136+H139+H140+H137)-H138</f>
        <v>21268</v>
      </c>
      <c r="J141" s="408"/>
      <c r="K141" s="408"/>
      <c r="L141" s="408"/>
      <c r="M141" s="408"/>
      <c r="N141" s="408"/>
      <c r="O141" s="408"/>
      <c r="S141" s="408"/>
      <c r="T141" s="408"/>
      <c r="U141" s="408"/>
      <c r="V141" s="408"/>
      <c r="W141" s="408"/>
      <c r="X141" s="408"/>
      <c r="AB141" s="408"/>
      <c r="AC141" s="408"/>
      <c r="AD141" s="408"/>
      <c r="AE141" s="408"/>
      <c r="AF141" s="408"/>
      <c r="AG141" s="408"/>
    </row>
    <row r="142" ht="19.5" spans="1:33">
      <c r="A142" s="254" t="s">
        <v>170</v>
      </c>
      <c r="B142" s="254"/>
      <c r="C142" s="254"/>
      <c r="D142" s="254"/>
      <c r="E142" s="254"/>
      <c r="F142" s="254"/>
      <c r="G142" s="35">
        <f t="shared" si="1"/>
        <v>0</v>
      </c>
      <c r="H142" s="268">
        <f>G142</f>
        <v>0</v>
      </c>
      <c r="J142" s="408"/>
      <c r="K142" s="408"/>
      <c r="L142" s="408"/>
      <c r="M142" s="408"/>
      <c r="N142" s="408"/>
      <c r="O142" s="408"/>
      <c r="S142" s="408"/>
      <c r="T142" s="408"/>
      <c r="U142" s="408"/>
      <c r="V142" s="408"/>
      <c r="W142" s="408"/>
      <c r="X142" s="408"/>
      <c r="AB142" s="408"/>
      <c r="AC142" s="408"/>
      <c r="AD142" s="408"/>
      <c r="AE142" s="408"/>
      <c r="AF142" s="408"/>
      <c r="AG142" s="408"/>
    </row>
    <row r="143" ht="19.5" spans="1:33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408"/>
      <c r="K143" s="408"/>
      <c r="L143" s="408"/>
      <c r="M143" s="408"/>
      <c r="N143" s="408"/>
      <c r="O143" s="408"/>
      <c r="S143" s="408"/>
      <c r="T143" s="408"/>
      <c r="U143" s="408"/>
      <c r="V143" s="408"/>
      <c r="W143" s="408"/>
      <c r="X143" s="408"/>
      <c r="AB143" s="408"/>
      <c r="AC143" s="408"/>
      <c r="AD143" s="408"/>
      <c r="AE143" s="408"/>
      <c r="AF143" s="408"/>
      <c r="AG143" s="408"/>
    </row>
    <row r="144" ht="19.5" spans="1:33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K144" s="408"/>
      <c r="L144" s="408"/>
      <c r="M144" s="408"/>
      <c r="N144" s="408"/>
      <c r="O144" s="408"/>
      <c r="T144" s="408"/>
      <c r="U144" s="408"/>
      <c r="V144" s="408"/>
      <c r="W144" s="408"/>
      <c r="X144" s="408"/>
      <c r="AC144" s="408"/>
      <c r="AD144" s="408"/>
      <c r="AE144" s="408"/>
      <c r="AF144" s="408"/>
      <c r="AG144" s="408"/>
    </row>
    <row r="145" ht="19.5" spans="1:33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K145" s="408"/>
      <c r="L145" s="408"/>
      <c r="M145" s="408"/>
      <c r="N145" s="408"/>
      <c r="O145" s="408"/>
      <c r="T145" s="408"/>
      <c r="U145" s="408"/>
      <c r="V145" s="408"/>
      <c r="W145" s="408"/>
      <c r="X145" s="408"/>
      <c r="AC145" s="408"/>
      <c r="AD145" s="408"/>
      <c r="AE145" s="408"/>
      <c r="AF145" s="408"/>
      <c r="AG145" s="408"/>
    </row>
    <row r="146" ht="19.5" spans="1:33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K146" s="408"/>
      <c r="L146" s="408"/>
      <c r="M146" s="408"/>
      <c r="N146" s="408"/>
      <c r="O146" s="408"/>
      <c r="T146" s="408"/>
      <c r="U146" s="408"/>
      <c r="V146" s="408"/>
      <c r="W146" s="408"/>
      <c r="X146" s="408"/>
      <c r="AC146" s="408"/>
      <c r="AD146" s="408"/>
      <c r="AE146" s="408"/>
      <c r="AF146" s="408"/>
      <c r="AG146" s="408"/>
    </row>
    <row r="147" ht="21.75" spans="1:33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21268</v>
      </c>
      <c r="J147" s="408"/>
      <c r="K147" s="408"/>
      <c r="L147" s="408"/>
      <c r="M147" s="408"/>
      <c r="N147" s="408"/>
      <c r="O147" s="408"/>
      <c r="S147" s="408"/>
      <c r="T147" s="408"/>
      <c r="U147" s="408"/>
      <c r="V147" s="408"/>
      <c r="W147" s="408"/>
      <c r="X147" s="408"/>
      <c r="AB147" s="408"/>
      <c r="AC147" s="408"/>
      <c r="AD147" s="408"/>
      <c r="AE147" s="408"/>
      <c r="AF147" s="408"/>
      <c r="AG147" s="408"/>
    </row>
    <row r="148" ht="19.5" spans="1:33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0</v>
      </c>
      <c r="I148" s="239">
        <f>(H148-G81)/1.2</f>
        <v>-16890</v>
      </c>
      <c r="J148" s="408"/>
      <c r="K148" s="408"/>
      <c r="L148" s="408"/>
      <c r="M148" s="408"/>
      <c r="N148" s="408"/>
      <c r="O148" s="408"/>
      <c r="S148" s="408"/>
      <c r="T148" s="408"/>
      <c r="U148" s="408"/>
      <c r="V148" s="408"/>
      <c r="W148" s="408"/>
      <c r="X148" s="408"/>
      <c r="AB148" s="408"/>
      <c r="AC148" s="408"/>
      <c r="AD148" s="408"/>
      <c r="AE148" s="408"/>
      <c r="AF148" s="408"/>
      <c r="AG148" s="408"/>
    </row>
    <row r="149" spans="1:8">
      <c r="A149" s="245"/>
      <c r="B149" s="250"/>
      <c r="C149" s="250"/>
      <c r="D149" s="250"/>
      <c r="E149" s="262"/>
      <c r="F149" s="262"/>
      <c r="G149" s="262"/>
      <c r="H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408"/>
      <c r="K150" s="408"/>
      <c r="L150" s="408"/>
      <c r="M150" s="408"/>
      <c r="N150" s="408"/>
      <c r="O150" s="408"/>
      <c r="P150" s="408"/>
      <c r="Q150" s="408"/>
      <c r="S150" s="408"/>
      <c r="T150" s="408"/>
      <c r="U150" s="408"/>
      <c r="V150" s="408"/>
      <c r="W150" s="408"/>
      <c r="X150" s="408"/>
      <c r="Y150" s="408"/>
      <c r="Z150" s="408"/>
      <c r="AB150" s="408"/>
      <c r="AC150" s="408"/>
      <c r="AD150" s="408"/>
      <c r="AE150" s="408"/>
      <c r="AF150" s="408"/>
      <c r="AG150" s="408"/>
      <c r="AH150" s="408"/>
      <c r="AI150" s="408"/>
    </row>
    <row r="151" ht="20.25" spans="1:8">
      <c r="A151" s="245"/>
      <c r="B151" s="250"/>
      <c r="C151" s="250"/>
      <c r="D151" s="250"/>
      <c r="E151" s="262"/>
      <c r="F151" s="262"/>
      <c r="G151" s="262"/>
      <c r="H151" s="180"/>
    </row>
    <row r="152" ht="19.5" spans="1:35">
      <c r="A152" s="245" t="s">
        <v>176</v>
      </c>
      <c r="B152" s="250"/>
      <c r="C152" s="250"/>
      <c r="D152" s="262"/>
      <c r="E152" s="102" t="n">
        <v>0.0</v>
      </c>
      <c r="F152" s="102"/>
      <c r="G152" s="102" t="n">
        <v>0.0</v>
      </c>
      <c r="H152" s="102"/>
      <c r="N152" s="408"/>
      <c r="O152" s="408"/>
      <c r="P152" s="408"/>
      <c r="Q152" s="408"/>
      <c r="W152" s="408"/>
      <c r="X152" s="408"/>
      <c r="Y152" s="408"/>
      <c r="Z152" s="408"/>
      <c r="AF152" s="408"/>
      <c r="AG152" s="408"/>
      <c r="AH152" s="408"/>
      <c r="AI152" s="408"/>
    </row>
    <row r="153" ht="19.5" spans="1:35">
      <c r="A153" s="245" t="s">
        <v>177</v>
      </c>
      <c r="B153" s="250"/>
      <c r="C153" s="250"/>
      <c r="D153" s="262"/>
      <c r="E153" s="105">
        <f>G153</f>
        <v>0</v>
      </c>
      <c r="F153" s="105"/>
      <c r="G153" s="102" t="n">
        <v>0.0</v>
      </c>
      <c r="H153" s="102"/>
      <c r="N153" s="408"/>
      <c r="O153" s="408"/>
      <c r="P153" s="408"/>
      <c r="Q153" s="408"/>
      <c r="W153" s="408"/>
      <c r="X153" s="408"/>
      <c r="Y153" s="408"/>
      <c r="Z153" s="408"/>
      <c r="AF153" s="408"/>
      <c r="AG153" s="408"/>
      <c r="AH153" s="408"/>
      <c r="AI153" s="408"/>
    </row>
    <row r="154" spans="1:35">
      <c r="A154" s="245" t="s">
        <v>178</v>
      </c>
      <c r="B154" s="250"/>
      <c r="C154" s="250"/>
      <c r="D154" s="262"/>
      <c r="E154" s="105">
        <f>E152-E153</f>
        <v>0</v>
      </c>
      <c r="F154" s="105"/>
      <c r="G154" s="106">
        <f>G152-G153</f>
        <v>0</v>
      </c>
      <c r="H154" s="106"/>
      <c r="N154" s="408"/>
      <c r="O154" s="408"/>
      <c r="P154" s="408"/>
      <c r="Q154" s="408"/>
      <c r="W154" s="408"/>
      <c r="X154" s="408"/>
      <c r="Y154" s="408"/>
      <c r="Z154" s="408"/>
      <c r="AF154" s="408"/>
      <c r="AG154" s="408"/>
      <c r="AH154" s="408"/>
      <c r="AI154" s="408"/>
    </row>
    <row r="155" spans="1:33">
      <c r="A155" s="245" t="s">
        <v>179</v>
      </c>
      <c r="B155" s="250"/>
      <c r="C155" s="250"/>
      <c r="D155" s="262"/>
      <c r="E155" s="105">
        <f>E154-G154</f>
        <v>0</v>
      </c>
      <c r="F155" s="105"/>
      <c r="G155" s="262"/>
      <c r="H155" s="180"/>
      <c r="N155" s="408"/>
      <c r="O155" s="408"/>
      <c r="W155" s="408"/>
      <c r="X155" s="408"/>
      <c r="AF155" s="408"/>
      <c r="AG155" s="408"/>
    </row>
    <row r="156" ht="19.5" spans="1:8">
      <c r="A156" s="245"/>
      <c r="B156" s="250"/>
      <c r="C156" s="250"/>
      <c r="D156" s="262"/>
      <c r="E156" s="250"/>
      <c r="F156" s="262"/>
      <c r="G156" s="262"/>
      <c r="H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0</v>
      </c>
      <c r="H157" s="360"/>
      <c r="P157" s="408"/>
      <c r="Q157" s="408"/>
      <c r="Y157" s="408"/>
      <c r="Z157" s="408"/>
      <c r="AH157" s="408"/>
      <c r="AI157" s="408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21268</v>
      </c>
      <c r="H158" s="362"/>
      <c r="P158" s="408"/>
      <c r="Q158" s="408"/>
      <c r="Y158" s="408"/>
      <c r="Z158" s="408"/>
      <c r="AH158" s="408"/>
      <c r="AI158" s="408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P159" s="408"/>
      <c r="Q159" s="408"/>
      <c r="Y159" s="408"/>
      <c r="Z159" s="408"/>
      <c r="AH159" s="408"/>
      <c r="AI159" s="408"/>
    </row>
    <row r="160" spans="1:8">
      <c r="A160" s="245"/>
      <c r="B160" s="250"/>
      <c r="C160" s="250"/>
      <c r="D160" s="250"/>
      <c r="E160" s="262"/>
      <c r="F160" s="262"/>
      <c r="G160" s="262"/>
      <c r="H160" s="180"/>
    </row>
    <row r="161" spans="1:8">
      <c r="A161" s="245"/>
      <c r="B161" s="250"/>
      <c r="C161" s="250"/>
      <c r="D161" s="250"/>
      <c r="E161" s="262"/>
      <c r="F161" s="262"/>
      <c r="G161" s="262"/>
      <c r="H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408"/>
      <c r="K162" s="408"/>
      <c r="L162" s="408"/>
      <c r="M162" s="408"/>
      <c r="N162" s="408"/>
      <c r="O162" s="408"/>
      <c r="P162" s="408"/>
      <c r="Q162" s="408"/>
      <c r="S162" s="408"/>
      <c r="T162" s="408"/>
      <c r="U162" s="408"/>
      <c r="V162" s="408"/>
      <c r="W162" s="408"/>
      <c r="X162" s="408"/>
      <c r="Y162" s="408"/>
      <c r="Z162" s="408"/>
      <c r="AB162" s="408"/>
      <c r="AC162" s="408"/>
      <c r="AD162" s="408"/>
      <c r="AE162" s="408"/>
      <c r="AF162" s="408"/>
      <c r="AG162" s="408"/>
      <c r="AH162" s="408"/>
      <c r="AI162" s="408"/>
    </row>
    <row r="163" ht="19.5" spans="1:8">
      <c r="A163" s="245"/>
      <c r="B163" s="250"/>
      <c r="C163" s="250"/>
      <c r="D163" s="250"/>
      <c r="E163" s="262"/>
      <c r="F163" s="262"/>
      <c r="G163" s="262"/>
      <c r="H163" s="180"/>
    </row>
    <row r="164" spans="1:30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K164" s="408"/>
      <c r="L164" s="408"/>
      <c r="T164" s="408"/>
      <c r="U164" s="408"/>
      <c r="AC164" s="408"/>
      <c r="AD164" s="408"/>
    </row>
    <row r="165" spans="1:8">
      <c r="A165" s="245"/>
      <c r="B165" s="250"/>
      <c r="C165" s="250"/>
      <c r="D165" s="250"/>
      <c r="E165" s="262"/>
      <c r="F165" s="262"/>
      <c r="G165" s="262"/>
      <c r="H165" s="180"/>
    </row>
    <row r="166" spans="1:8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</row>
    <row r="167" spans="1:8">
      <c r="A167" s="398">
        <f>B95</f>
        <v>546.961609847631</v>
      </c>
      <c r="B167" s="126" t="str">
        <f>B94</f>
        <v>0</v>
      </c>
      <c r="C167" s="365"/>
      <c r="D167" s="365"/>
      <c r="E167" s="126">
        <f>B96</f>
        <v>546.961609847631</v>
      </c>
      <c r="F167" s="262"/>
      <c r="G167" s="262">
        <f>ROUND(G95,2)</f>
        <v>486.01</v>
      </c>
      <c r="H167" s="180"/>
    </row>
    <row r="168" spans="1:8">
      <c r="A168" s="245"/>
      <c r="B168" s="250"/>
      <c r="C168" s="250"/>
      <c r="D168" s="250"/>
      <c r="E168" s="262"/>
      <c r="F168" s="262"/>
      <c r="G168" s="262"/>
      <c r="H168" s="180"/>
    </row>
    <row r="169" spans="1:8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</row>
    <row r="170" spans="1:8">
      <c r="A170" s="270" t="str">
        <f>H29</f>
        <v>33</v>
      </c>
      <c r="B170" s="40" t="str">
        <f>H30</f>
        <v>5000</v>
      </c>
      <c r="C170" s="367"/>
      <c r="D170" s="262"/>
      <c r="E170" s="274" t="n">
        <v>6000.0</v>
      </c>
      <c r="F170" s="262"/>
      <c r="G170" s="262"/>
      <c r="H170" s="180"/>
    </row>
    <row r="171" spans="1:8">
      <c r="A171" s="245"/>
      <c r="B171" s="250"/>
      <c r="C171" s="250"/>
      <c r="D171" s="262"/>
      <c r="E171" s="250"/>
      <c r="F171" s="262"/>
      <c r="G171" s="262"/>
      <c r="H171" s="180"/>
    </row>
    <row r="172" spans="1:8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</row>
    <row r="173" spans="1:8">
      <c r="A173" s="132">
        <f>H141-H137-H139-H140</f>
        <v>17440</v>
      </c>
      <c r="B173" s="133">
        <f>H137</f>
        <v>3488</v>
      </c>
      <c r="C173" s="272"/>
      <c r="D173" s="262"/>
      <c r="E173" s="274">
        <f>H139+H140</f>
        <v>340</v>
      </c>
      <c r="F173" s="262"/>
      <c r="G173" s="262"/>
      <c r="H173" s="180"/>
    </row>
    <row r="174" spans="1:8">
      <c r="A174" s="245"/>
      <c r="B174" s="250"/>
      <c r="C174" s="250"/>
      <c r="D174" s="262"/>
      <c r="E174" s="250"/>
      <c r="F174" s="262"/>
      <c r="G174" s="262"/>
      <c r="H174" s="180"/>
    </row>
    <row r="175" spans="1:8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</row>
    <row r="176" spans="1:8">
      <c r="A176" s="132">
        <f>H147</f>
        <v>21268</v>
      </c>
      <c r="B176" s="133">
        <f>B111</f>
        <v>0</v>
      </c>
      <c r="C176" s="133"/>
      <c r="D176" s="262"/>
      <c r="E176" s="133">
        <f>E111</f>
        <v>0</v>
      </c>
      <c r="F176" s="262"/>
      <c r="G176" s="262"/>
      <c r="H176" s="141"/>
    </row>
    <row r="177" spans="1:8">
      <c r="A177" s="245"/>
      <c r="B177" s="250"/>
      <c r="C177" s="250"/>
      <c r="D177" s="262"/>
      <c r="E177" s="250"/>
      <c r="F177" s="262"/>
      <c r="G177" s="262"/>
      <c r="H177" s="180"/>
    </row>
    <row r="178" spans="1:8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</row>
    <row r="179" spans="1:8">
      <c r="A179" s="134">
        <f>B176+E176</f>
        <v>0</v>
      </c>
      <c r="B179" s="133">
        <f>G154</f>
        <v>0</v>
      </c>
      <c r="C179" s="133"/>
      <c r="D179" s="262"/>
      <c r="E179" s="133">
        <f>A176-A179-B179</f>
        <v>21268</v>
      </c>
      <c r="F179" s="262"/>
      <c r="G179" s="262"/>
      <c r="H179" s="141"/>
    </row>
    <row r="180" spans="1:8">
      <c r="A180" s="245"/>
      <c r="B180" s="250"/>
      <c r="C180" s="250"/>
      <c r="D180" s="262"/>
      <c r="E180" s="250"/>
      <c r="F180" s="262"/>
      <c r="G180" s="262"/>
      <c r="H180" s="180"/>
    </row>
    <row r="181" spans="1:8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</row>
    <row r="182" spans="1:8">
      <c r="A182" s="134">
        <f>(A167*B59)+E185-E179-A185</f>
        <v>3434.77151512419</v>
      </c>
      <c r="B182" s="133" t="str">
        <f>B114</f>
        <v>199.99</v>
      </c>
      <c r="C182" s="133"/>
      <c r="D182" s="262"/>
      <c r="E182" s="133">
        <f>E179+A182+(B182*1.2)+A185</f>
        <v>24952.7595151242</v>
      </c>
      <c r="F182" s="262"/>
      <c r="G182" s="262"/>
      <c r="H182" s="141"/>
    </row>
    <row r="183" spans="1:8">
      <c r="A183" s="245"/>
      <c r="B183" s="250"/>
      <c r="C183" s="250"/>
      <c r="D183" s="262"/>
      <c r="E183" s="250"/>
      <c r="F183" s="262"/>
      <c r="G183" s="262"/>
      <c r="H183" s="180"/>
    </row>
    <row r="184" spans="1:8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</row>
    <row r="185" spans="1:8">
      <c r="A185" s="134">
        <f>B60</f>
        <v>10</v>
      </c>
      <c r="B185" s="133">
        <f>A179+(B182*1.2)</f>
        <v>239.988</v>
      </c>
      <c r="C185" s="133"/>
      <c r="D185" s="262"/>
      <c r="E185" s="133">
        <f>E170+A185</f>
        <v>7210</v>
      </c>
      <c r="F185" s="262"/>
      <c r="G185" s="262"/>
      <c r="H185" s="141"/>
    </row>
    <row r="186" spans="1:8">
      <c r="A186" s="245"/>
      <c r="B186" s="250"/>
      <c r="C186" s="250"/>
      <c r="D186" s="250"/>
      <c r="E186" s="262"/>
      <c r="F186" s="262"/>
      <c r="G186" s="262"/>
      <c r="H186" s="180"/>
    </row>
    <row r="187" spans="1:8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</row>
    <row r="188" spans="1:8">
      <c r="A188" s="134">
        <f>J18*0.000002*100</f>
        <v>4.1856</v>
      </c>
      <c r="B188" s="133">
        <f>(G158*B67)/1.2</f>
        <v>166.15625</v>
      </c>
      <c r="C188" s="250"/>
      <c r="D188" s="250"/>
      <c r="E188" s="133">
        <f>IF(E105="YES",(H36*A108)*0.1,0)</f>
        <v>0</v>
      </c>
      <c r="F188" s="262"/>
      <c r="G188" s="262"/>
      <c r="H188" s="180"/>
    </row>
    <row r="189" spans="1:8">
      <c r="A189" s="134"/>
      <c r="B189" s="133"/>
      <c r="C189" s="250"/>
      <c r="D189" s="250"/>
      <c r="E189" s="262"/>
      <c r="F189" s="262"/>
      <c r="G189" s="262"/>
      <c r="H189" s="180"/>
    </row>
    <row r="190" spans="1:8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</row>
    <row r="191" spans="1:8">
      <c r="A191" s="134">
        <f>B182-100</f>
        <v>99.99</v>
      </c>
      <c r="B191" s="133">
        <f>B188+E188+A191</f>
        <v>266.14625</v>
      </c>
      <c r="C191" s="250"/>
      <c r="D191" s="250"/>
      <c r="E191" s="133">
        <f>H148</f>
        <v>0</v>
      </c>
      <c r="F191" s="262"/>
      <c r="G191" s="262"/>
      <c r="H191" s="180"/>
    </row>
    <row r="192" spans="1:8">
      <c r="A192" s="245"/>
      <c r="B192" s="250"/>
      <c r="C192" s="250"/>
      <c r="D192" s="250"/>
      <c r="E192" s="262"/>
      <c r="F192" s="262"/>
      <c r="G192" s="262"/>
      <c r="H192" s="180"/>
    </row>
    <row r="193" spans="1:8">
      <c r="A193" s="282" t="s">
        <v>204</v>
      </c>
      <c r="B193" s="250"/>
      <c r="C193" s="250"/>
      <c r="D193" s="283"/>
      <c r="E193" s="283"/>
      <c r="F193" s="283"/>
      <c r="G193" s="283"/>
      <c r="H193" s="284"/>
    </row>
    <row r="194" spans="1:8">
      <c r="A194" s="245"/>
      <c r="B194" s="285"/>
      <c r="C194" s="285"/>
      <c r="D194" s="250"/>
      <c r="E194" s="262"/>
      <c r="F194" s="262"/>
      <c r="G194" s="262"/>
      <c r="H194" s="180"/>
    </row>
    <row r="195" ht="21" spans="1:31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408"/>
      <c r="K195" s="408"/>
      <c r="L195" s="408"/>
      <c r="M195" s="408"/>
      <c r="S195" s="408"/>
      <c r="T195" s="408"/>
      <c r="U195" s="408"/>
      <c r="V195" s="408"/>
      <c r="AB195" s="408"/>
      <c r="AC195" s="408"/>
      <c r="AD195" s="408"/>
      <c r="AE195" s="408"/>
    </row>
    <row r="196" ht="19.5" customHeight="1" spans="1:31">
      <c r="A196" s="286"/>
      <c r="B196" s="288" t="str">
        <f>H30</f>
        <v>5000</v>
      </c>
      <c r="C196" s="288"/>
      <c r="D196" s="288"/>
      <c r="E196" s="262"/>
      <c r="F196" s="262"/>
      <c r="G196" s="262"/>
      <c r="H196" s="180"/>
      <c r="J196" s="408"/>
      <c r="K196" s="408"/>
      <c r="L196" s="408"/>
      <c r="M196" s="408"/>
      <c r="S196" s="408"/>
      <c r="T196" s="408"/>
      <c r="U196" s="408"/>
      <c r="V196" s="408"/>
      <c r="AB196" s="408"/>
      <c r="AC196" s="408"/>
      <c r="AD196" s="408"/>
      <c r="AE196" s="408"/>
    </row>
    <row r="197" ht="19.5" spans="1:31">
      <c r="A197" s="289" t="str">
        <f>H29</f>
        <v>33</v>
      </c>
      <c r="B197" s="71">
        <f>B96</f>
        <v>546.961609847631</v>
      </c>
      <c r="C197" s="71"/>
      <c r="D197" s="71"/>
      <c r="E197" s="262"/>
      <c r="F197" s="262"/>
      <c r="G197" s="262"/>
      <c r="H197" s="180"/>
      <c r="K197" s="408"/>
      <c r="L197" s="408"/>
      <c r="M197" s="408"/>
      <c r="T197" s="408"/>
      <c r="U197" s="408"/>
      <c r="V197" s="408"/>
      <c r="AC197" s="408"/>
      <c r="AD197" s="408"/>
      <c r="AE197" s="408"/>
    </row>
    <row r="198" spans="1:8">
      <c r="A198" s="245"/>
      <c r="B198" s="250"/>
      <c r="C198" s="250"/>
      <c r="D198" s="250"/>
      <c r="E198" s="262"/>
      <c r="F198" s="262"/>
      <c r="G198" s="262"/>
      <c r="H198" s="180"/>
    </row>
    <row r="199" spans="1:8">
      <c r="A199" s="245"/>
      <c r="B199" s="250"/>
      <c r="C199" s="250"/>
      <c r="D199" s="250"/>
      <c r="E199" s="262"/>
      <c r="F199" s="262"/>
      <c r="G199" s="262"/>
      <c r="H199" s="180"/>
    </row>
    <row r="200" spans="1:8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</row>
    <row r="201" spans="1:8">
      <c r="A201" s="267">
        <f>(G167*B59)+E185-E179-A185</f>
        <v>1484.32</v>
      </c>
      <c r="B201" s="272">
        <f>E179+A201+(B182*1.2)+A185</f>
        <v>23002.308</v>
      </c>
      <c r="C201" s="250"/>
      <c r="D201" s="250"/>
      <c r="E201" s="262"/>
      <c r="F201" s="262"/>
      <c r="G201" s="262"/>
      <c r="H201" s="180"/>
    </row>
    <row r="202" ht="19.5" spans="1:8">
      <c r="A202" s="275"/>
      <c r="B202" s="276"/>
      <c r="C202" s="276"/>
      <c r="D202" s="276"/>
      <c r="E202" s="276"/>
      <c r="F202" s="276"/>
      <c r="G202" s="276"/>
      <c r="H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 t="str">
        <f>A197</f>
        <v>33</v>
      </c>
      <c r="C209" s="365"/>
      <c r="D209" s="365"/>
      <c r="E209" s="365" t="str">
        <f>B196</f>
        <v>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546.961609847631</v>
      </c>
      <c r="B212" s="126" t="str">
        <f>B167</f>
        <v>0</v>
      </c>
      <c r="C212" s="365"/>
      <c r="D212" s="365"/>
      <c r="E212" s="126">
        <f>E167</f>
        <v>546.961609847631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17440</v>
      </c>
      <c r="B215" s="133">
        <f>B173</f>
        <v>3488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21268</v>
      </c>
      <c r="B218" s="133">
        <f>B176</f>
        <v>0</v>
      </c>
      <c r="C218" s="133"/>
      <c r="D218" s="291"/>
      <c r="E218" s="133">
        <f>E176</f>
        <v>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0</v>
      </c>
      <c r="B221" s="133">
        <f>B179</f>
        <v>0</v>
      </c>
      <c r="C221" s="133"/>
      <c r="D221" s="291"/>
      <c r="E221" s="133">
        <f>E179</f>
        <v>21268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3434.77151512419</v>
      </c>
      <c r="B224" s="133" t="str">
        <f>B182</f>
        <v>199.99</v>
      </c>
      <c r="C224" s="133"/>
      <c r="D224" s="291"/>
      <c r="E224" s="133">
        <f>E182</f>
        <v>24952.7595151242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239.988</v>
      </c>
      <c r="C227" s="133"/>
      <c r="D227" s="291"/>
      <c r="E227" s="133">
        <f>B59</f>
        <v>32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546.961609847631</v>
      </c>
      <c r="B230" s="133" t="str">
        <f>B167</f>
        <v>0</v>
      </c>
      <c r="C230" s="272"/>
      <c r="D230" s="272"/>
      <c r="E230" s="133">
        <f>E167</f>
        <v>546.961609847631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7200</v>
      </c>
      <c r="B233" s="133">
        <f>E185</f>
        <v>7210</v>
      </c>
      <c r="C233" s="250"/>
      <c r="D233" s="250"/>
      <c r="E233" s="133">
        <f>A188</f>
        <v>4.1856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0</v>
      </c>
      <c r="B240" s="133">
        <f>B188</f>
        <v>166.15625</v>
      </c>
      <c r="C240" s="250"/>
      <c r="D240" s="250"/>
      <c r="E240" s="133">
        <f>IF(E105="YES",(H36*A108)*0.1,0)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266.14625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B63</f>
        <v>0.065</v>
      </c>
      <c r="C253" s="376"/>
      <c r="D253" s="377" t="s">
        <v>216</v>
      </c>
      <c r="E253" s="377"/>
      <c r="F253" s="375">
        <f>B83</f>
        <v>0.115</v>
      </c>
      <c r="G253" s="262"/>
      <c r="H253" s="180"/>
    </row>
    <row r="254" spans="1:8">
      <c r="A254" s="370" t="s">
        <v>217</v>
      </c>
      <c r="B254" s="378">
        <f>(E182-B182)-(B201-B182-A185)</f>
        <v>1960.45151512419</v>
      </c>
      <c r="C254" s="376"/>
      <c r="D254" s="377" t="s">
        <v>218</v>
      </c>
      <c r="E254" s="377"/>
      <c r="F254" s="378">
        <f>F261+F267+F269+B270+B271</f>
        <v>199.3875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1861.05401512419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0.115</v>
      </c>
      <c r="C260" s="388"/>
      <c r="D260" s="105" t="s">
        <v>217</v>
      </c>
      <c r="E260" s="105"/>
      <c r="F260" s="389">
        <f>B254</f>
        <v>1960.45151512419</v>
      </c>
      <c r="G260" s="262"/>
      <c r="H260" s="180"/>
    </row>
    <row r="261" ht="19.5" spans="1:8">
      <c r="A261" s="245" t="s">
        <v>223</v>
      </c>
      <c r="B261" s="387">
        <f>B67</f>
        <v>0.009375</v>
      </c>
      <c r="C261" s="368"/>
      <c r="D261" s="105" t="s">
        <v>223</v>
      </c>
      <c r="E261" s="105"/>
      <c r="F261" s="144">
        <f>B68</f>
        <v>199.3875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1861.05401512419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1:A52"/>
    <mergeCell ref="A195:A196"/>
    <mergeCell ref="J195:J196"/>
    <mergeCell ref="S195:S196"/>
    <mergeCell ref="AB195:AB196"/>
  </mergeCells>
  <dataValidations count="5">
    <dataValidation type="list" allowBlank="1" showErrorMessage="1" sqref="A32">
      <formula1>'FL (Formula 3) - BCH'!$Z$103:$Z$111</formula1>
    </dataValidation>
    <dataValidation type="list" allowBlank="1" showErrorMessage="1" sqref="B38">
      <formula1>$Z$19:$Z$20</formula1>
    </dataValidation>
    <dataValidation type="list" allowBlank="1" showInputMessage="1" showErrorMessage="1" sqref="B105 C108:D108 A18:A20 A144:A146">
      <formula1>#REF!</formula1>
    </dataValidation>
    <dataValidation type="list" allowBlank="1" showInputMessage="1" showErrorMessage="1" sqref="E105 A111">
      <formula1>"YES,NO"</formula1>
    </dataValidation>
    <dataValidation type="list" allowBlank="1" showInputMessage="1" showErrorMessage="1" sqref="B108">
      <formula1>"A1 Credit,Limited Credit"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200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5" customWidth="true" style="239" width="18.8833333333333"/>
    <col min="6" max="6" customWidth="true" style="239" width="31.9166666666667"/>
    <col min="7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 t="n">
        <v>46854.17</v>
      </c>
      <c r="C3" s="246">
        <v>0</v>
      </c>
      <c r="D3" s="246" t="n">
        <v>0.0</v>
      </c>
      <c r="E3" s="246"/>
      <c r="F3" s="246" t="n">
        <v>833.33</v>
      </c>
      <c r="G3" s="246"/>
      <c r="H3" s="247">
        <v>0</v>
      </c>
      <c r="I3" s="240"/>
      <c r="J3" s="240"/>
    </row>
    <row r="4" spans="1:10">
      <c r="A4" s="245" t="s">
        <v>152</v>
      </c>
      <c r="B4" s="248" t="n">
        <v>0.0</v>
      </c>
      <c r="C4" s="248">
        <v>0</v>
      </c>
      <c r="D4" s="248" t="n">
        <v>0.0</v>
      </c>
      <c r="E4" s="248"/>
      <c r="F4" s="248" t="n">
        <v>0.0</v>
      </c>
      <c r="G4" s="248"/>
      <c r="H4" s="249"/>
      <c r="I4" s="240"/>
      <c r="J4" s="240"/>
    </row>
    <row r="5" spans="1:10">
      <c r="A5" s="245" t="s">
        <v>153</v>
      </c>
      <c r="B5" s="246" t="n">
        <v>0.0</v>
      </c>
      <c r="C5" s="246">
        <v>0</v>
      </c>
      <c r="D5" s="246" t="n">
        <v>0.0</v>
      </c>
      <c r="E5" s="246"/>
      <c r="F5" s="246" t="n">
        <v>0.0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K9" s="239" t="s">
        <v>18</v>
      </c>
      <c r="L9" s="82"/>
      <c r="M9" s="82"/>
    </row>
    <row r="10" spans="1:13">
      <c r="A10" s="254" t="s">
        <v>164</v>
      </c>
      <c r="B10" s="254"/>
      <c r="C10" s="254"/>
      <c r="D10" s="254"/>
      <c r="E10" s="254">
        <v>550</v>
      </c>
      <c r="F10" s="254"/>
      <c r="G10" s="35"/>
      <c r="H10" s="247" t="n">
        <v>550.0</v>
      </c>
      <c r="I10" s="240"/>
      <c r="J10" s="240"/>
      <c r="K10" s="239" t="s">
        <v>19</v>
      </c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 t="n">
        <v>585.0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 t="n">
        <v>65.0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0</v>
      </c>
      <c r="F16" s="254"/>
      <c r="G16" s="35"/>
      <c r="H16" s="247" t="n">
        <v>0.0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>
        <v>0</v>
      </c>
      <c r="F20" s="257"/>
      <c r="G20" s="105"/>
      <c r="H20" s="258" t="n">
        <v>0.0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28</v>
      </c>
      <c r="K29" s="304" t="n">
        <v>35.0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 t="n">
        <v>35000.0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 t="n">
        <v>3945.0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/>
      <c r="J32" s="300" t="s">
        <v>36</v>
      </c>
      <c r="K32" s="214" t="n">
        <v>0.0</v>
      </c>
      <c r="P32" s="273"/>
    </row>
    <row r="33" ht="36.75" spans="1:16">
      <c r="A33" s="270">
        <f>A52</f>
        <v>35</v>
      </c>
      <c r="B33" s="44">
        <f>B51</f>
        <v>35000</v>
      </c>
      <c r="C33" s="250"/>
      <c r="D33" s="250"/>
      <c r="E33" s="44">
        <f>K48</f>
        <v>530.923798505743</v>
      </c>
      <c r="F33" s="44"/>
      <c r="G33" s="44"/>
      <c r="H33" s="271"/>
      <c r="I33" s="240"/>
      <c r="J33" s="302" t="s">
        <v>355</v>
      </c>
      <c r="K33" s="306">
        <f>H21-H11+(H16*20%)</f>
        <v>17780</v>
      </c>
      <c r="L33" s="239">
        <f>H21-H11+(H16*20%)</f>
        <v>17780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 t="n">
        <v>0.07</v>
      </c>
      <c r="P35" s="273"/>
    </row>
    <row r="36" spans="1:16">
      <c r="A36" s="132">
        <f>K47</f>
        <v>530.923798505743</v>
      </c>
      <c r="B36" s="44" t="str">
        <f>IF(B26="YES",K42,"0.00")</f>
        <v>0.00</v>
      </c>
      <c r="C36" s="44"/>
      <c r="D36" s="44"/>
      <c r="E36" s="44">
        <f>K31</f>
        <v>1503</v>
      </c>
      <c r="F36" s="44"/>
      <c r="G36" s="44"/>
      <c r="H36" s="271"/>
      <c r="I36" s="240"/>
      <c r="J36" s="240" t="s">
        <v>50</v>
      </c>
      <c r="K36" s="240">
        <f>K29</f>
        <v>35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17780</v>
      </c>
      <c r="L39" s="240">
        <f>(L47*K46)+K44</f>
        <v>26276.1847895144</v>
      </c>
      <c r="N39" s="239">
        <f>K39-L39</f>
        <v>-8496.18478951443</v>
      </c>
      <c r="P39" s="273"/>
    </row>
    <row r="40" ht="19.5" spans="1:16">
      <c r="A40" s="102" t="n">
        <f>E36*A45/100</f>
        <v>0.0</v>
      </c>
      <c r="B40" s="102" t="str">
        <f>IF(B26="YES",K42,"0.00")</f>
        <v>0.00</v>
      </c>
      <c r="C40" s="102"/>
      <c r="D40" s="102"/>
      <c r="E40" s="274">
        <f>K32</f>
        <v>0</v>
      </c>
      <c r="F40" s="272"/>
      <c r="G40" s="272"/>
      <c r="H40" s="271"/>
      <c r="J40" s="240" t="s">
        <v>107</v>
      </c>
      <c r="K40" s="240">
        <f>(A40)/1.2</f>
        <v>1252.5</v>
      </c>
      <c r="L40" s="240">
        <f>K39-L39</f>
        <v>-8496.18478951443</v>
      </c>
      <c r="N40" s="239">
        <f>N38-N39</f>
        <v>11407.8647895144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(K32/K36)*C45/100</f>
        <v>0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1015.87639410025</v>
      </c>
      <c r="L44" s="240"/>
      <c r="P44" s="273"/>
    </row>
    <row r="45" ht="19.5" spans="1:16">
      <c r="A45" s="395" t="n">
        <v>100.0</v>
      </c>
      <c r="B45" s="250"/>
      <c r="C45" s="396" t="n">
        <v>100.0</v>
      </c>
      <c r="D45" s="396"/>
      <c r="E45" s="396"/>
      <c r="F45" s="250"/>
      <c r="G45" s="250"/>
      <c r="H45" s="180"/>
      <c r="J45" s="240" t="s">
        <v>366</v>
      </c>
      <c r="K45" s="240">
        <f>(K39-K44)</f>
        <v>16764.1236058997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31.5753854942677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530.923798505743</v>
      </c>
      <c r="L47" s="240">
        <f>L49-K42</f>
        <v>800</v>
      </c>
      <c r="M47" s="239">
        <f>K47-L47</f>
        <v>-269.076201494257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530.923798505743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35000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35</v>
      </c>
      <c r="B52" s="71">
        <f>K48</f>
        <v>530.923798505743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34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34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34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34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 t="n">
        <v>10.0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20928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20928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20928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20928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 t="n">
        <v>0.0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 t="n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 t="n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7431.3102273373</v>
      </c>
      <c r="C65" s="250"/>
      <c r="D65" s="250"/>
      <c r="E65" s="291"/>
      <c r="F65" s="291"/>
      <c r="G65" s="291"/>
      <c r="H65" s="180"/>
      <c r="J65" s="275" t="s">
        <v>91</v>
      </c>
      <c r="K65" s="281">
        <f>(K89*K59)-(K47*K29)</f>
        <v>31086.2555254576</v>
      </c>
      <c r="L65" s="250"/>
      <c r="M65" s="250"/>
      <c r="N65" s="291"/>
      <c r="O65" s="291"/>
      <c r="P65" s="291"/>
      <c r="Q65" s="180"/>
      <c r="S65" s="275" t="s">
        <v>91</v>
      </c>
      <c r="T65" s="281">
        <f>(T89*T59)-(K47*K29)</f>
        <v>904.957364501752</v>
      </c>
      <c r="U65" s="250"/>
      <c r="V65" s="250"/>
      <c r="W65" s="291"/>
      <c r="X65" s="291"/>
      <c r="Y65" s="291"/>
      <c r="Z65" s="180"/>
      <c r="AB65" s="275" t="s">
        <v>91</v>
      </c>
      <c r="AC65" s="281">
        <f>(AC89*AC59)-(K47*K29)</f>
        <v>904.957364501752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 t="n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0.00979166666666667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0.0739583333333333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0.00979166666666667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0.00979166666666667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187.84989375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1547.8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204.92</v>
      </c>
      <c r="U68" s="250"/>
      <c r="V68" s="250"/>
      <c r="W68" s="291"/>
      <c r="X68" s="291"/>
      <c r="Y68" s="291"/>
      <c r="Z68" s="180"/>
      <c r="AB68" s="275" t="s">
        <v>94</v>
      </c>
      <c r="AC68" s="281">
        <f>AH158*AC67</f>
        <v>168.754479166667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B73*K29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50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50"/>
      <c r="G77" s="250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530.923798505743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530.923798505743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530.923798505743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530.923798505743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23021.604</v>
      </c>
      <c r="C81" s="250"/>
      <c r="D81" s="250"/>
      <c r="E81" s="291"/>
      <c r="F81" s="264" t="s">
        <v>106</v>
      </c>
      <c r="G81" s="266">
        <f>G158</f>
        <v>23021.604</v>
      </c>
      <c r="H81" s="180"/>
      <c r="J81" s="264" t="s">
        <v>106</v>
      </c>
      <c r="K81" s="266">
        <f>P158</f>
        <v>36519.004</v>
      </c>
      <c r="L81" s="250"/>
      <c r="M81" s="250"/>
      <c r="N81" s="291"/>
      <c r="O81" s="291"/>
      <c r="P81" s="291"/>
      <c r="Q81" s="180"/>
      <c r="S81" s="264" t="s">
        <v>106</v>
      </c>
      <c r="T81" s="266">
        <f>Y158</f>
        <v>17234.5</v>
      </c>
      <c r="U81" s="250"/>
      <c r="V81" s="250"/>
      <c r="W81" s="291"/>
      <c r="X81" s="291"/>
      <c r="Y81" s="291"/>
      <c r="Z81" s="180"/>
      <c r="AB81" s="264" t="s">
        <v>106</v>
      </c>
      <c r="AC81" s="266">
        <f>AH158</f>
        <v>17234.5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1503</v>
      </c>
      <c r="C82" s="250"/>
      <c r="D82" s="250"/>
      <c r="E82" s="291"/>
      <c r="F82" s="245" t="s">
        <v>107</v>
      </c>
      <c r="G82" s="180">
        <f>IF(A111="YES",A40,0)</f>
        <v>1503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1503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1503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317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34</v>
      </c>
      <c r="C85" s="250"/>
      <c r="D85" s="250"/>
      <c r="E85" s="291"/>
      <c r="F85" s="245" t="s">
        <v>110</v>
      </c>
      <c r="G85" s="180">
        <f>IF(G82=0,(B59+B58),(B59))</f>
        <v>34</v>
      </c>
      <c r="H85" s="180"/>
      <c r="J85" s="245" t="s">
        <v>110</v>
      </c>
      <c r="K85" s="180">
        <f>IF(K82=0,(K59+K58),(K59))</f>
        <v>35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34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34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1060.98904128267</v>
      </c>
      <c r="C86" s="250"/>
      <c r="D86" s="250"/>
      <c r="E86" s="291"/>
      <c r="F86" s="245" t="s">
        <v>111</v>
      </c>
      <c r="G86" s="180">
        <f>(G82/((1+G84)^(G85+1)))</f>
        <v>1226.16280767901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1027.83049031138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1027.83049031138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28.7026658885233</v>
      </c>
      <c r="C87" s="250"/>
      <c r="D87" s="250"/>
      <c r="E87" s="291"/>
      <c r="F87" s="245" t="s">
        <v>112</v>
      </c>
      <c r="G87" s="180">
        <f>((1-(1/((1+G84)^G85)))/G84)</f>
        <v>30.7595752429843</v>
      </c>
      <c r="H87" s="180"/>
      <c r="J87" s="245" t="s">
        <v>112</v>
      </c>
      <c r="K87" s="180">
        <f>((1-(1/((1+K84)^K85)))/K84)</f>
        <v>24.9986193320352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28.2762125724768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28.2762125724768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21960.6149587173</v>
      </c>
      <c r="C88" s="250"/>
      <c r="D88" s="250"/>
      <c r="E88" s="291"/>
      <c r="F88" s="245" t="s">
        <v>113</v>
      </c>
      <c r="G88" s="180">
        <f>G81-G86</f>
        <v>21795.441192321</v>
      </c>
      <c r="H88" s="180"/>
      <c r="J88" s="245" t="s">
        <v>113</v>
      </c>
      <c r="K88" s="180">
        <f>K81-K86</f>
        <v>36519.004</v>
      </c>
      <c r="L88" s="250"/>
      <c r="M88" s="250"/>
      <c r="N88" s="291"/>
      <c r="O88" s="291"/>
      <c r="P88" s="291"/>
      <c r="Q88" s="180"/>
      <c r="S88" s="245" t="s">
        <v>113</v>
      </c>
      <c r="T88" s="180">
        <f>T81-T86</f>
        <v>16206.6695096886</v>
      </c>
      <c r="U88" s="250"/>
      <c r="V88" s="250"/>
      <c r="W88" s="291"/>
      <c r="X88" s="291"/>
      <c r="Y88" s="291"/>
      <c r="Z88" s="180"/>
      <c r="AB88" s="245" t="s">
        <v>113</v>
      </c>
      <c r="AC88" s="180">
        <f>AC81-AC86</f>
        <v>16206.6695096886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765.107152207009</v>
      </c>
      <c r="C89" s="250"/>
      <c r="D89" s="250"/>
      <c r="E89" s="291"/>
      <c r="F89" s="245" t="s">
        <v>114</v>
      </c>
      <c r="G89" s="180">
        <f>(G88/G87)</f>
        <v>708.574192593643</v>
      </c>
      <c r="H89" s="180"/>
      <c r="J89" s="245" t="s">
        <v>114</v>
      </c>
      <c r="K89" s="180">
        <f>(K88/K87)</f>
        <v>1460.84083744584</v>
      </c>
      <c r="L89" s="250"/>
      <c r="M89" s="250"/>
      <c r="N89" s="291"/>
      <c r="O89" s="291"/>
      <c r="P89" s="291"/>
      <c r="Q89" s="180"/>
      <c r="S89" s="245" t="s">
        <v>114</v>
      </c>
      <c r="T89" s="180">
        <f>(T88/T87)</f>
        <v>573.155597417728</v>
      </c>
      <c r="U89" s="250"/>
      <c r="V89" s="250"/>
      <c r="W89" s="291"/>
      <c r="X89" s="291"/>
      <c r="Y89" s="291"/>
      <c r="Z89" s="180"/>
      <c r="AB89" s="245" t="s">
        <v>114</v>
      </c>
      <c r="AC89" s="180">
        <f>(AC88/AC87)</f>
        <v>573.155597417728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26013.6431750383</v>
      </c>
      <c r="C90" s="250"/>
      <c r="D90" s="250"/>
      <c r="E90" s="291"/>
      <c r="F90" s="245" t="s">
        <v>115</v>
      </c>
      <c r="G90" s="180">
        <f>((G89*(G85))+G77)</f>
        <v>24091.5225481838</v>
      </c>
      <c r="H90" s="180"/>
      <c r="J90" s="245" t="s">
        <v>115</v>
      </c>
      <c r="K90" s="180">
        <f>((K89*(K85))+K77)</f>
        <v>51129.4293106044</v>
      </c>
      <c r="L90" s="250"/>
      <c r="M90" s="250"/>
      <c r="N90" s="291"/>
      <c r="O90" s="291"/>
      <c r="P90" s="291"/>
      <c r="Q90" s="180"/>
      <c r="S90" s="245" t="s">
        <v>115</v>
      </c>
      <c r="T90" s="180">
        <f>(T89*(T85))+T77</f>
        <v>19487.2903122027</v>
      </c>
      <c r="U90" s="250"/>
      <c r="V90" s="250"/>
      <c r="W90" s="291"/>
      <c r="X90" s="291"/>
      <c r="Y90" s="291"/>
      <c r="Z90" s="180"/>
      <c r="AB90" s="245" t="s">
        <v>115</v>
      </c>
      <c r="AC90" s="180">
        <f>(AC89*(AC59))+AC77</f>
        <v>19487.2903122027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(((B89*(B85))+B77)/(1-B71))*B71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>
        <f>(K90/(1-K71))*K71</f>
        <v>0</v>
      </c>
      <c r="L91" s="250"/>
      <c r="M91" s="250"/>
      <c r="N91" s="291"/>
      <c r="O91" s="291"/>
      <c r="P91" s="291"/>
      <c r="Q91" s="180"/>
      <c r="S91" s="245" t="s">
        <v>116</v>
      </c>
      <c r="T91" s="180">
        <f>(T90/(1-T71))*T71</f>
        <v>0</v>
      </c>
      <c r="U91" s="250"/>
      <c r="V91" s="250"/>
      <c r="W91" s="291"/>
      <c r="X91" s="291"/>
      <c r="Y91" s="291"/>
      <c r="Z91" s="180"/>
      <c r="AB91" s="245" t="s">
        <v>116</v>
      </c>
      <c r="AC91" s="180">
        <f>(AC90/(1-AC71))*AC71</f>
        <v>0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26013.6431750383</v>
      </c>
      <c r="C92" s="250"/>
      <c r="D92" s="250"/>
      <c r="E92" s="291"/>
      <c r="F92" s="275" t="s">
        <v>117</v>
      </c>
      <c r="G92" s="281">
        <f>(G90+G91)</f>
        <v>24091.5225481838</v>
      </c>
      <c r="H92" s="180"/>
      <c r="J92" s="275" t="s">
        <v>117</v>
      </c>
      <c r="K92" s="281">
        <f>(K90+K91)</f>
        <v>51129.4293106044</v>
      </c>
      <c r="L92" s="250"/>
      <c r="M92" s="250"/>
      <c r="N92" s="291"/>
      <c r="O92" s="291"/>
      <c r="P92" s="291"/>
      <c r="Q92" s="180"/>
      <c r="S92" s="275" t="s">
        <v>117</v>
      </c>
      <c r="T92" s="281">
        <f>(T90+T91)</f>
        <v>19487.2903122027</v>
      </c>
      <c r="U92" s="250"/>
      <c r="V92" s="250"/>
      <c r="W92" s="291"/>
      <c r="X92" s="291"/>
      <c r="Y92" s="291"/>
      <c r="Z92" s="180"/>
      <c r="AB92" s="275" t="s">
        <v>117</v>
      </c>
      <c r="AC92" s="281">
        <f>(AC90+AC91)</f>
        <v>19487.2903122027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8" t="str">
        <f>IF(B26="YES",((E40/B85)*(1+A108)*(C45/100)),"0")</f>
        <v>0</v>
      </c>
      <c r="C94" s="250"/>
      <c r="D94" s="250"/>
      <c r="E94" s="291"/>
      <c r="F94" s="314" t="s">
        <v>118</v>
      </c>
      <c r="G94" s="318" t="str">
        <f>IF(B26="YES",((E40/B85)*(1+A108)*(C45/100)),"0")</f>
        <v>0</v>
      </c>
      <c r="H94" s="180"/>
      <c r="J94" s="314" t="s">
        <v>118</v>
      </c>
      <c r="K94" s="315">
        <f>((E40/K85)*(1+J108))*1.2</f>
        <v>0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0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0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765.107152207009</v>
      </c>
      <c r="C95" s="250"/>
      <c r="D95" s="250"/>
      <c r="E95" s="291"/>
      <c r="F95" s="319" t="s">
        <v>119</v>
      </c>
      <c r="G95" s="320">
        <f>G92/(G85)</f>
        <v>708.574192593643</v>
      </c>
      <c r="H95" s="180"/>
      <c r="J95" s="319" t="s">
        <v>119</v>
      </c>
      <c r="K95" s="320">
        <f>K92/(K85)</f>
        <v>1460.84083744584</v>
      </c>
      <c r="L95" s="250"/>
      <c r="M95" s="250"/>
      <c r="N95" s="291"/>
      <c r="O95" s="291"/>
      <c r="P95" s="291"/>
      <c r="Q95" s="180"/>
      <c r="S95" s="319" t="s">
        <v>119</v>
      </c>
      <c r="T95" s="320">
        <f>T92/(T85)</f>
        <v>573.155597417728</v>
      </c>
      <c r="U95" s="250"/>
      <c r="V95" s="250"/>
      <c r="W95" s="291"/>
      <c r="X95" s="291"/>
      <c r="Y95" s="291"/>
      <c r="Z95" s="180"/>
      <c r="AB95" s="319" t="s">
        <v>119</v>
      </c>
      <c r="AC95" s="320">
        <f>AC92/(AC59)</f>
        <v>573.155597417728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B94+B95</f>
        <v>765.107152207009</v>
      </c>
      <c r="C96" s="250"/>
      <c r="D96" s="250"/>
      <c r="E96" s="291"/>
      <c r="F96" s="321" t="s">
        <v>120</v>
      </c>
      <c r="G96" s="322">
        <f>G94+G95</f>
        <v>708.574192593643</v>
      </c>
      <c r="H96" s="180"/>
      <c r="J96" s="321" t="s">
        <v>120</v>
      </c>
      <c r="K96" s="322">
        <f>(K94+K95)</f>
        <v>1460.84083744584</v>
      </c>
      <c r="L96" s="250"/>
      <c r="M96" s="250"/>
      <c r="N96" s="291"/>
      <c r="O96" s="291"/>
      <c r="P96" s="291"/>
      <c r="Q96" s="180"/>
      <c r="S96" s="321" t="s">
        <v>120</v>
      </c>
      <c r="T96" s="322">
        <f>T94+T95</f>
        <v>573.155597417728</v>
      </c>
      <c r="U96" s="250"/>
      <c r="V96" s="250"/>
      <c r="W96" s="291"/>
      <c r="X96" s="291"/>
      <c r="Y96" s="291"/>
      <c r="Z96" s="180"/>
      <c r="AB96" s="321" t="s">
        <v>120</v>
      </c>
      <c r="AC96" s="322">
        <f>AC94+AC95</f>
        <v>573.155597417728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122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397" t="s">
        <v>19</v>
      </c>
      <c r="F105" s="397"/>
      <c r="G105" s="397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 t="n">
        <v>0.2</v>
      </c>
      <c r="B108" s="102" t="s">
        <v>272</v>
      </c>
      <c r="C108" s="102"/>
      <c r="D108" s="102">
        <v>0</v>
      </c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 t="n">
        <v>1000.0</v>
      </c>
      <c r="C111" s="102"/>
      <c r="D111" s="102"/>
      <c r="E111" s="102" t="n">
        <v>1000.0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16745</v>
      </c>
      <c r="L121" s="336">
        <v>28629.17</v>
      </c>
      <c r="M121" s="335">
        <f>D3</f>
        <v>0</v>
      </c>
      <c r="N121" s="336">
        <f>M121</f>
        <v>0</v>
      </c>
      <c r="O121" s="335">
        <f>F3</f>
        <v>0</v>
      </c>
      <c r="P121" s="336">
        <f>O121</f>
        <v>0</v>
      </c>
      <c r="Q121" s="337">
        <f>H3</f>
        <v>0</v>
      </c>
      <c r="S121" s="264" t="s">
        <v>151</v>
      </c>
      <c r="T121" s="335">
        <f>B3</f>
        <v>16745</v>
      </c>
      <c r="U121" s="336">
        <f>T121</f>
        <v>16745</v>
      </c>
      <c r="V121" s="335">
        <f>D3</f>
        <v>0</v>
      </c>
      <c r="W121" s="336">
        <f>V121</f>
        <v>0</v>
      </c>
      <c r="X121" s="335">
        <f>F3</f>
        <v>0</v>
      </c>
      <c r="Y121" s="336">
        <f>X121</f>
        <v>0</v>
      </c>
      <c r="Z121" s="337">
        <f>H3</f>
        <v>0</v>
      </c>
      <c r="AB121" s="264" t="s">
        <v>151</v>
      </c>
      <c r="AC121" s="335">
        <f>B3</f>
        <v>16745</v>
      </c>
      <c r="AD121" s="336">
        <f>AC121</f>
        <v>16745</v>
      </c>
      <c r="AE121" s="335">
        <f>D3</f>
        <v>0</v>
      </c>
      <c r="AF121" s="336">
        <f>AE121</f>
        <v>0</v>
      </c>
      <c r="AG121" s="335">
        <f>F3</f>
        <v>0</v>
      </c>
      <c r="AH121" s="336">
        <f>AG121</f>
        <v>0</v>
      </c>
      <c r="AI121" s="337">
        <f>H3</f>
        <v>0</v>
      </c>
    </row>
    <row r="122" ht="19.5" spans="1:35">
      <c r="A122" s="245" t="s">
        <v>152</v>
      </c>
      <c r="B122" s="338">
        <f>B4</f>
        <v>0</v>
      </c>
      <c r="C122" s="248" t="n">
        <v>0.0</v>
      </c>
      <c r="D122" s="338">
        <f>D4</f>
        <v>0</v>
      </c>
      <c r="E122" s="248" t="n">
        <v>0.0</v>
      </c>
      <c r="F122" s="338">
        <f>F4</f>
        <v>0</v>
      </c>
      <c r="G122" s="339" t="n">
        <v>0.0</v>
      </c>
      <c r="H122" s="249"/>
      <c r="J122" s="245" t="s">
        <v>152</v>
      </c>
      <c r="K122" s="338">
        <f>B4</f>
        <v>0</v>
      </c>
      <c r="L122" s="248">
        <v>0</v>
      </c>
      <c r="M122" s="338">
        <f>D4</f>
        <v>0</v>
      </c>
      <c r="N122" s="248">
        <f>M122</f>
        <v>0</v>
      </c>
      <c r="O122" s="338">
        <f>F4</f>
        <v>0</v>
      </c>
      <c r="P122" s="339">
        <f>O122</f>
        <v>0</v>
      </c>
      <c r="Q122" s="249"/>
      <c r="S122" s="245" t="s">
        <v>152</v>
      </c>
      <c r="T122" s="338">
        <f>B4</f>
        <v>0</v>
      </c>
      <c r="U122" s="248">
        <v>0.25</v>
      </c>
      <c r="V122" s="338">
        <f>D4</f>
        <v>0</v>
      </c>
      <c r="W122" s="248">
        <f>V122</f>
        <v>0</v>
      </c>
      <c r="X122" s="338">
        <f>F4</f>
        <v>0</v>
      </c>
      <c r="Y122" s="339">
        <f>X122</f>
        <v>0</v>
      </c>
      <c r="Z122" s="249"/>
      <c r="AB122" s="245" t="s">
        <v>152</v>
      </c>
      <c r="AC122" s="338">
        <f>B4</f>
        <v>0</v>
      </c>
      <c r="AD122" s="248">
        <v>0.25</v>
      </c>
      <c r="AE122" s="338">
        <f>D4</f>
        <v>0</v>
      </c>
      <c r="AF122" s="248">
        <f>AE122</f>
        <v>0</v>
      </c>
      <c r="AG122" s="338">
        <f>F4</f>
        <v>0</v>
      </c>
      <c r="AH122" s="339">
        <f>AG122</f>
        <v>0</v>
      </c>
      <c r="AI122" s="249"/>
    </row>
    <row r="123" ht="19.5" spans="1:35">
      <c r="A123" s="245" t="s">
        <v>153</v>
      </c>
      <c r="B123" s="340">
        <f>B5</f>
        <v>0</v>
      </c>
      <c r="C123" s="336" t="n">
        <v>-9755.83</v>
      </c>
      <c r="D123" s="340">
        <f>D5</f>
        <v>0</v>
      </c>
      <c r="E123" s="336" t="n">
        <v>0.0</v>
      </c>
      <c r="F123" s="340">
        <f>F5</f>
        <v>0</v>
      </c>
      <c r="G123" s="336" t="n">
        <v>0.0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>
        <f>F5</f>
        <v>0</v>
      </c>
      <c r="P123" s="336">
        <f>O123</f>
        <v>0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>
        <f>F5</f>
        <v>0</v>
      </c>
      <c r="Y123" s="336">
        <f>X123</f>
        <v>0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>
        <f>F5</f>
        <v>0</v>
      </c>
      <c r="AH123" s="336">
        <f>AG123</f>
        <v>0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-3544.67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>
        <f t="shared" si="0"/>
        <v>0</v>
      </c>
      <c r="P124" s="95">
        <f t="shared" si="0"/>
        <v>0</v>
      </c>
      <c r="Q124" s="180"/>
      <c r="S124" s="245" t="s">
        <v>154</v>
      </c>
      <c r="T124" s="340">
        <f t="shared" ref="T124:Y124" si="1">(T121*T122)+T123</f>
        <v>0</v>
      </c>
      <c r="U124" s="95">
        <f t="shared" si="1"/>
        <v>4186.25</v>
      </c>
      <c r="V124" s="340">
        <f t="shared" si="1"/>
        <v>0</v>
      </c>
      <c r="W124" s="95">
        <f t="shared" si="1"/>
        <v>0</v>
      </c>
      <c r="X124" s="340">
        <f t="shared" si="1"/>
        <v>0</v>
      </c>
      <c r="Y124" s="95">
        <f t="shared" si="1"/>
        <v>0</v>
      </c>
      <c r="Z124" s="180"/>
      <c r="AB124" s="245" t="s">
        <v>154</v>
      </c>
      <c r="AC124" s="340">
        <f t="shared" ref="AC124:AH124" si="2">(AC121*AC122)+AC123</f>
        <v>0</v>
      </c>
      <c r="AD124" s="95">
        <f t="shared" si="2"/>
        <v>4186.25</v>
      </c>
      <c r="AE124" s="340">
        <f t="shared" si="2"/>
        <v>0</v>
      </c>
      <c r="AF124" s="95">
        <f t="shared" si="2"/>
        <v>0</v>
      </c>
      <c r="AG124" s="340">
        <f t="shared" si="2"/>
        <v>0</v>
      </c>
      <c r="AH124" s="95">
        <f t="shared" si="2"/>
        <v>0</v>
      </c>
      <c r="AI124" s="180"/>
    </row>
    <row r="125" ht="19.5" spans="1:35">
      <c r="A125" s="275" t="s">
        <v>155</v>
      </c>
      <c r="B125" s="341">
        <f t="shared" ref="B125:G125" si="3">B121-B124</f>
        <v>16745</v>
      </c>
      <c r="C125" s="80">
        <f t="shared" si="3"/>
        <v>20289.67</v>
      </c>
      <c r="D125" s="341">
        <f t="shared" si="3"/>
        <v>0</v>
      </c>
      <c r="E125" s="80">
        <f t="shared" si="3"/>
        <v>0</v>
      </c>
      <c r="F125" s="341">
        <f t="shared" si="3"/>
        <v>0</v>
      </c>
      <c r="G125" s="80">
        <f t="shared" si="3"/>
        <v>0</v>
      </c>
      <c r="H125" s="281"/>
      <c r="J125" s="275" t="s">
        <v>155</v>
      </c>
      <c r="K125" s="341">
        <f t="shared" ref="K125:P125" si="4">K121-K124</f>
        <v>16745</v>
      </c>
      <c r="L125" s="80">
        <f t="shared" si="4"/>
        <v>28629.17</v>
      </c>
      <c r="M125" s="341">
        <f t="shared" si="4"/>
        <v>0</v>
      </c>
      <c r="N125" s="80">
        <f t="shared" si="4"/>
        <v>0</v>
      </c>
      <c r="O125" s="341">
        <f t="shared" si="4"/>
        <v>0</v>
      </c>
      <c r="P125" s="80">
        <f t="shared" si="4"/>
        <v>0</v>
      </c>
      <c r="Q125" s="281"/>
      <c r="S125" s="275" t="s">
        <v>155</v>
      </c>
      <c r="T125" s="341">
        <f t="shared" ref="T125:Y125" si="5">T121-T124</f>
        <v>16745</v>
      </c>
      <c r="U125" s="80">
        <f t="shared" si="5"/>
        <v>12558.75</v>
      </c>
      <c r="V125" s="341">
        <f t="shared" si="5"/>
        <v>0</v>
      </c>
      <c r="W125" s="80">
        <f t="shared" si="5"/>
        <v>0</v>
      </c>
      <c r="X125" s="341">
        <f t="shared" si="5"/>
        <v>0</v>
      </c>
      <c r="Y125" s="80">
        <f t="shared" si="5"/>
        <v>0</v>
      </c>
      <c r="Z125" s="281"/>
      <c r="AB125" s="275" t="s">
        <v>155</v>
      </c>
      <c r="AC125" s="341">
        <f t="shared" ref="AC125:AH125" si="6">AC121-AC124</f>
        <v>16745</v>
      </c>
      <c r="AD125" s="80">
        <f t="shared" si="6"/>
        <v>12558.75</v>
      </c>
      <c r="AE125" s="341">
        <f t="shared" si="6"/>
        <v>0</v>
      </c>
      <c r="AF125" s="80">
        <f t="shared" si="6"/>
        <v>0</v>
      </c>
      <c r="AG125" s="341">
        <f t="shared" si="6"/>
        <v>0</v>
      </c>
      <c r="AH125" s="80">
        <f t="shared" si="6"/>
        <v>0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 t="shared" ref="G135:G142" si="7">H9</f>
        <v>16745</v>
      </c>
      <c r="H135" s="354">
        <f>C125+E125+G125+H128</f>
        <v>20289.67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8">H9</f>
        <v>16745</v>
      </c>
      <c r="Q135" s="354">
        <f>L125+N125+P125+Q128</f>
        <v>28629.17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9">H9</f>
        <v>16745</v>
      </c>
      <c r="Z135" s="354">
        <f>U125+W125+Y125+Z128</f>
        <v>12558.75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10">H9</f>
        <v>16745</v>
      </c>
      <c r="AI135" s="354">
        <f>AD125+AF125+AH125+AI128</f>
        <v>12558.75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 t="shared" si="7"/>
        <v>695</v>
      </c>
      <c r="H136" s="180">
        <f>G136</f>
        <v>695</v>
      </c>
      <c r="J136" s="254" t="s">
        <v>164</v>
      </c>
      <c r="K136" s="254"/>
      <c r="L136" s="254"/>
      <c r="M136" s="254"/>
      <c r="N136" s="254"/>
      <c r="O136" s="254"/>
      <c r="P136" s="35">
        <f t="shared" si="8"/>
        <v>695</v>
      </c>
      <c r="Q136" s="180">
        <f>P136</f>
        <v>695</v>
      </c>
      <c r="S136" s="254" t="s">
        <v>164</v>
      </c>
      <c r="T136" s="254"/>
      <c r="U136" s="254"/>
      <c r="V136" s="254"/>
      <c r="W136" s="254"/>
      <c r="X136" s="254"/>
      <c r="Y136" s="35">
        <f t="shared" si="9"/>
        <v>695</v>
      </c>
      <c r="Z136" s="180">
        <f>Y136</f>
        <v>695</v>
      </c>
      <c r="AB136" s="254" t="s">
        <v>164</v>
      </c>
      <c r="AC136" s="254"/>
      <c r="AD136" s="254"/>
      <c r="AE136" s="254"/>
      <c r="AF136" s="254"/>
      <c r="AG136" s="254"/>
      <c r="AH136" s="35">
        <f t="shared" si="10"/>
        <v>695</v>
      </c>
      <c r="AI136" s="180">
        <f>AH136</f>
        <v>695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35">
        <f t="shared" si="7"/>
        <v>3488</v>
      </c>
      <c r="H137" s="180">
        <f>(H135+H136)*20%</f>
        <v>4196.934</v>
      </c>
      <c r="J137" s="254" t="s">
        <v>165</v>
      </c>
      <c r="K137" s="254"/>
      <c r="L137" s="254"/>
      <c r="M137" s="254"/>
      <c r="N137" s="254"/>
      <c r="O137" s="254"/>
      <c r="P137" s="35">
        <f t="shared" si="8"/>
        <v>3488</v>
      </c>
      <c r="Q137" s="180">
        <f>(Q135+Q136)*20%</f>
        <v>5864.834</v>
      </c>
      <c r="S137" s="254" t="s">
        <v>165</v>
      </c>
      <c r="T137" s="254"/>
      <c r="U137" s="254"/>
      <c r="V137" s="254"/>
      <c r="W137" s="254"/>
      <c r="X137" s="254"/>
      <c r="Y137" s="35">
        <f t="shared" si="9"/>
        <v>3488</v>
      </c>
      <c r="Z137" s="180">
        <f>(Z135+Z136)*20%</f>
        <v>2650.75</v>
      </c>
      <c r="AB137" s="254" t="s">
        <v>165</v>
      </c>
      <c r="AC137" s="254"/>
      <c r="AD137" s="254"/>
      <c r="AE137" s="254"/>
      <c r="AF137" s="254"/>
      <c r="AG137" s="254"/>
      <c r="AH137" s="35">
        <f t="shared" si="10"/>
        <v>3488</v>
      </c>
      <c r="AI137" s="180">
        <f>(AI135+AI136)*20%</f>
        <v>2650.75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 t="shared" si="7"/>
        <v>0</v>
      </c>
      <c r="H138" s="180"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8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9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10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 t="shared" si="7"/>
        <v>275</v>
      </c>
      <c r="H139" s="180">
        <f>G139</f>
        <v>275</v>
      </c>
      <c r="J139" s="254" t="s">
        <v>167</v>
      </c>
      <c r="K139" s="254"/>
      <c r="L139" s="254"/>
      <c r="M139" s="254"/>
      <c r="N139" s="254"/>
      <c r="O139" s="254"/>
      <c r="P139" s="35">
        <f t="shared" si="8"/>
        <v>275</v>
      </c>
      <c r="Q139" s="180">
        <f>P139</f>
        <v>275</v>
      </c>
      <c r="S139" s="254" t="s">
        <v>167</v>
      </c>
      <c r="T139" s="254"/>
      <c r="U139" s="254"/>
      <c r="V139" s="254"/>
      <c r="W139" s="254"/>
      <c r="X139" s="254"/>
      <c r="Y139" s="35">
        <f t="shared" si="9"/>
        <v>275</v>
      </c>
      <c r="Z139" s="180">
        <f>Y139</f>
        <v>275</v>
      </c>
      <c r="AB139" s="254" t="s">
        <v>167</v>
      </c>
      <c r="AC139" s="254"/>
      <c r="AD139" s="254"/>
      <c r="AE139" s="254"/>
      <c r="AF139" s="254"/>
      <c r="AG139" s="254"/>
      <c r="AH139" s="35">
        <f t="shared" si="10"/>
        <v>275</v>
      </c>
      <c r="AI139" s="180">
        <f>AH139</f>
        <v>275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 t="shared" si="7"/>
        <v>65</v>
      </c>
      <c r="H140" s="180">
        <f>G140</f>
        <v>65</v>
      </c>
      <c r="J140" s="254" t="s">
        <v>168</v>
      </c>
      <c r="K140" s="254"/>
      <c r="L140" s="254"/>
      <c r="M140" s="254"/>
      <c r="N140" s="254"/>
      <c r="O140" s="254"/>
      <c r="P140" s="35">
        <f t="shared" si="8"/>
        <v>65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9"/>
        <v>65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10"/>
        <v>65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5">
        <f t="shared" si="7"/>
        <v>21268</v>
      </c>
      <c r="H141" s="356">
        <f>(H135+H136+H139+H140+H137)-H138</f>
        <v>25521.604</v>
      </c>
      <c r="J141" s="254" t="s">
        <v>169</v>
      </c>
      <c r="K141" s="254"/>
      <c r="L141" s="254"/>
      <c r="M141" s="254"/>
      <c r="N141" s="254"/>
      <c r="O141" s="254"/>
      <c r="P141" s="355">
        <f t="shared" si="8"/>
        <v>21268</v>
      </c>
      <c r="Q141" s="356">
        <f>(Q135+Q136+Q139+Q140+Q137)-Q138</f>
        <v>35519.004</v>
      </c>
      <c r="S141" s="254" t="s">
        <v>169</v>
      </c>
      <c r="T141" s="254"/>
      <c r="U141" s="254"/>
      <c r="V141" s="254"/>
      <c r="W141" s="254"/>
      <c r="X141" s="254"/>
      <c r="Y141" s="355">
        <f t="shared" si="9"/>
        <v>21268</v>
      </c>
      <c r="Z141" s="356">
        <f>(Z135+Z136+Z139+Z140+Z137)-Z138</f>
        <v>16234.5</v>
      </c>
      <c r="AB141" s="254" t="s">
        <v>169</v>
      </c>
      <c r="AC141" s="254"/>
      <c r="AD141" s="254"/>
      <c r="AE141" s="254"/>
      <c r="AF141" s="254"/>
      <c r="AG141" s="254"/>
      <c r="AH141" s="355">
        <f t="shared" si="10"/>
        <v>21268</v>
      </c>
      <c r="AI141" s="356">
        <f>(AI135+AI136+AI139+AI140+AI137)-AI138</f>
        <v>16234.5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 t="shared" si="7"/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8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9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10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>
        <v>0</v>
      </c>
      <c r="C144" s="257"/>
      <c r="D144" s="257"/>
      <c r="E144" s="257"/>
      <c r="F144" s="257"/>
      <c r="G144" s="35">
        <f>H18</f>
        <v>0</v>
      </c>
      <c r="H144" s="268"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25521.604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21268</v>
      </c>
      <c r="Q147" s="359">
        <f>Q141-((Q144*1.2)+(Q145*1.2)+(Q146*1.2)+(Q142*1.2))</f>
        <v>35519.004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21268</v>
      </c>
      <c r="Z147" s="359">
        <f>Z141-((Z144*1.2)+(Z145*1.2)+(Z146*1.2)+(Z142*1.2))</f>
        <v>16234.5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21268</v>
      </c>
      <c r="AI147" s="359">
        <f>AI141-((AI144*1.2)+(AI145*1.2)+(AI146*1.2)+(AI142*1.2))</f>
        <v>16234.5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3544.67</v>
      </c>
      <c r="I148" s="239">
        <f>(H148-G81)/1.2</f>
        <v>-16230.7783333333</v>
      </c>
      <c r="J148" s="254" t="s">
        <v>174</v>
      </c>
      <c r="K148" s="254"/>
      <c r="L148" s="254"/>
      <c r="M148" s="254"/>
      <c r="N148" s="254"/>
      <c r="O148" s="254"/>
      <c r="P148" s="35"/>
      <c r="Q148" s="268">
        <f>Q147-P147</f>
        <v>14251.004</v>
      </c>
      <c r="S148" s="254" t="s">
        <v>174</v>
      </c>
      <c r="T148" s="254"/>
      <c r="U148" s="254"/>
      <c r="V148" s="254"/>
      <c r="W148" s="254"/>
      <c r="X148" s="254"/>
      <c r="Y148" s="35"/>
      <c r="Z148" s="268">
        <f>Z147-Y147</f>
        <v>-5033.5</v>
      </c>
      <c r="AB148" s="254" t="s">
        <v>174</v>
      </c>
      <c r="AC148" s="254"/>
      <c r="AD148" s="254"/>
      <c r="AE148" s="254"/>
      <c r="AF148" s="254"/>
      <c r="AG148" s="254"/>
      <c r="AH148" s="35"/>
      <c r="AI148" s="268">
        <f>AI147-AH147</f>
        <v>-5033.5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 t="n">
        <v>0.0</v>
      </c>
      <c r="F152" s="102"/>
      <c r="G152" s="102" t="n">
        <v>1000.0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 t="n">
        <v>500.0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23021.604</v>
      </c>
      <c r="H158" s="362"/>
      <c r="J158" s="361" t="s">
        <v>181</v>
      </c>
      <c r="K158" s="250"/>
      <c r="L158" s="250"/>
      <c r="M158" s="291"/>
      <c r="N158" s="250"/>
      <c r="O158" s="291"/>
      <c r="P158" s="362">
        <f>Q147-P154-P157</f>
        <v>36519.004</v>
      </c>
      <c r="Q158" s="362"/>
      <c r="S158" s="361" t="s">
        <v>181</v>
      </c>
      <c r="T158" s="250"/>
      <c r="U158" s="250"/>
      <c r="V158" s="291"/>
      <c r="W158" s="250"/>
      <c r="X158" s="291"/>
      <c r="Y158" s="362">
        <f>Z147-Y154-Y157</f>
        <v>17234.5</v>
      </c>
      <c r="Z158" s="362"/>
      <c r="AB158" s="361" t="s">
        <v>181</v>
      </c>
      <c r="AC158" s="250"/>
      <c r="AD158" s="250"/>
      <c r="AE158" s="291"/>
      <c r="AF158" s="250"/>
      <c r="AG158" s="291"/>
      <c r="AH158" s="362">
        <f>AI147-AH154-AH157</f>
        <v>17234.5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98">
        <f>B95</f>
        <v>765.107152207009</v>
      </c>
      <c r="B167" s="126" t="str">
        <f>B94</f>
        <v>0</v>
      </c>
      <c r="C167" s="365"/>
      <c r="D167" s="365"/>
      <c r="E167" s="126">
        <f>B96</f>
        <v>765.107152207009</v>
      </c>
      <c r="F167" s="262"/>
      <c r="G167" s="262">
        <f>ROUND(G95,2)</f>
        <v>708.57</v>
      </c>
      <c r="H167" s="180"/>
      <c r="J167" s="366">
        <f>K95</f>
        <v>1460.84083744584</v>
      </c>
      <c r="K167" s="126">
        <f>K94</f>
        <v>0</v>
      </c>
      <c r="L167" s="365"/>
      <c r="M167" s="365"/>
      <c r="N167" s="126">
        <f>K96</f>
        <v>1460.84083744584</v>
      </c>
      <c r="O167" s="262"/>
      <c r="P167" s="262"/>
      <c r="Q167" s="180"/>
      <c r="S167" s="366">
        <f>T95</f>
        <v>573.155597417728</v>
      </c>
      <c r="T167" s="126">
        <f>T94</f>
        <v>0</v>
      </c>
      <c r="U167" s="365"/>
      <c r="V167" s="365"/>
      <c r="W167" s="126">
        <f>T96</f>
        <v>573.155597417728</v>
      </c>
      <c r="X167" s="262"/>
      <c r="Y167" s="262"/>
      <c r="Z167" s="180"/>
      <c r="AB167" s="366">
        <f>AC95</f>
        <v>573.155597417728</v>
      </c>
      <c r="AC167" s="126">
        <f>AC94</f>
        <v>0</v>
      </c>
      <c r="AD167" s="365"/>
      <c r="AE167" s="365"/>
      <c r="AF167" s="126">
        <f>AC96</f>
        <v>573.155597417728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35</v>
      </c>
      <c r="B170" s="40">
        <f>K30</f>
        <v>35000</v>
      </c>
      <c r="C170" s="367"/>
      <c r="D170" s="262"/>
      <c r="E170" s="274">
        <f>IF(A111="YES",A40,0)</f>
        <v>1503</v>
      </c>
      <c r="F170" s="262"/>
      <c r="G170" s="262"/>
      <c r="H170" s="180"/>
      <c r="J170" s="270">
        <f>K29</f>
        <v>35</v>
      </c>
      <c r="K170" s="42">
        <f>K30</f>
        <v>35000</v>
      </c>
      <c r="L170" s="367"/>
      <c r="M170" s="262"/>
      <c r="N170" s="274">
        <f>IF(A111="YES",A40,0)</f>
        <v>1503</v>
      </c>
      <c r="O170" s="262"/>
      <c r="P170" s="262"/>
      <c r="Q170" s="180"/>
      <c r="S170" s="270">
        <f>K29</f>
        <v>35</v>
      </c>
      <c r="T170" s="42">
        <f>K30</f>
        <v>35000</v>
      </c>
      <c r="U170" s="367"/>
      <c r="V170" s="262"/>
      <c r="W170" s="274">
        <f>IF(A111="YES",A40,0)</f>
        <v>1503</v>
      </c>
      <c r="X170" s="262"/>
      <c r="Y170" s="262"/>
      <c r="Z170" s="180"/>
      <c r="AB170" s="270">
        <f>K29</f>
        <v>35</v>
      </c>
      <c r="AC170" s="42">
        <f>K30</f>
        <v>35000</v>
      </c>
      <c r="AD170" s="367"/>
      <c r="AE170" s="262"/>
      <c r="AF170" s="274">
        <f>IF(A111="YES",A40,0)</f>
        <v>1503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20984.67</v>
      </c>
      <c r="B173" s="133">
        <f>H137</f>
        <v>4196.934</v>
      </c>
      <c r="C173" s="272"/>
      <c r="D173" s="262"/>
      <c r="E173" s="274">
        <f>H139+H140</f>
        <v>340</v>
      </c>
      <c r="F173" s="262"/>
      <c r="G173" s="262"/>
      <c r="H173" s="180"/>
      <c r="J173" s="132">
        <f>Q141-Q137-Q139-Q140</f>
        <v>29324.17</v>
      </c>
      <c r="K173" s="133">
        <f>Q137</f>
        <v>5864.834</v>
      </c>
      <c r="L173" s="272"/>
      <c r="M173" s="262"/>
      <c r="N173" s="274">
        <f>Q139+Q140</f>
        <v>330</v>
      </c>
      <c r="O173" s="262"/>
      <c r="P173" s="262"/>
      <c r="Q173" s="180"/>
      <c r="S173" s="132">
        <f>Z141-Z137-Z139-Z140</f>
        <v>13253.75</v>
      </c>
      <c r="T173" s="133">
        <f>Z137</f>
        <v>2650.75</v>
      </c>
      <c r="U173" s="272"/>
      <c r="V173" s="262"/>
      <c r="W173" s="274">
        <f>Z139+Z140</f>
        <v>330</v>
      </c>
      <c r="X173" s="262"/>
      <c r="Y173" s="262"/>
      <c r="Z173" s="180"/>
      <c r="AB173" s="132">
        <f>AI141-AI137-AI139-AI140</f>
        <v>13253.75</v>
      </c>
      <c r="AC173" s="133">
        <f>AI137</f>
        <v>2650.75</v>
      </c>
      <c r="AD173" s="272"/>
      <c r="AE173" s="262"/>
      <c r="AF173" s="274">
        <f>AI139+AI140</f>
        <v>330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25521.604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>
        <f>Q141</f>
        <v>35519.004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>
        <f>Z141</f>
        <v>16234.5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>
        <f>AI141</f>
        <v>16234.5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23021.604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>
        <f>J176-J179-K179</f>
        <v>36519.004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>
        <f>S176-S179-T179</f>
        <v>17234.5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>
        <f>AB176-AB179-AC179</f>
        <v>17234.5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4495.0391750383</v>
      </c>
      <c r="B182" s="133" t="str">
        <f>B114</f>
        <v>199.99</v>
      </c>
      <c r="C182" s="133"/>
      <c r="D182" s="262"/>
      <c r="E182" s="133">
        <f>E179+A182+(B182*1.2)+A185</f>
        <v>27766.6311750383</v>
      </c>
      <c r="F182" s="262"/>
      <c r="G182" s="262"/>
      <c r="H182" s="141"/>
      <c r="J182" s="134">
        <f>(J167*K59)+N185-N179-J185</f>
        <v>14652.5844731586</v>
      </c>
      <c r="K182" s="133">
        <f>K114</f>
        <v>239.99</v>
      </c>
      <c r="L182" s="133"/>
      <c r="M182" s="262"/>
      <c r="N182" s="133">
        <f>N179+J182+K182+J185</f>
        <v>51431.5784731586</v>
      </c>
      <c r="O182" s="262"/>
      <c r="P182" s="262"/>
      <c r="Q182" s="141"/>
      <c r="S182" s="134">
        <f>(S167*T59)+W185-W179-S185</f>
        <v>3755.79031220275</v>
      </c>
      <c r="T182" s="133">
        <f>T114</f>
        <v>199.99</v>
      </c>
      <c r="U182" s="133"/>
      <c r="V182" s="262"/>
      <c r="W182" s="133">
        <f>W179+S182+T182+S185</f>
        <v>21200.2803122028</v>
      </c>
      <c r="X182" s="262"/>
      <c r="Y182" s="262"/>
      <c r="Z182" s="141"/>
      <c r="AB182" s="134">
        <f>(AB167*AC59)+AF185-AF179-AB185</f>
        <v>3755.79031220275</v>
      </c>
      <c r="AC182" s="133">
        <f>AC114</f>
        <v>239.99</v>
      </c>
      <c r="AD182" s="133"/>
      <c r="AE182" s="262"/>
      <c r="AF182" s="133">
        <f>AF179+AB182+AC182+AB185</f>
        <v>21240.2803122028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A179+(B182*1.2)</f>
        <v>2239.988</v>
      </c>
      <c r="C185" s="133"/>
      <c r="D185" s="262"/>
      <c r="E185" s="133">
        <f>E170+A185</f>
        <v>1513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1523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1513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1513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</f>
        <v>0</v>
      </c>
      <c r="B188" s="133">
        <f>(G158*B67)/1.2</f>
        <v>187.84989375</v>
      </c>
      <c r="C188" s="250"/>
      <c r="D188" s="250"/>
      <c r="E188" s="133">
        <f>(E40*A108)*0.1*(C45/100)</f>
        <v>0</v>
      </c>
      <c r="F188" s="262"/>
      <c r="G188" s="262"/>
      <c r="H188" s="180"/>
      <c r="J188" s="134">
        <f>IF(N105="YES",H15*0.000002,0)</f>
        <v>0.042536</v>
      </c>
      <c r="K188" s="133">
        <f>(P158*K67)/1.2</f>
        <v>2250.73722569444</v>
      </c>
      <c r="L188" s="250"/>
      <c r="M188" s="250"/>
      <c r="N188" s="133">
        <f>(E40*J108)*0.1</f>
        <v>0</v>
      </c>
      <c r="O188" s="262"/>
      <c r="P188" s="262"/>
      <c r="Q188" s="180"/>
      <c r="S188" s="134">
        <f>IF(W105="YES",Z15*0.000002,0)</f>
        <v>0</v>
      </c>
      <c r="T188" s="133">
        <f>(Y158*T67)/1.2</f>
        <v>140.628732638889</v>
      </c>
      <c r="U188" s="250"/>
      <c r="V188" s="250"/>
      <c r="W188" s="133">
        <f>(E40*S108)*0.1</f>
        <v>0</v>
      </c>
      <c r="X188" s="368"/>
      <c r="Y188" s="368"/>
      <c r="Z188" s="180"/>
      <c r="AB188" s="134">
        <f>IF(AF105="YES",AI15*0.000002,0)</f>
        <v>0</v>
      </c>
      <c r="AC188" s="133">
        <f>(AH158*AC67)/1.2</f>
        <v>140.628732638889</v>
      </c>
      <c r="AD188" s="250"/>
      <c r="AE188" s="250"/>
      <c r="AF188" s="133">
        <f>(E40*AB108)*0.1</f>
        <v>0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287.83989375</v>
      </c>
      <c r="C191" s="250"/>
      <c r="D191" s="250"/>
      <c r="E191" s="133">
        <f>H148</f>
        <v>3544.67</v>
      </c>
      <c r="F191" s="262"/>
      <c r="G191" s="262"/>
      <c r="H191" s="180"/>
      <c r="J191" s="134">
        <f>K185-100</f>
        <v>1139.99</v>
      </c>
      <c r="K191" s="133">
        <f>K188+N188+J191</f>
        <v>3390.72722569444</v>
      </c>
      <c r="L191" s="250"/>
      <c r="M191" s="250"/>
      <c r="N191" s="133">
        <f>Q148</f>
        <v>14251.004</v>
      </c>
      <c r="O191" s="262"/>
      <c r="P191" s="262"/>
      <c r="Q191" s="180"/>
      <c r="S191" s="134">
        <f>T185-100</f>
        <v>1099.99</v>
      </c>
      <c r="T191" s="133">
        <f>T188+W188+S191</f>
        <v>1240.61873263889</v>
      </c>
      <c r="U191" s="250"/>
      <c r="V191" s="250"/>
      <c r="W191" s="133">
        <f>Z148</f>
        <v>-5033.5</v>
      </c>
      <c r="X191" s="368"/>
      <c r="Y191" s="368"/>
      <c r="Z191" s="180"/>
      <c r="AB191" s="134">
        <f>AC185-100</f>
        <v>1139.99</v>
      </c>
      <c r="AC191" s="133">
        <f>AC188+AF188+AB191</f>
        <v>1280.61873263889</v>
      </c>
      <c r="AD191" s="250"/>
      <c r="AE191" s="250"/>
      <c r="AF191" s="133">
        <f>AI148</f>
        <v>-5033.5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35000</v>
      </c>
      <c r="C196" s="288"/>
      <c r="D196" s="288"/>
      <c r="E196" s="262"/>
      <c r="F196" s="262"/>
      <c r="G196" s="262"/>
      <c r="H196" s="180"/>
      <c r="J196" s="286"/>
      <c r="K196" s="288">
        <f>K30</f>
        <v>35000</v>
      </c>
      <c r="L196" s="288"/>
      <c r="M196" s="288"/>
      <c r="N196" s="262"/>
      <c r="O196" s="262"/>
      <c r="P196" s="262"/>
      <c r="Q196" s="180"/>
      <c r="S196" s="286"/>
      <c r="T196" s="288">
        <f>K30</f>
        <v>35000</v>
      </c>
      <c r="U196" s="288"/>
      <c r="V196" s="288"/>
      <c r="W196" s="262"/>
      <c r="X196" s="262"/>
      <c r="Y196" s="262"/>
      <c r="Z196" s="180"/>
      <c r="AB196" s="286"/>
      <c r="AC196" s="288">
        <f>K30</f>
        <v>35000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35</v>
      </c>
      <c r="B197" s="71">
        <f>B96</f>
        <v>765.107152207009</v>
      </c>
      <c r="C197" s="71"/>
      <c r="D197" s="71"/>
      <c r="E197" s="262"/>
      <c r="F197" s="262"/>
      <c r="G197" s="262"/>
      <c r="H197" s="180"/>
      <c r="J197" s="289">
        <f>K29</f>
        <v>35</v>
      </c>
      <c r="K197" s="71">
        <f>K96</f>
        <v>1460.84083744584</v>
      </c>
      <c r="L197" s="71"/>
      <c r="M197" s="71"/>
      <c r="N197" s="262"/>
      <c r="O197" s="262"/>
      <c r="P197" s="262"/>
      <c r="Q197" s="180"/>
      <c r="S197" s="289">
        <f>K29</f>
        <v>35</v>
      </c>
      <c r="T197" s="71">
        <f>T96</f>
        <v>573.155597417728</v>
      </c>
      <c r="U197" s="71"/>
      <c r="V197" s="71"/>
      <c r="W197" s="262"/>
      <c r="X197" s="262"/>
      <c r="Y197" s="262"/>
      <c r="Z197" s="180"/>
      <c r="AB197" s="289">
        <f>K29</f>
        <v>35</v>
      </c>
      <c r="AC197" s="71">
        <f>AC96</f>
        <v>573.155597417728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2572.776</v>
      </c>
      <c r="B201" s="272">
        <f>E179+A201+(B182*1.2)+A185</f>
        <v>25844.368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35</v>
      </c>
      <c r="C209" s="365"/>
      <c r="D209" s="365"/>
      <c r="E209" s="365">
        <f>B196</f>
        <v>35000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765.107152207009</v>
      </c>
      <c r="B212" s="126" t="str">
        <f>B167</f>
        <v>0</v>
      </c>
      <c r="C212" s="365"/>
      <c r="D212" s="365"/>
      <c r="E212" s="126">
        <f>E167</f>
        <v>765.107152207009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20984.67</v>
      </c>
      <c r="B215" s="133">
        <f>B173</f>
        <v>4196.934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25521.604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23021.604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4495.0391750383</v>
      </c>
      <c r="B224" s="133" t="str">
        <f>B182</f>
        <v>199.99</v>
      </c>
      <c r="C224" s="133"/>
      <c r="D224" s="291"/>
      <c r="E224" s="133">
        <f>E182</f>
        <v>27766.6311750383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34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765.107152207009</v>
      </c>
      <c r="B230" s="133" t="str">
        <f>B167</f>
        <v>0</v>
      </c>
      <c r="C230" s="272"/>
      <c r="D230" s="272"/>
      <c r="E230" s="133">
        <f>E167</f>
        <v>765.107152207009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1503</v>
      </c>
      <c r="B233" s="133">
        <f>E185</f>
        <v>1513</v>
      </c>
      <c r="C233" s="250"/>
      <c r="D233" s="250"/>
      <c r="E233" s="133">
        <f>A188</f>
        <v>0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3544.67</v>
      </c>
      <c r="B240" s="133">
        <f>B68</f>
        <v>187.84989375</v>
      </c>
      <c r="C240" s="250"/>
      <c r="D240" s="250"/>
      <c r="E240" s="133">
        <f>E188</f>
        <v>0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3832.50989375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1932.2631750383</v>
      </c>
      <c r="C254" s="376"/>
      <c r="D254" s="377" t="s">
        <v>218</v>
      </c>
      <c r="E254" s="377"/>
      <c r="F254" s="378">
        <f>F261+F267+F269+B270+B271</f>
        <v>225.4198725</v>
      </c>
      <c r="G254" s="262"/>
      <c r="H254" s="180"/>
    </row>
    <row r="255" spans="1:8">
      <c r="A255" s="370" t="s">
        <v>219</v>
      </c>
      <c r="B255" s="378">
        <f>F262+B263</f>
        <v>99.99</v>
      </c>
      <c r="C255" s="376"/>
      <c r="D255" s="377" t="s">
        <v>220</v>
      </c>
      <c r="E255" s="377"/>
      <c r="F255" s="378">
        <f>(B254-F254)+B255</f>
        <v>1806.8333025383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1932.2631750383</v>
      </c>
      <c r="G260" s="262"/>
      <c r="H260" s="180"/>
    </row>
    <row r="261" ht="19.5" spans="1:8">
      <c r="A261" s="245" t="s">
        <v>223</v>
      </c>
      <c r="B261" s="387">
        <f>B67</f>
        <v>0.00979166666666667</v>
      </c>
      <c r="C261" s="368"/>
      <c r="D261" s="105" t="s">
        <v>223</v>
      </c>
      <c r="E261" s="105"/>
      <c r="F261" s="144">
        <f>B68*1.2</f>
        <v>225.4198725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0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1806.8333025383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10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  <c r="J271" s="239">
        <v>4</v>
      </c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</mergeCells>
  <dataValidations count="3">
    <dataValidation type="list" allowBlank="1" showInputMessage="1" showErrorMessage="1" sqref="B26 E105 A111">
      <formula1>HirePurchaseNonRegulated!$K$9:$K$10</formula1>
    </dataValidation>
    <dataValidation type="list" allowBlank="1" showErrorMessage="1" sqref="B70">
      <formula1>HirePurchaseNonRegulated!$K$9:$K$10</formula1>
    </dataValidation>
    <dataValidation type="list" allowBlank="1" showInputMessage="1" showErrorMessage="1" sqref="B105 K105 N105 T105 W105 AC105 AF105 B108:D108 K108:M108 T108:V108 AC108:AE108 J111 S111 AB111 A18:A20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72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>
        <v>0</v>
      </c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248">
        <v>0</v>
      </c>
      <c r="C4" s="248">
        <v>0</v>
      </c>
      <c r="D4" s="248">
        <v>0</v>
      </c>
      <c r="E4" s="248"/>
      <c r="F4" s="248">
        <v>0</v>
      </c>
      <c r="G4" s="248"/>
      <c r="H4" s="249"/>
      <c r="I4" s="240"/>
      <c r="J4" s="240"/>
    </row>
    <row r="5" spans="1:10">
      <c r="A5" s="245" t="s">
        <v>153</v>
      </c>
      <c r="B5" s="246">
        <v>0</v>
      </c>
      <c r="C5" s="246">
        <v>0</v>
      </c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18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28</v>
      </c>
      <c r="K29" s="304">
        <v>35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35000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2505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>
        <v>0</v>
      </c>
      <c r="J32" s="300" t="s">
        <v>36</v>
      </c>
      <c r="K32" s="214">
        <v>1833.65</v>
      </c>
      <c r="P32" s="273"/>
    </row>
    <row r="33" ht="36.75" spans="1:16">
      <c r="A33" s="270">
        <f>A52</f>
        <v>35</v>
      </c>
      <c r="B33" s="44">
        <f>B51</f>
        <v>35000</v>
      </c>
      <c r="C33" s="250"/>
      <c r="D33" s="250"/>
      <c r="E33" s="44">
        <f>K48</f>
        <v>561.865099818497</v>
      </c>
      <c r="F33" s="44"/>
      <c r="G33" s="44"/>
      <c r="H33" s="271"/>
      <c r="I33" s="240"/>
      <c r="J33" s="302" t="s">
        <v>355</v>
      </c>
      <c r="K33" s="306">
        <f>H21-H11+(H16*20%)</f>
        <v>17780</v>
      </c>
      <c r="L33" s="239">
        <f>H21-H11+(H16*20%)</f>
        <v>17780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0.07</v>
      </c>
      <c r="P35" s="273"/>
    </row>
    <row r="36" spans="1:16">
      <c r="A36" s="132">
        <f>K47</f>
        <v>509.475099818497</v>
      </c>
      <c r="B36" s="44">
        <f>IF(B26="YES",K42,"0.00")</f>
        <v>52.39</v>
      </c>
      <c r="C36" s="44"/>
      <c r="D36" s="44"/>
      <c r="E36" s="44">
        <f>K31</f>
        <v>2505</v>
      </c>
      <c r="F36" s="44"/>
      <c r="G36" s="44"/>
      <c r="H36" s="271"/>
      <c r="I36" s="240"/>
      <c r="J36" s="240" t="s">
        <v>50</v>
      </c>
      <c r="K36" s="240">
        <f>K29</f>
        <v>35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17780</v>
      </c>
      <c r="L39" s="240">
        <f>(L47*K46)+K44</f>
        <v>25299.2012728699</v>
      </c>
      <c r="N39" s="239">
        <f>K39-L39</f>
        <v>-7519.20127286992</v>
      </c>
      <c r="P39" s="273"/>
    </row>
    <row r="40" ht="19.5" spans="1:16">
      <c r="A40" s="102">
        <f>E36*A45/100</f>
        <v>2505</v>
      </c>
      <c r="B40" s="102">
        <f>IF(B26="YES",K42,"0.00")</f>
        <v>52.39</v>
      </c>
      <c r="C40" s="102"/>
      <c r="D40" s="102"/>
      <c r="E40" s="274">
        <f>K32</f>
        <v>1833.65</v>
      </c>
      <c r="F40" s="272"/>
      <c r="G40" s="272"/>
      <c r="H40" s="271"/>
      <c r="J40" s="240" t="s">
        <v>107</v>
      </c>
      <c r="K40" s="240">
        <f>(A40)/1.2</f>
        <v>2087.5</v>
      </c>
      <c r="L40" s="240">
        <f>K39-L39</f>
        <v>-7519.20127286992</v>
      </c>
      <c r="N40" s="239">
        <f>N38-N39</f>
        <v>10430.8812728699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(K32/K36/100)*C45</f>
        <v>52.39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1693.12732350042</v>
      </c>
      <c r="L44" s="240"/>
      <c r="P44" s="273"/>
    </row>
    <row r="45" ht="19.5" spans="1:16">
      <c r="A45" s="394">
        <v>100</v>
      </c>
      <c r="B45" s="250"/>
      <c r="C45" s="280">
        <v>100</v>
      </c>
      <c r="D45" s="280"/>
      <c r="E45" s="280"/>
      <c r="F45" s="250"/>
      <c r="G45" s="250"/>
      <c r="H45" s="180"/>
      <c r="J45" s="240" t="s">
        <v>366</v>
      </c>
      <c r="K45" s="240">
        <f>(K39-K44)</f>
        <v>16086.8726764996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31.5753854942677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509.475099818497</v>
      </c>
      <c r="L47" s="240">
        <f>L49-K42</f>
        <v>747.61</v>
      </c>
      <c r="M47" s="239">
        <f>K47-L47</f>
        <v>-238.134900181503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561.865099818497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35000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35</v>
      </c>
      <c r="B52" s="71">
        <f>K48</f>
        <v>561.865099818497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34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34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34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34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20928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20928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20928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20928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0.07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7344.14529918286</v>
      </c>
      <c r="C65" s="250"/>
      <c r="D65" s="250"/>
      <c r="E65" s="291"/>
      <c r="F65" s="291"/>
      <c r="G65" s="291"/>
      <c r="H65" s="180"/>
      <c r="J65" s="275" t="s">
        <v>91</v>
      </c>
      <c r="K65" s="281">
        <f>(K89*K59)-(K47*K29)</f>
        <v>31836.9599795112</v>
      </c>
      <c r="L65" s="250"/>
      <c r="M65" s="250"/>
      <c r="N65" s="291"/>
      <c r="O65" s="291"/>
      <c r="P65" s="291"/>
      <c r="Q65" s="180"/>
      <c r="S65" s="275" t="s">
        <v>91</v>
      </c>
      <c r="T65" s="281">
        <f>(T89*T59)-(K47*K29)</f>
        <v>6811.71015821829</v>
      </c>
      <c r="U65" s="250"/>
      <c r="V65" s="250"/>
      <c r="W65" s="291"/>
      <c r="X65" s="291"/>
      <c r="Y65" s="291"/>
      <c r="Z65" s="180"/>
      <c r="AB65" s="275" t="s">
        <v>91</v>
      </c>
      <c r="AC65" s="281">
        <f>(AC89*AC59)-(K47*K29)</f>
        <v>831.736370477425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0.00979166666666667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0.0739583333333333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0.00979166666666667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0.00979166666666667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187.84989375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1547.8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204.92</v>
      </c>
      <c r="U68" s="250"/>
      <c r="V68" s="250"/>
      <c r="W68" s="291"/>
      <c r="X68" s="291"/>
      <c r="Y68" s="291"/>
      <c r="Z68" s="180"/>
      <c r="AB68" s="275" t="s">
        <v>94</v>
      </c>
      <c r="AC68" s="281">
        <f>AH158*AC67</f>
        <v>168.754479166667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B73*B29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91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91"/>
      <c r="G77" s="291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B77/H29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509.475099818497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509.475099818497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561.865099818497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561.865099818497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23021.604</v>
      </c>
      <c r="C81" s="250"/>
      <c r="D81" s="250"/>
      <c r="E81" s="291"/>
      <c r="F81" s="264" t="s">
        <v>106</v>
      </c>
      <c r="G81" s="266">
        <f>G158</f>
        <v>23021.604</v>
      </c>
      <c r="H81" s="180"/>
      <c r="J81" s="264" t="s">
        <v>106</v>
      </c>
      <c r="K81" s="266">
        <f>P158</f>
        <v>36519.004</v>
      </c>
      <c r="L81" s="250"/>
      <c r="M81" s="250"/>
      <c r="N81" s="291"/>
      <c r="O81" s="291"/>
      <c r="P81" s="291"/>
      <c r="Q81" s="180"/>
      <c r="S81" s="264" t="s">
        <v>106</v>
      </c>
      <c r="T81" s="266">
        <f>Y158</f>
        <v>22207.765</v>
      </c>
      <c r="U81" s="250"/>
      <c r="V81" s="250"/>
      <c r="W81" s="291"/>
      <c r="X81" s="291"/>
      <c r="Y81" s="291"/>
      <c r="Z81" s="180"/>
      <c r="AB81" s="264" t="s">
        <v>106</v>
      </c>
      <c r="AC81" s="266">
        <f>AH158</f>
        <v>17234.5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2505</v>
      </c>
      <c r="C82" s="250"/>
      <c r="D82" s="250"/>
      <c r="E82" s="291"/>
      <c r="F82" s="245" t="s">
        <v>107</v>
      </c>
      <c r="G82" s="180">
        <f>IF(A111="YES",A40,0)</f>
        <v>2505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2505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2505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179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34</v>
      </c>
      <c r="C85" s="250"/>
      <c r="D85" s="250"/>
      <c r="E85" s="291"/>
      <c r="F85" s="245" t="s">
        <v>110</v>
      </c>
      <c r="G85" s="180">
        <f>IF(G82=0,(B59+B58),(B59))</f>
        <v>34</v>
      </c>
      <c r="H85" s="180"/>
      <c r="J85" s="245" t="s">
        <v>110</v>
      </c>
      <c r="K85" s="180">
        <f>IF(K82=0,(K59+K58),(K59))</f>
        <v>35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34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34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1768.31506880445</v>
      </c>
      <c r="C86" s="250"/>
      <c r="D86" s="250"/>
      <c r="E86" s="291"/>
      <c r="F86" s="245" t="s">
        <v>111</v>
      </c>
      <c r="G86" s="180">
        <f>(G82/((1+G84)^(G85+1)))</f>
        <v>2043.60467946501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1713.05081718563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1713.05081718563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28.7026658885233</v>
      </c>
      <c r="C87" s="250"/>
      <c r="D87" s="250"/>
      <c r="E87" s="291"/>
      <c r="F87" s="245" t="s">
        <v>112</v>
      </c>
      <c r="G87" s="180">
        <f>((1-(1/((1+G84)^G85)))/G84)</f>
        <v>30.7595752429843</v>
      </c>
      <c r="H87" s="180"/>
      <c r="J87" s="245" t="s">
        <v>112</v>
      </c>
      <c r="K87" s="180">
        <f>((1-(1/((1+K84)^K85)))/K84)</f>
        <v>24.9986193320352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28.2762125724768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28.2762125724768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21253.2889311956</v>
      </c>
      <c r="C88" s="250"/>
      <c r="D88" s="250"/>
      <c r="E88" s="291"/>
      <c r="F88" s="245" t="s">
        <v>113</v>
      </c>
      <c r="G88" s="180">
        <f>G81-G86</f>
        <v>20977.999320535</v>
      </c>
      <c r="H88" s="180"/>
      <c r="J88" s="245" t="s">
        <v>113</v>
      </c>
      <c r="K88" s="180">
        <f>K81-K86</f>
        <v>36519.004</v>
      </c>
      <c r="L88" s="250"/>
      <c r="M88" s="250"/>
      <c r="N88" s="291"/>
      <c r="O88" s="291"/>
      <c r="P88" s="291"/>
      <c r="Q88" s="180"/>
      <c r="S88" s="245" t="s">
        <v>113</v>
      </c>
      <c r="T88" s="180">
        <f>T81-T86</f>
        <v>20494.7141828144</v>
      </c>
      <c r="U88" s="250"/>
      <c r="V88" s="250"/>
      <c r="W88" s="291"/>
      <c r="X88" s="291"/>
      <c r="Y88" s="291"/>
      <c r="Z88" s="180"/>
      <c r="AB88" s="245" t="s">
        <v>113</v>
      </c>
      <c r="AC88" s="180">
        <f>AC81-AC86</f>
        <v>15521.4491828144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740.463935083243</v>
      </c>
      <c r="C89" s="250"/>
      <c r="D89" s="250"/>
      <c r="E89" s="291"/>
      <c r="F89" s="245" t="s">
        <v>114</v>
      </c>
      <c r="G89" s="180">
        <f>(G88/G87)</f>
        <v>681.998992340432</v>
      </c>
      <c r="H89" s="180"/>
      <c r="J89" s="245" t="s">
        <v>114</v>
      </c>
      <c r="K89" s="180">
        <f>(K88/K87)</f>
        <v>1460.84083744584</v>
      </c>
      <c r="L89" s="250"/>
      <c r="M89" s="250"/>
      <c r="N89" s="291"/>
      <c r="O89" s="291"/>
      <c r="P89" s="291"/>
      <c r="Q89" s="180"/>
      <c r="S89" s="245" t="s">
        <v>114</v>
      </c>
      <c r="T89" s="180">
        <f>(T88/T87)</f>
        <v>724.80407799605</v>
      </c>
      <c r="U89" s="250"/>
      <c r="V89" s="250"/>
      <c r="W89" s="291"/>
      <c r="X89" s="291"/>
      <c r="Y89" s="291"/>
      <c r="Z89" s="180"/>
      <c r="AB89" s="245" t="s">
        <v>114</v>
      </c>
      <c r="AC89" s="180">
        <f>(AC88/AC87)</f>
        <v>548.922496003671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25175.7737928303</v>
      </c>
      <c r="C90" s="250"/>
      <c r="D90" s="250"/>
      <c r="E90" s="291"/>
      <c r="F90" s="245" t="s">
        <v>115</v>
      </c>
      <c r="G90" s="180">
        <f>((G89*(G85))+G77)</f>
        <v>23187.9657395747</v>
      </c>
      <c r="H90" s="180"/>
      <c r="J90" s="245" t="s">
        <v>115</v>
      </c>
      <c r="K90" s="180">
        <f>((K89*(K85))+K77)</f>
        <v>51129.4293106044</v>
      </c>
      <c r="L90" s="250"/>
      <c r="M90" s="250"/>
      <c r="N90" s="291"/>
      <c r="O90" s="291"/>
      <c r="P90" s="291"/>
      <c r="Q90" s="180"/>
      <c r="S90" s="245" t="s">
        <v>115</v>
      </c>
      <c r="T90" s="180">
        <f>(T89*(T85))+T77</f>
        <v>24643.3386518657</v>
      </c>
      <c r="U90" s="250"/>
      <c r="V90" s="250"/>
      <c r="W90" s="291"/>
      <c r="X90" s="291"/>
      <c r="Y90" s="291"/>
      <c r="Z90" s="180"/>
      <c r="AB90" s="245" t="s">
        <v>115</v>
      </c>
      <c r="AC90" s="180">
        <f>(AC89*(AC59))+AC77</f>
        <v>18663.3648641248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(B90/(1-B71))*B71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>
        <f>(K90/(1-K71))*K71</f>
        <v>0</v>
      </c>
      <c r="L91" s="250"/>
      <c r="M91" s="250"/>
      <c r="N91" s="291"/>
      <c r="O91" s="291"/>
      <c r="P91" s="291"/>
      <c r="Q91" s="180"/>
      <c r="S91" s="245" t="s">
        <v>116</v>
      </c>
      <c r="T91" s="180">
        <f>(T90/(1-T71))*T71</f>
        <v>0</v>
      </c>
      <c r="U91" s="250"/>
      <c r="V91" s="250"/>
      <c r="W91" s="291"/>
      <c r="X91" s="291"/>
      <c r="Y91" s="291"/>
      <c r="Z91" s="180"/>
      <c r="AB91" s="245" t="s">
        <v>116</v>
      </c>
      <c r="AC91" s="180">
        <f>(AC90/(1-AC71))*AC71</f>
        <v>0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25175.7737928303</v>
      </c>
      <c r="C92" s="250"/>
      <c r="D92" s="250"/>
      <c r="E92" s="291"/>
      <c r="F92" s="275" t="s">
        <v>117</v>
      </c>
      <c r="G92" s="281">
        <f>(G90+G91)</f>
        <v>23187.9657395747</v>
      </c>
      <c r="H92" s="180"/>
      <c r="J92" s="275" t="s">
        <v>117</v>
      </c>
      <c r="K92" s="281">
        <f>(K90+K91)</f>
        <v>51129.4293106044</v>
      </c>
      <c r="L92" s="250"/>
      <c r="M92" s="250"/>
      <c r="N92" s="291"/>
      <c r="O92" s="291"/>
      <c r="P92" s="291"/>
      <c r="Q92" s="180"/>
      <c r="S92" s="275" t="s">
        <v>117</v>
      </c>
      <c r="T92" s="281">
        <f>(T90+T91)</f>
        <v>24643.3386518657</v>
      </c>
      <c r="U92" s="250"/>
      <c r="V92" s="250"/>
      <c r="W92" s="291"/>
      <c r="X92" s="291"/>
      <c r="Y92" s="291"/>
      <c r="Z92" s="180"/>
      <c r="AB92" s="275" t="s">
        <v>117</v>
      </c>
      <c r="AC92" s="281">
        <f>(AC90+AC91)</f>
        <v>18663.3648641248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5">
        <f>IF(B26="YES",((E40/B85)*(1+A108)*1.2*(C45/100)),"0")</f>
        <v>84.1321764705882</v>
      </c>
      <c r="C94" s="250"/>
      <c r="D94" s="250"/>
      <c r="E94" s="291"/>
      <c r="F94" s="314" t="s">
        <v>118</v>
      </c>
      <c r="G94" s="318">
        <f>IF(B26="YES",((E40/B85)*(1+A108)*(C45/100)),"0")</f>
        <v>70.1101470588235</v>
      </c>
      <c r="H94" s="180"/>
      <c r="J94" s="314" t="s">
        <v>118</v>
      </c>
      <c r="K94" s="315">
        <f>((E40/K85)*(1+J108))*1.2</f>
        <v>81.7284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64.7170588235294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77.6604705882353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740.463935083243</v>
      </c>
      <c r="C95" s="250"/>
      <c r="D95" s="250"/>
      <c r="E95" s="291"/>
      <c r="F95" s="319" t="s">
        <v>119</v>
      </c>
      <c r="G95" s="320">
        <f>G92/(G85)</f>
        <v>681.998992340432</v>
      </c>
      <c r="H95" s="180"/>
      <c r="J95" s="319" t="s">
        <v>119</v>
      </c>
      <c r="K95" s="320">
        <f>K92/(K85)</f>
        <v>1460.84083744584</v>
      </c>
      <c r="L95" s="250"/>
      <c r="M95" s="250"/>
      <c r="N95" s="291"/>
      <c r="O95" s="291"/>
      <c r="P95" s="291"/>
      <c r="Q95" s="180"/>
      <c r="S95" s="319" t="s">
        <v>119</v>
      </c>
      <c r="T95" s="320">
        <f>T92/(T85)</f>
        <v>724.80407799605</v>
      </c>
      <c r="U95" s="250"/>
      <c r="V95" s="250"/>
      <c r="W95" s="291"/>
      <c r="X95" s="291"/>
      <c r="Y95" s="291"/>
      <c r="Z95" s="180"/>
      <c r="AB95" s="319" t="s">
        <v>119</v>
      </c>
      <c r="AC95" s="320">
        <f>AC92/(AC59)</f>
        <v>548.922496003671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(B94+B95)</f>
        <v>824.596111553831</v>
      </c>
      <c r="C96" s="250"/>
      <c r="D96" s="250"/>
      <c r="E96" s="291"/>
      <c r="F96" s="321" t="s">
        <v>120</v>
      </c>
      <c r="G96" s="322">
        <f>G94+G95</f>
        <v>752.109139399256</v>
      </c>
      <c r="H96" s="180"/>
      <c r="J96" s="321" t="s">
        <v>120</v>
      </c>
      <c r="K96" s="322">
        <f>(K94+K95)</f>
        <v>1542.56923744584</v>
      </c>
      <c r="L96" s="250"/>
      <c r="M96" s="250"/>
      <c r="N96" s="291"/>
      <c r="O96" s="291"/>
      <c r="P96" s="291"/>
      <c r="Q96" s="180"/>
      <c r="S96" s="321" t="s">
        <v>120</v>
      </c>
      <c r="T96" s="322">
        <f>T94+T95</f>
        <v>789.521136819579</v>
      </c>
      <c r="U96" s="250"/>
      <c r="V96" s="250"/>
      <c r="W96" s="291"/>
      <c r="X96" s="291"/>
      <c r="Y96" s="291"/>
      <c r="Z96" s="180"/>
      <c r="AB96" s="321" t="s">
        <v>120</v>
      </c>
      <c r="AC96" s="322">
        <f>AC94+AC95</f>
        <v>626.582966591907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123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0.3</v>
      </c>
      <c r="B108" s="102" t="s">
        <v>272</v>
      </c>
      <c r="C108" s="102"/>
      <c r="D108" s="102"/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16745</v>
      </c>
      <c r="L121" s="336">
        <v>28629.17</v>
      </c>
      <c r="M121" s="335">
        <f>D3</f>
        <v>0</v>
      </c>
      <c r="N121" s="336">
        <f>M121</f>
        <v>0</v>
      </c>
      <c r="O121" s="335">
        <f>F3</f>
        <v>0</v>
      </c>
      <c r="P121" s="336">
        <f>O121</f>
        <v>0</v>
      </c>
      <c r="Q121" s="337">
        <f>H3</f>
        <v>0</v>
      </c>
      <c r="S121" s="264" t="s">
        <v>151</v>
      </c>
      <c r="T121" s="335">
        <f>B3</f>
        <v>16745</v>
      </c>
      <c r="U121" s="336">
        <f>T121</f>
        <v>16745</v>
      </c>
      <c r="V121" s="335">
        <f>D3</f>
        <v>0</v>
      </c>
      <c r="W121" s="336">
        <f>V121</f>
        <v>0</v>
      </c>
      <c r="X121" s="335">
        <f>F3</f>
        <v>0</v>
      </c>
      <c r="Y121" s="336">
        <f>X121</f>
        <v>0</v>
      </c>
      <c r="Z121" s="337">
        <f>H3</f>
        <v>0</v>
      </c>
      <c r="AB121" s="264" t="s">
        <v>151</v>
      </c>
      <c r="AC121" s="335">
        <f>B3</f>
        <v>16745</v>
      </c>
      <c r="AD121" s="336">
        <f>AC121</f>
        <v>16745</v>
      </c>
      <c r="AE121" s="335">
        <f>D3</f>
        <v>0</v>
      </c>
      <c r="AF121" s="336">
        <f>AE121</f>
        <v>0</v>
      </c>
      <c r="AG121" s="335">
        <f>F3</f>
        <v>0</v>
      </c>
      <c r="AH121" s="336">
        <f>AG121</f>
        <v>0</v>
      </c>
      <c r="AI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v>0</v>
      </c>
      <c r="D122" s="338">
        <f>D4</f>
        <v>0</v>
      </c>
      <c r="E122" s="248">
        <v>0</v>
      </c>
      <c r="F122" s="338">
        <f>F4</f>
        <v>0</v>
      </c>
      <c r="G122" s="339">
        <v>0</v>
      </c>
      <c r="H122" s="249"/>
      <c r="J122" s="245" t="s">
        <v>152</v>
      </c>
      <c r="K122" s="338">
        <f>B4</f>
        <v>0</v>
      </c>
      <c r="L122" s="248">
        <v>0</v>
      </c>
      <c r="M122" s="338">
        <f>D4</f>
        <v>0</v>
      </c>
      <c r="N122" s="248">
        <f>M122</f>
        <v>0</v>
      </c>
      <c r="O122" s="338">
        <f>F4</f>
        <v>0</v>
      </c>
      <c r="P122" s="339">
        <f>O122</f>
        <v>0</v>
      </c>
      <c r="Q122" s="249"/>
      <c r="S122" s="245" t="s">
        <v>152</v>
      </c>
      <c r="T122" s="338">
        <f>B4</f>
        <v>0</v>
      </c>
      <c r="U122" s="248">
        <v>0.25</v>
      </c>
      <c r="V122" s="338">
        <f>D4</f>
        <v>0</v>
      </c>
      <c r="W122" s="248">
        <f>V122</f>
        <v>0</v>
      </c>
      <c r="X122" s="338">
        <f>F4</f>
        <v>0</v>
      </c>
      <c r="Y122" s="339">
        <f>X122</f>
        <v>0</v>
      </c>
      <c r="Z122" s="249"/>
      <c r="AB122" s="245" t="s">
        <v>152</v>
      </c>
      <c r="AC122" s="338">
        <f>B4</f>
        <v>0</v>
      </c>
      <c r="AD122" s="248">
        <v>0.25</v>
      </c>
      <c r="AE122" s="338">
        <f>D4</f>
        <v>0</v>
      </c>
      <c r="AF122" s="248">
        <f>AE122</f>
        <v>0</v>
      </c>
      <c r="AG122" s="338">
        <f>F4</f>
        <v>0</v>
      </c>
      <c r="AH122" s="339">
        <f>AG122</f>
        <v>0</v>
      </c>
      <c r="AI122" s="249"/>
    </row>
    <row r="123" ht="19.5" spans="1:35">
      <c r="A123" s="245" t="s">
        <v>153</v>
      </c>
      <c r="B123" s="340">
        <f>B5</f>
        <v>0</v>
      </c>
      <c r="C123" s="336">
        <v>-3544.67</v>
      </c>
      <c r="D123" s="340">
        <f>D5</f>
        <v>0</v>
      </c>
      <c r="E123" s="336">
        <v>0</v>
      </c>
      <c r="F123" s="340">
        <f>F5</f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>
        <f>F5</f>
        <v>0</v>
      </c>
      <c r="P123" s="336">
        <f>O123</f>
        <v>0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>
        <f>F5</f>
        <v>0</v>
      </c>
      <c r="Y123" s="336">
        <f>X123</f>
        <v>0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>
        <f>F5</f>
        <v>0</v>
      </c>
      <c r="AH123" s="336">
        <f>AG123</f>
        <v>0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-3544.67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>
        <f t="shared" si="0"/>
        <v>0</v>
      </c>
      <c r="P124" s="95">
        <f t="shared" si="0"/>
        <v>0</v>
      </c>
      <c r="Q124" s="180"/>
      <c r="S124" s="245" t="s">
        <v>154</v>
      </c>
      <c r="T124" s="340">
        <f>(T121*T122)+T123</f>
        <v>0</v>
      </c>
      <c r="U124" s="95">
        <f>(U121*U122/100)+U123</f>
        <v>41.8625</v>
      </c>
      <c r="V124" s="340">
        <f>(V121*V122)+V123</f>
        <v>0</v>
      </c>
      <c r="W124" s="95">
        <f>(W121*W122/100)+W123</f>
        <v>0</v>
      </c>
      <c r="X124" s="340">
        <f>(X121*X122)+X123</f>
        <v>0</v>
      </c>
      <c r="Y124" s="95">
        <f>(Y121*Y122/100)+Y123</f>
        <v>0</v>
      </c>
      <c r="Z124" s="180"/>
      <c r="AB124" s="245" t="s">
        <v>154</v>
      </c>
      <c r="AC124" s="340">
        <f t="shared" ref="AC124:AH124" si="1">(AC121*AC122)+AC123</f>
        <v>0</v>
      </c>
      <c r="AD124" s="95">
        <f t="shared" si="1"/>
        <v>4186.25</v>
      </c>
      <c r="AE124" s="340">
        <f t="shared" si="1"/>
        <v>0</v>
      </c>
      <c r="AF124" s="95">
        <f t="shared" si="1"/>
        <v>0</v>
      </c>
      <c r="AG124" s="340">
        <f t="shared" si="1"/>
        <v>0</v>
      </c>
      <c r="AH124" s="95">
        <f t="shared" si="1"/>
        <v>0</v>
      </c>
      <c r="AI124" s="180"/>
    </row>
    <row r="125" ht="19.5" spans="1:35">
      <c r="A125" s="275" t="s">
        <v>155</v>
      </c>
      <c r="B125" s="341">
        <f t="shared" ref="B125:G125" si="2">B121-B124</f>
        <v>16745</v>
      </c>
      <c r="C125" s="80">
        <f t="shared" si="2"/>
        <v>20289.67</v>
      </c>
      <c r="D125" s="341">
        <f t="shared" si="2"/>
        <v>0</v>
      </c>
      <c r="E125" s="80">
        <f t="shared" si="2"/>
        <v>0</v>
      </c>
      <c r="F125" s="341">
        <f t="shared" si="2"/>
        <v>0</v>
      </c>
      <c r="G125" s="80">
        <f t="shared" si="2"/>
        <v>0</v>
      </c>
      <c r="H125" s="281"/>
      <c r="J125" s="275" t="s">
        <v>155</v>
      </c>
      <c r="K125" s="341">
        <f t="shared" ref="K125:P125" si="3">K121-K124</f>
        <v>16745</v>
      </c>
      <c r="L125" s="80">
        <f t="shared" si="3"/>
        <v>28629.17</v>
      </c>
      <c r="M125" s="341">
        <f t="shared" si="3"/>
        <v>0</v>
      </c>
      <c r="N125" s="80">
        <f t="shared" si="3"/>
        <v>0</v>
      </c>
      <c r="O125" s="341">
        <f t="shared" si="3"/>
        <v>0</v>
      </c>
      <c r="P125" s="80">
        <f t="shared" si="3"/>
        <v>0</v>
      </c>
      <c r="Q125" s="281"/>
      <c r="S125" s="275" t="s">
        <v>155</v>
      </c>
      <c r="T125" s="341">
        <f t="shared" ref="T125:Y125" si="4">T121-T124</f>
        <v>16745</v>
      </c>
      <c r="U125" s="80">
        <f t="shared" si="4"/>
        <v>16703.1375</v>
      </c>
      <c r="V125" s="341">
        <f t="shared" si="4"/>
        <v>0</v>
      </c>
      <c r="W125" s="80">
        <f t="shared" si="4"/>
        <v>0</v>
      </c>
      <c r="X125" s="341">
        <f t="shared" si="4"/>
        <v>0</v>
      </c>
      <c r="Y125" s="80">
        <f t="shared" si="4"/>
        <v>0</v>
      </c>
      <c r="Z125" s="281"/>
      <c r="AB125" s="275" t="s">
        <v>155</v>
      </c>
      <c r="AC125" s="341">
        <f t="shared" ref="AC125:AH125" si="5">AC121-AC124</f>
        <v>16745</v>
      </c>
      <c r="AD125" s="80">
        <f t="shared" si="5"/>
        <v>12558.75</v>
      </c>
      <c r="AE125" s="341">
        <f t="shared" si="5"/>
        <v>0</v>
      </c>
      <c r="AF125" s="80">
        <f t="shared" si="5"/>
        <v>0</v>
      </c>
      <c r="AG125" s="341">
        <f t="shared" si="5"/>
        <v>0</v>
      </c>
      <c r="AH125" s="80">
        <f t="shared" si="5"/>
        <v>0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 t="shared" ref="G135:G142" si="6">H9</f>
        <v>16745</v>
      </c>
      <c r="H135" s="354">
        <f>C125+E125+G125+H128</f>
        <v>20289.67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16745</v>
      </c>
      <c r="Q135" s="354">
        <f>L125+N125+P125+Q128</f>
        <v>28629.17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16745</v>
      </c>
      <c r="Z135" s="354">
        <f>U125+W125+Y125+Z128</f>
        <v>16703.1375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16745</v>
      </c>
      <c r="AI135" s="354">
        <f>AD125+AF125+AH125+AI128</f>
        <v>12558.75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 t="shared" si="6"/>
        <v>695</v>
      </c>
      <c r="H136" s="180">
        <f>G136</f>
        <v>695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695</v>
      </c>
      <c r="Q136" s="180">
        <f>P136</f>
        <v>695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695</v>
      </c>
      <c r="Z136" s="180">
        <f>Y136</f>
        <v>695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695</v>
      </c>
      <c r="AI136" s="180">
        <f>AH136</f>
        <v>695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35">
        <f t="shared" si="6"/>
        <v>3488</v>
      </c>
      <c r="H137" s="180">
        <f>(H135+H136)*20%</f>
        <v>4196.934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3488</v>
      </c>
      <c r="Q137" s="180">
        <f>(Q135+Q136)*20%</f>
        <v>5864.834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3488</v>
      </c>
      <c r="Z137" s="180">
        <f>(Z135+Z136)*20%</f>
        <v>3479.6275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3488</v>
      </c>
      <c r="AI137" s="180">
        <f>(AI135+AI136)*20%</f>
        <v>2650.75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 t="shared" si="6"/>
        <v>0</v>
      </c>
      <c r="H138" s="180">
        <f>G138</f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 t="shared" si="6"/>
        <v>275</v>
      </c>
      <c r="H139" s="180">
        <f>G139</f>
        <v>275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275</v>
      </c>
      <c r="Q139" s="180">
        <f>P139</f>
        <v>275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275</v>
      </c>
      <c r="Z139" s="180">
        <f>Y139</f>
        <v>275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275</v>
      </c>
      <c r="AI139" s="180">
        <f>AH139</f>
        <v>275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 t="shared" si="6"/>
        <v>65</v>
      </c>
      <c r="H140" s="180">
        <f>G140</f>
        <v>65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65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65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65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5">
        <f t="shared" si="6"/>
        <v>21268</v>
      </c>
      <c r="H141" s="356">
        <f>(H135+H136+H139+H140+H137)-H138</f>
        <v>25521.604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21268</v>
      </c>
      <c r="Q141" s="356">
        <f>(Q135+Q136+Q139+Q140+Q137)-Q138</f>
        <v>35519.004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21268</v>
      </c>
      <c r="Z141" s="356">
        <f>(Z135+Z136+Z139+Z140+Z137)-Z138</f>
        <v>21207.765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21268</v>
      </c>
      <c r="AI141" s="356">
        <f>(AI135+AI136+AI139+AI140+AI137)-AI138</f>
        <v>16234.5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 t="shared" si="6"/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 t="s">
        <v>172</v>
      </c>
      <c r="C144" s="257"/>
      <c r="D144" s="257"/>
      <c r="E144" s="257"/>
      <c r="F144" s="257"/>
      <c r="G144" s="35">
        <f>H18</f>
        <v>0</v>
      </c>
      <c r="H144" s="268">
        <f>G144</f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f>G145</f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f>G146</f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25521.604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21268</v>
      </c>
      <c r="Q147" s="359">
        <f>Q141-((Q144*1.2)+(Q145*1.2)+(Q146*1.2)+(Q142*1.2))</f>
        <v>35519.004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21268</v>
      </c>
      <c r="Z147" s="359">
        <f>Z141-((Z144*1.2)+(Z145*1.2)+(Z146*1.2)+(Z142*1.2))</f>
        <v>21207.765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21268</v>
      </c>
      <c r="AI147" s="359">
        <f>AI141-((AI144*1.2)+(AI145*1.2)+(AI146*1.2)+(AI142*1.2))</f>
        <v>16234.5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3544.67</v>
      </c>
      <c r="I148" s="239">
        <f>(H148-G81)/1.2</f>
        <v>-16230.7783333333</v>
      </c>
      <c r="J148" s="254" t="s">
        <v>174</v>
      </c>
      <c r="K148" s="254"/>
      <c r="L148" s="254"/>
      <c r="M148" s="254"/>
      <c r="N148" s="254"/>
      <c r="O148" s="254"/>
      <c r="P148" s="35"/>
      <c r="Q148" s="268">
        <f>Q147-P147</f>
        <v>14251.004</v>
      </c>
      <c r="S148" s="254" t="s">
        <v>174</v>
      </c>
      <c r="T148" s="254"/>
      <c r="U148" s="254"/>
      <c r="V148" s="254"/>
      <c r="W148" s="254"/>
      <c r="X148" s="254"/>
      <c r="Y148" s="35"/>
      <c r="Z148" s="268">
        <f>Z147-Y147</f>
        <v>-60.2350000000006</v>
      </c>
      <c r="AB148" s="254" t="s">
        <v>174</v>
      </c>
      <c r="AC148" s="254"/>
      <c r="AD148" s="254"/>
      <c r="AE148" s="254"/>
      <c r="AF148" s="254"/>
      <c r="AG148" s="254"/>
      <c r="AH148" s="35"/>
      <c r="AI148" s="268">
        <f>AI147-AH147</f>
        <v>-5033.5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23021.604</v>
      </c>
      <c r="H158" s="362"/>
      <c r="J158" s="361" t="s">
        <v>181</v>
      </c>
      <c r="K158" s="250"/>
      <c r="L158" s="250"/>
      <c r="M158" s="291"/>
      <c r="N158" s="250"/>
      <c r="O158" s="291"/>
      <c r="P158" s="362">
        <f>Q147-P154-P157</f>
        <v>36519.004</v>
      </c>
      <c r="Q158" s="362"/>
      <c r="S158" s="361" t="s">
        <v>181</v>
      </c>
      <c r="T158" s="250"/>
      <c r="U158" s="250"/>
      <c r="V158" s="291"/>
      <c r="W158" s="250"/>
      <c r="X158" s="291"/>
      <c r="Y158" s="362">
        <f>Z147-Y154-Y157</f>
        <v>22207.765</v>
      </c>
      <c r="Z158" s="362"/>
      <c r="AB158" s="361" t="s">
        <v>181</v>
      </c>
      <c r="AC158" s="250"/>
      <c r="AD158" s="250"/>
      <c r="AE158" s="291"/>
      <c r="AF158" s="250"/>
      <c r="AG158" s="291"/>
      <c r="AH158" s="362">
        <f>AI147-AH154-AH157</f>
        <v>17234.5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740.463935083243</v>
      </c>
      <c r="B167" s="126">
        <f>B94</f>
        <v>84.1321764705882</v>
      </c>
      <c r="C167" s="365"/>
      <c r="D167" s="365"/>
      <c r="E167" s="126">
        <f>B96</f>
        <v>824.596111553831</v>
      </c>
      <c r="F167" s="262"/>
      <c r="G167" s="262">
        <f>ROUND(G95,2)</f>
        <v>682</v>
      </c>
      <c r="H167" s="180"/>
      <c r="J167" s="366">
        <f>K95</f>
        <v>1460.84083744584</v>
      </c>
      <c r="K167" s="126">
        <f>K94</f>
        <v>81.7284</v>
      </c>
      <c r="L167" s="365"/>
      <c r="M167" s="365"/>
      <c r="N167" s="126">
        <f>K96</f>
        <v>1542.56923744584</v>
      </c>
      <c r="O167" s="262"/>
      <c r="P167" s="262"/>
      <c r="Q167" s="180"/>
      <c r="S167" s="366">
        <f>T95</f>
        <v>724.80407799605</v>
      </c>
      <c r="T167" s="126">
        <f>T94</f>
        <v>64.7170588235294</v>
      </c>
      <c r="U167" s="365"/>
      <c r="V167" s="365"/>
      <c r="W167" s="126">
        <f>T96</f>
        <v>789.521136819579</v>
      </c>
      <c r="X167" s="262"/>
      <c r="Y167" s="262"/>
      <c r="Z167" s="180"/>
      <c r="AB167" s="366">
        <f>AC95</f>
        <v>548.922496003671</v>
      </c>
      <c r="AC167" s="126">
        <f>AC94</f>
        <v>77.6604705882353</v>
      </c>
      <c r="AD167" s="365"/>
      <c r="AE167" s="365"/>
      <c r="AF167" s="126">
        <f>AC96</f>
        <v>626.582966591907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35</v>
      </c>
      <c r="B170" s="40">
        <f>K30</f>
        <v>35000</v>
      </c>
      <c r="C170" s="367"/>
      <c r="D170" s="262"/>
      <c r="E170" s="274">
        <f>IF(A111="YES",A40,0)</f>
        <v>2505</v>
      </c>
      <c r="F170" s="262"/>
      <c r="G170" s="262"/>
      <c r="H170" s="180"/>
      <c r="J170" s="270">
        <f>K29</f>
        <v>35</v>
      </c>
      <c r="K170" s="42">
        <f>K30</f>
        <v>35000</v>
      </c>
      <c r="L170" s="367"/>
      <c r="M170" s="262"/>
      <c r="N170" s="274">
        <f>IF(A111="YES",A40,0)</f>
        <v>2505</v>
      </c>
      <c r="O170" s="262"/>
      <c r="P170" s="262"/>
      <c r="Q170" s="180"/>
      <c r="S170" s="270">
        <f>K29</f>
        <v>35</v>
      </c>
      <c r="T170" s="42">
        <f>K30</f>
        <v>35000</v>
      </c>
      <c r="U170" s="367"/>
      <c r="V170" s="262"/>
      <c r="W170" s="274">
        <f>IF(A111="YES",A40,0)</f>
        <v>2505</v>
      </c>
      <c r="X170" s="262"/>
      <c r="Y170" s="262"/>
      <c r="Z170" s="180"/>
      <c r="AB170" s="270">
        <f>K29</f>
        <v>35</v>
      </c>
      <c r="AC170" s="42">
        <f>K30</f>
        <v>35000</v>
      </c>
      <c r="AD170" s="367"/>
      <c r="AE170" s="262"/>
      <c r="AF170" s="274">
        <f>IF(A111="YES",A40,0)</f>
        <v>2505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20984.67</v>
      </c>
      <c r="B173" s="133">
        <f>H137</f>
        <v>4196.934</v>
      </c>
      <c r="C173" s="272"/>
      <c r="D173" s="262"/>
      <c r="E173" s="274">
        <f>H139+H140</f>
        <v>340</v>
      </c>
      <c r="F173" s="262"/>
      <c r="G173" s="262"/>
      <c r="H173" s="180"/>
      <c r="J173" s="132">
        <f>Q141-Q137-Q139-Q140</f>
        <v>29324.17</v>
      </c>
      <c r="K173" s="133">
        <f>Q137</f>
        <v>5864.834</v>
      </c>
      <c r="L173" s="272"/>
      <c r="M173" s="262"/>
      <c r="N173" s="274">
        <f>Q139+Q140</f>
        <v>330</v>
      </c>
      <c r="O173" s="262"/>
      <c r="P173" s="262"/>
      <c r="Q173" s="180"/>
      <c r="S173" s="132">
        <f>Z141-Z137-Z139-Z140</f>
        <v>17398.1375</v>
      </c>
      <c r="T173" s="133">
        <f>Z137</f>
        <v>3479.6275</v>
      </c>
      <c r="U173" s="272"/>
      <c r="V173" s="262"/>
      <c r="W173" s="274">
        <f>Z139+Z140</f>
        <v>330</v>
      </c>
      <c r="X173" s="262"/>
      <c r="Y173" s="262"/>
      <c r="Z173" s="180"/>
      <c r="AB173" s="132">
        <f>AI141-AI137-AI139-AI140</f>
        <v>13253.75</v>
      </c>
      <c r="AC173" s="133">
        <f>AI137</f>
        <v>2650.75</v>
      </c>
      <c r="AD173" s="272"/>
      <c r="AE173" s="262"/>
      <c r="AF173" s="274">
        <f>AI139+AI140</f>
        <v>330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H147</f>
        <v>25521.604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>
        <f>Q141</f>
        <v>35519.004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>
        <f>Z141</f>
        <v>21207.765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>
        <f>AI141</f>
        <v>16234.5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23021.604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>
        <f>J176-J179-K179</f>
        <v>36519.004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>
        <f>S176-S179-T179</f>
        <v>22207.765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>
        <f>AB176-AB179-AC179</f>
        <v>17234.5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4659.16979283027</v>
      </c>
      <c r="B182" s="133" t="str">
        <f>B114</f>
        <v>239.99</v>
      </c>
      <c r="C182" s="133"/>
      <c r="D182" s="262"/>
      <c r="E182" s="133">
        <f>E179+A182+B182+A185</f>
        <v>27930.7637928303</v>
      </c>
      <c r="F182" s="262"/>
      <c r="G182" s="262"/>
      <c r="H182" s="141"/>
      <c r="J182" s="134">
        <f>(J167*K59)+N185-N179-J185</f>
        <v>15654.5844731586</v>
      </c>
      <c r="K182" s="133">
        <f>K114</f>
        <v>239.99</v>
      </c>
      <c r="L182" s="133"/>
      <c r="M182" s="262"/>
      <c r="N182" s="133">
        <f>N179+J182+K182+J185</f>
        <v>52433.5784731586</v>
      </c>
      <c r="O182" s="262"/>
      <c r="P182" s="262"/>
      <c r="Q182" s="141"/>
      <c r="S182" s="134">
        <f>(S167*T59)+W185-W179-S185</f>
        <v>4940.57365186569</v>
      </c>
      <c r="T182" s="133">
        <f>T114</f>
        <v>199.99</v>
      </c>
      <c r="U182" s="133"/>
      <c r="V182" s="262"/>
      <c r="W182" s="133">
        <f>W179+S182+T182+S185</f>
        <v>27358.3286518657</v>
      </c>
      <c r="X182" s="262"/>
      <c r="Y182" s="262"/>
      <c r="Z182" s="141"/>
      <c r="AB182" s="134">
        <f>(AB167*AC59)+AF185-AF179-AB185</f>
        <v>3933.86486412483</v>
      </c>
      <c r="AC182" s="133">
        <f>AC114</f>
        <v>239.99</v>
      </c>
      <c r="AD182" s="133"/>
      <c r="AE182" s="262"/>
      <c r="AF182" s="133">
        <f>AF179+AB182+AC182+AB185</f>
        <v>21418.3548641248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A179+(B182)</f>
        <v>2239.99</v>
      </c>
      <c r="C185" s="133"/>
      <c r="D185" s="262"/>
      <c r="E185" s="133">
        <f>(IF(E170=0,E167+A185,E170+A185))</f>
        <v>2515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2525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2515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2515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IF(E105="YES",J18*0.000002,0)*100*1.2</f>
        <v>5.02272</v>
      </c>
      <c r="B188" s="133">
        <f>B68</f>
        <v>187.84989375</v>
      </c>
      <c r="C188" s="250"/>
      <c r="D188" s="250"/>
      <c r="E188" s="133">
        <f>(E40*A108)*0.1*(C45/100)</f>
        <v>55.0095</v>
      </c>
      <c r="F188" s="262"/>
      <c r="G188" s="262"/>
      <c r="H188" s="180"/>
      <c r="J188" s="134">
        <f>IF(N105="YES",H15*0.000002,0)</f>
        <v>0.042536</v>
      </c>
      <c r="K188" s="133">
        <f>(P158*K67)/1.2</f>
        <v>2250.73722569444</v>
      </c>
      <c r="L188" s="250"/>
      <c r="M188" s="250"/>
      <c r="N188" s="133">
        <f>(E40*J108)*0.1</f>
        <v>55.0095</v>
      </c>
      <c r="O188" s="262"/>
      <c r="P188" s="262"/>
      <c r="Q188" s="180"/>
      <c r="S188" s="134">
        <f>IF(W105="YES",Z15*0.000002,0)</f>
        <v>0</v>
      </c>
      <c r="T188" s="133">
        <f>(Y158*T67)/1.2</f>
        <v>181.209193576389</v>
      </c>
      <c r="U188" s="250"/>
      <c r="V188" s="250"/>
      <c r="W188" s="133">
        <f>(E40*S108)*0.1</f>
        <v>36.673</v>
      </c>
      <c r="X188" s="368"/>
      <c r="Y188" s="368"/>
      <c r="Z188" s="180"/>
      <c r="AB188" s="134">
        <f>IF(AF105="YES",AI15*0.000002,0)</f>
        <v>0</v>
      </c>
      <c r="AC188" s="133">
        <f>(AH158*AC67)/1.2</f>
        <v>140.628732638889</v>
      </c>
      <c r="AD188" s="250"/>
      <c r="AE188" s="250"/>
      <c r="AF188" s="133">
        <f>(E40*AB108)*0.1</f>
        <v>36.673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B182/1.2-100</f>
        <v>99.9916666666667</v>
      </c>
      <c r="B191" s="133">
        <f>B188+E188+A191</f>
        <v>342.851060416667</v>
      </c>
      <c r="C191" s="250"/>
      <c r="D191" s="250"/>
      <c r="E191" s="133">
        <f>H148</f>
        <v>3544.67</v>
      </c>
      <c r="F191" s="262"/>
      <c r="G191" s="262"/>
      <c r="H191" s="180"/>
      <c r="J191" s="134">
        <f>K185-100</f>
        <v>1139.99</v>
      </c>
      <c r="K191" s="133">
        <f>K188+N188+J191</f>
        <v>3445.73672569444</v>
      </c>
      <c r="L191" s="250"/>
      <c r="M191" s="250"/>
      <c r="N191" s="133">
        <f>Q148</f>
        <v>14251.004</v>
      </c>
      <c r="O191" s="262"/>
      <c r="P191" s="262"/>
      <c r="Q191" s="180"/>
      <c r="S191" s="134">
        <f>T185-100</f>
        <v>1099.99</v>
      </c>
      <c r="T191" s="133">
        <f>T188+W188+S191</f>
        <v>1317.87219357639</v>
      </c>
      <c r="U191" s="250"/>
      <c r="V191" s="250"/>
      <c r="W191" s="133">
        <f>Z148</f>
        <v>-60.2350000000006</v>
      </c>
      <c r="X191" s="368"/>
      <c r="Y191" s="368"/>
      <c r="Z191" s="180"/>
      <c r="AB191" s="134">
        <f>AC185-100</f>
        <v>1139.99</v>
      </c>
      <c r="AC191" s="133">
        <f>AC188+AF188+AB191</f>
        <v>1317.29173263889</v>
      </c>
      <c r="AD191" s="250"/>
      <c r="AE191" s="250"/>
      <c r="AF191" s="133">
        <f>AI148</f>
        <v>-5033.5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35000</v>
      </c>
      <c r="C196" s="288"/>
      <c r="D196" s="288"/>
      <c r="E196" s="262"/>
      <c r="F196" s="262"/>
      <c r="G196" s="262"/>
      <c r="H196" s="180"/>
      <c r="J196" s="286"/>
      <c r="K196" s="288">
        <f>K30</f>
        <v>35000</v>
      </c>
      <c r="L196" s="288"/>
      <c r="M196" s="288"/>
      <c r="N196" s="262"/>
      <c r="O196" s="262"/>
      <c r="P196" s="262"/>
      <c r="Q196" s="180"/>
      <c r="S196" s="286"/>
      <c r="T196" s="288">
        <f>K30</f>
        <v>35000</v>
      </c>
      <c r="U196" s="288"/>
      <c r="V196" s="288"/>
      <c r="W196" s="262"/>
      <c r="X196" s="262"/>
      <c r="Y196" s="262"/>
      <c r="Z196" s="180"/>
      <c r="AB196" s="286"/>
      <c r="AC196" s="288">
        <f>K30</f>
        <v>35000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35</v>
      </c>
      <c r="B197" s="71">
        <f>B96</f>
        <v>824.596111553831</v>
      </c>
      <c r="C197" s="71"/>
      <c r="D197" s="71"/>
      <c r="E197" s="262"/>
      <c r="F197" s="262"/>
      <c r="G197" s="262"/>
      <c r="H197" s="180"/>
      <c r="J197" s="289">
        <f>K29</f>
        <v>35</v>
      </c>
      <c r="K197" s="71">
        <f>K96</f>
        <v>1542.56923744584</v>
      </c>
      <c r="L197" s="71"/>
      <c r="M197" s="71"/>
      <c r="N197" s="262"/>
      <c r="O197" s="262"/>
      <c r="P197" s="262"/>
      <c r="Q197" s="180"/>
      <c r="S197" s="289">
        <f>K29</f>
        <v>35</v>
      </c>
      <c r="T197" s="71">
        <f>T96</f>
        <v>789.521136819579</v>
      </c>
      <c r="U197" s="71"/>
      <c r="V197" s="71"/>
      <c r="W197" s="262"/>
      <c r="X197" s="262"/>
      <c r="Y197" s="262"/>
      <c r="Z197" s="180"/>
      <c r="AB197" s="289">
        <f>K29</f>
        <v>35</v>
      </c>
      <c r="AC197" s="71">
        <f>AC96</f>
        <v>626.582966591907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2671.396</v>
      </c>
      <c r="B201" s="272">
        <f>E179+A201+B182+A185</f>
        <v>25942.99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64" t="s">
        <v>273</v>
      </c>
      <c r="B209" s="365">
        <f>A197</f>
        <v>35</v>
      </c>
      <c r="C209" s="365"/>
      <c r="D209" s="365"/>
      <c r="E209" s="365">
        <f>B196</f>
        <v>35000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740.463935083243</v>
      </c>
      <c r="B212" s="126">
        <f>B167</f>
        <v>84.1321764705882</v>
      </c>
      <c r="C212" s="365"/>
      <c r="D212" s="365"/>
      <c r="E212" s="126">
        <f>E167</f>
        <v>824.596111553831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20984.67</v>
      </c>
      <c r="B215" s="133">
        <f>B173</f>
        <v>4196.934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25521.604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23021.604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4659.16979283027</v>
      </c>
      <c r="B224" s="133" t="str">
        <f>B182</f>
        <v>239.99</v>
      </c>
      <c r="C224" s="133"/>
      <c r="D224" s="291"/>
      <c r="E224" s="133">
        <f>E182</f>
        <v>27930.7637928303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2239.99</v>
      </c>
      <c r="C227" s="133"/>
      <c r="D227" s="291"/>
      <c r="E227" s="133">
        <f>B59</f>
        <v>34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740.463935083243</v>
      </c>
      <c r="B230" s="133">
        <f>B167</f>
        <v>84.1321764705882</v>
      </c>
      <c r="C230" s="272"/>
      <c r="D230" s="272"/>
      <c r="E230" s="133">
        <f>E167</f>
        <v>824.596111553831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188</v>
      </c>
      <c r="B232" s="250" t="s">
        <v>210</v>
      </c>
      <c r="C232" s="250"/>
      <c r="D232" s="250"/>
      <c r="E232" s="250" t="s">
        <v>211</v>
      </c>
      <c r="F232" s="291"/>
      <c r="G232" s="291"/>
      <c r="H232" s="180"/>
    </row>
    <row r="233" spans="1:8">
      <c r="A233" s="134">
        <f>E170</f>
        <v>2505</v>
      </c>
      <c r="B233" s="133">
        <f>E185</f>
        <v>2515</v>
      </c>
      <c r="C233" s="250"/>
      <c r="D233" s="250"/>
      <c r="E233" s="133">
        <f>A188</f>
        <v>5.02272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132</v>
      </c>
      <c r="B235" s="133"/>
      <c r="C235" s="250"/>
      <c r="D235" s="250"/>
      <c r="E235" s="133"/>
      <c r="F235" s="291"/>
      <c r="G235" s="291"/>
      <c r="H235" s="180"/>
    </row>
    <row r="236" spans="1:8">
      <c r="A236" s="134"/>
      <c r="B236" s="133"/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3544.67</v>
      </c>
      <c r="B240" s="133">
        <f>B68</f>
        <v>187.84989375</v>
      </c>
      <c r="C240" s="250"/>
      <c r="D240" s="250"/>
      <c r="E240" s="133">
        <f>E188</f>
        <v>55.0095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3887.52106041667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1997.7737928303</v>
      </c>
      <c r="C254" s="376"/>
      <c r="D254" s="377" t="s">
        <v>218</v>
      </c>
      <c r="E254" s="377"/>
      <c r="F254" s="378">
        <f>F261+F267+F269+B270+B271</f>
        <v>225.4198725</v>
      </c>
      <c r="G254" s="262"/>
      <c r="H254" s="180"/>
    </row>
    <row r="255" spans="1:8">
      <c r="A255" s="370" t="s">
        <v>219</v>
      </c>
      <c r="B255" s="378">
        <f>F262+B263</f>
        <v>650.086666666667</v>
      </c>
      <c r="C255" s="376"/>
      <c r="D255" s="377" t="s">
        <v>220</v>
      </c>
      <c r="E255" s="377"/>
      <c r="F255" s="378">
        <f>(B254-F254)+B255</f>
        <v>2422.44058699697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1997.7737928303</v>
      </c>
      <c r="G260" s="262"/>
      <c r="H260" s="180"/>
    </row>
    <row r="261" ht="19.5" spans="1:8">
      <c r="A261" s="245" t="s">
        <v>223</v>
      </c>
      <c r="B261" s="387">
        <f>B67</f>
        <v>0.00979166666666667</v>
      </c>
      <c r="C261" s="368"/>
      <c r="D261" s="105" t="s">
        <v>223</v>
      </c>
      <c r="E261" s="105"/>
      <c r="F261" s="144">
        <f>B68*1.2</f>
        <v>225.4198725</v>
      </c>
      <c r="G261" s="262"/>
      <c r="H261" s="180"/>
    </row>
    <row r="262" ht="19.5" spans="1:8">
      <c r="A262" s="245" t="s">
        <v>224</v>
      </c>
      <c r="B262" s="383">
        <f>A108</f>
        <v>0.3</v>
      </c>
      <c r="C262" s="368"/>
      <c r="D262" s="105" t="s">
        <v>224</v>
      </c>
      <c r="E262" s="105"/>
      <c r="F262" s="389">
        <f>E240*10</f>
        <v>550.095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2422.44058699697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</mergeCells>
  <dataValidations count="4">
    <dataValidation type="list" allowBlank="1" showInputMessage="1" showErrorMessage="1" sqref="B26 E105 N105 W105 AF105 A111 J111 S111 AB111">
      <formula1>$Z$19:$Z$20</formula1>
    </dataValidation>
    <dataValidation type="list" allowBlank="1" showInputMessage="1" showErrorMessage="1" sqref="B105 K105 T105 AC105">
      <formula1>$Y$127:$Y$136</formula1>
    </dataValidation>
    <dataValidation type="list" allowBlank="1" showInputMessage="1" showErrorMessage="1" sqref="B108:D108 K108:M108 T108:V108 AC108:AE108">
      <formula1>$AP$108:$AP$109</formula1>
    </dataValidation>
    <dataValidation type="list" allowBlank="1" showInputMessage="1" showErrorMessage="1" sqref="A18:A20 A144:A146 J144:J146 S144:S146 AB144:AB146">
      <formula1>$AB$16:$AB$18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84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5" customWidth="true" style="239" width="18.8833333333333"/>
    <col min="6" max="6" customWidth="true" style="239" width="32.5083333333333"/>
    <col min="7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 t="n">
        <v>46854.17</v>
      </c>
      <c r="C3" s="246">
        <v>0</v>
      </c>
      <c r="D3" s="246" t="n">
        <v>0.0</v>
      </c>
      <c r="E3" s="246"/>
      <c r="F3" s="246" t="n">
        <v>833.33</v>
      </c>
      <c r="G3" s="246"/>
      <c r="H3" s="247">
        <v>0</v>
      </c>
      <c r="I3" s="240"/>
      <c r="J3" s="240"/>
    </row>
    <row r="4" spans="1:10">
      <c r="A4" s="245" t="s">
        <v>152</v>
      </c>
      <c r="B4" s="248" t="n">
        <v>0.0</v>
      </c>
      <c r="C4" s="248">
        <v>0</v>
      </c>
      <c r="D4" s="248" t="n">
        <v>0.0</v>
      </c>
      <c r="E4" s="248"/>
      <c r="F4" s="248" t="n">
        <v>0.0</v>
      </c>
      <c r="G4" s="248"/>
      <c r="H4" s="249"/>
      <c r="I4" s="240"/>
      <c r="J4" s="240"/>
    </row>
    <row r="5" spans="1:10">
      <c r="A5" s="245" t="s">
        <v>153</v>
      </c>
      <c r="B5" s="246" t="n">
        <v>0.0</v>
      </c>
      <c r="C5" s="246">
        <v>0</v>
      </c>
      <c r="D5" s="246" t="n">
        <v>0.0</v>
      </c>
      <c r="E5" s="246"/>
      <c r="F5" s="246" t="n">
        <v>0.0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550</v>
      </c>
      <c r="F10" s="254"/>
      <c r="G10" s="35"/>
      <c r="H10" s="247" t="n">
        <v>550.0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555</v>
      </c>
      <c r="F13" s="254"/>
      <c r="G13" s="35"/>
      <c r="H13" s="247" t="n">
        <v>585.0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 t="n">
        <v>65.0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0</v>
      </c>
      <c r="F16" s="254"/>
      <c r="G16" s="35"/>
      <c r="H16" s="247" t="n">
        <v>0.0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 t="n">
        <v>0.0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19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28</v>
      </c>
      <c r="K29" s="304" t="n">
        <v>35.0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 t="n">
        <v>35000.0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 t="n">
        <v>3945.0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>
        <v>0</v>
      </c>
      <c r="J32" s="300" t="s">
        <v>36</v>
      </c>
      <c r="K32" s="214" t="n">
        <v>0.0</v>
      </c>
      <c r="P32" s="273"/>
    </row>
    <row r="33" ht="36.75" spans="1:16">
      <c r="A33" s="270">
        <f>A52</f>
        <v>35</v>
      </c>
      <c r="B33" s="44">
        <f>B51</f>
        <v>35000</v>
      </c>
      <c r="C33" s="250"/>
      <c r="D33" s="250"/>
      <c r="E33" s="44">
        <f>K48</f>
        <v>583.05944916212</v>
      </c>
      <c r="F33" s="44"/>
      <c r="G33" s="44"/>
      <c r="H33" s="271"/>
      <c r="I33" s="240"/>
      <c r="J33" s="302" t="s">
        <v>355</v>
      </c>
      <c r="K33" s="306">
        <f>H21-H11+(H16*20%)</f>
        <v>17780</v>
      </c>
      <c r="L33" s="239">
        <f>H21-H11+(H16*20%)</f>
        <v>17780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 t="n">
        <v>0.065</v>
      </c>
      <c r="P35" s="273"/>
    </row>
    <row r="36" spans="1:16">
      <c r="A36" s="132">
        <f>K47</f>
        <v>520.19944916212</v>
      </c>
      <c r="B36" s="44">
        <f>IF(B26="YES",K42,"0.00")</f>
        <v>62.86</v>
      </c>
      <c r="C36" s="44"/>
      <c r="D36" s="44"/>
      <c r="E36" s="44">
        <f>K31</f>
        <v>2004</v>
      </c>
      <c r="F36" s="44"/>
      <c r="G36" s="44"/>
      <c r="H36" s="271"/>
      <c r="I36" s="240"/>
      <c r="J36" s="240" t="s">
        <v>50</v>
      </c>
      <c r="K36" s="240">
        <f>K29</f>
        <v>35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17780</v>
      </c>
      <c r="L39" s="240">
        <f>(L47*K46)+K44</f>
        <v>24629.9815220448</v>
      </c>
      <c r="N39" s="239">
        <f>K39-L39</f>
        <v>-6849.98152204484</v>
      </c>
      <c r="P39" s="273"/>
    </row>
    <row r="40" ht="19.5" spans="1:16">
      <c r="A40" s="103" t="n">
        <f>E36*A45/100</f>
        <v>0.0</v>
      </c>
      <c r="B40" s="102">
        <f>IF(B26="YES",K42,"0.00")</f>
        <v>62.86</v>
      </c>
      <c r="C40" s="102"/>
      <c r="D40" s="102"/>
      <c r="E40" s="274">
        <f>K32</f>
        <v>2200.1</v>
      </c>
      <c r="F40" s="272"/>
      <c r="G40" s="272"/>
      <c r="H40" s="271"/>
      <c r="J40" s="240" t="s">
        <v>107</v>
      </c>
      <c r="K40" s="240">
        <f>(A40)/1.2</f>
        <v>1670</v>
      </c>
      <c r="L40" s="240">
        <f>K39-L39</f>
        <v>-6849.98152204484</v>
      </c>
      <c r="N40" s="239">
        <f>N38-N39</f>
        <v>9761.66152204484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0.00583333333333333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(K32/K36/100)*C45</f>
        <v>62.86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1354.50185880034</v>
      </c>
      <c r="L44" s="240"/>
      <c r="P44" s="273"/>
    </row>
    <row r="45" ht="19.5" spans="1:16">
      <c r="A45" s="279" t="n">
        <v>100.0</v>
      </c>
      <c r="B45" s="250"/>
      <c r="C45" s="280" t="n">
        <v>100.0</v>
      </c>
      <c r="D45" s="280"/>
      <c r="E45" s="280"/>
      <c r="F45" s="250"/>
      <c r="G45" s="250"/>
      <c r="H45" s="180"/>
      <c r="J45" s="240" t="s">
        <v>366</v>
      </c>
      <c r="K45" s="240">
        <f>(K39-K44)</f>
        <v>16425.4981411997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31.5753854942677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520.19944916212</v>
      </c>
      <c r="L47" s="240">
        <f>L49-K42</f>
        <v>737.14</v>
      </c>
      <c r="M47" s="239">
        <f>K47-L47</f>
        <v>-216.94055083788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583.05944916212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35000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35</v>
      </c>
      <c r="B52" s="71">
        <f>K48</f>
        <v>583.05944916212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34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34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34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34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 t="n">
        <v>10.0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20928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20928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20928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20928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 t="n">
        <v>0.0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 t="n">
        <v>0.065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 t="n">
        <v>0.05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9283.02209624229</v>
      </c>
      <c r="C65" s="250"/>
      <c r="D65" s="250"/>
      <c r="E65" s="291"/>
      <c r="F65" s="291"/>
      <c r="G65" s="291"/>
      <c r="H65" s="180"/>
      <c r="J65" s="275" t="s">
        <v>91</v>
      </c>
      <c r="K65" s="281">
        <f>(K89*K59)-(K47*K29)</f>
        <v>31461.6077524844</v>
      </c>
      <c r="L65" s="250"/>
      <c r="M65" s="250"/>
      <c r="N65" s="291"/>
      <c r="O65" s="291"/>
      <c r="P65" s="291"/>
      <c r="Q65" s="180"/>
      <c r="S65" s="275" t="s">
        <v>91</v>
      </c>
      <c r="T65" s="281">
        <f>(T89*T59)-(K47*K29)</f>
        <v>6848.32065523045</v>
      </c>
      <c r="U65" s="250"/>
      <c r="V65" s="250"/>
      <c r="W65" s="291"/>
      <c r="X65" s="291"/>
      <c r="Y65" s="291"/>
      <c r="Z65" s="180"/>
      <c r="AB65" s="275" t="s">
        <v>91</v>
      </c>
      <c r="AC65" s="281">
        <f>(AC89*AC59)-(K47*K29)</f>
        <v>868.346867489585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 t="n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0.00979166666666667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0.0739583333333333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0.00979166666666667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0.00979166666666667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200.905449305556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1547.8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204.92</v>
      </c>
      <c r="U68" s="250"/>
      <c r="V68" s="250"/>
      <c r="W68" s="291"/>
      <c r="X68" s="291"/>
      <c r="Y68" s="291"/>
      <c r="Z68" s="180"/>
      <c r="AB68" s="275" t="s">
        <v>94</v>
      </c>
      <c r="AC68" s="281">
        <f>AH158*AC67</f>
        <v>168.754479166667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0.05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B73*B29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91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91"/>
      <c r="G77" s="291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B77/K29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520.19944916212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520.19944916212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583.05944916212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583.05944916212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24621.604</v>
      </c>
      <c r="C81" s="250"/>
      <c r="D81" s="250"/>
      <c r="E81" s="291"/>
      <c r="F81" s="264" t="s">
        <v>106</v>
      </c>
      <c r="G81" s="266">
        <f>G158</f>
        <v>24621.604</v>
      </c>
      <c r="H81" s="180"/>
      <c r="J81" s="264" t="s">
        <v>106</v>
      </c>
      <c r="K81" s="266">
        <f>P158</f>
        <v>36519.004</v>
      </c>
      <c r="L81" s="250"/>
      <c r="M81" s="250"/>
      <c r="N81" s="291"/>
      <c r="O81" s="291"/>
      <c r="P81" s="291"/>
      <c r="Q81" s="180"/>
      <c r="S81" s="264" t="s">
        <v>106</v>
      </c>
      <c r="T81" s="266">
        <f>Y158</f>
        <v>22207.765</v>
      </c>
      <c r="U81" s="250"/>
      <c r="V81" s="250"/>
      <c r="W81" s="291"/>
      <c r="X81" s="291"/>
      <c r="Y81" s="291"/>
      <c r="Z81" s="180"/>
      <c r="AB81" s="264" t="s">
        <v>106</v>
      </c>
      <c r="AC81" s="266">
        <f>AH158</f>
        <v>17234.5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2004</v>
      </c>
      <c r="C82" s="250"/>
      <c r="D82" s="250"/>
      <c r="E82" s="291"/>
      <c r="F82" s="245" t="s">
        <v>107</v>
      </c>
      <c r="G82" s="180">
        <f>IF(A111="YES",A40,0)</f>
        <v>2004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2004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2004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179">
        <f>B62+B63+B64</f>
        <v>0.12</v>
      </c>
      <c r="C83" s="250"/>
      <c r="D83" s="250"/>
      <c r="E83" s="291"/>
      <c r="F83" s="245" t="s">
        <v>108</v>
      </c>
      <c r="G83" s="317">
        <f>B63</f>
        <v>0.07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0.01</v>
      </c>
      <c r="C84" s="250"/>
      <c r="D84" s="250"/>
      <c r="E84" s="291"/>
      <c r="F84" s="245" t="s">
        <v>109</v>
      </c>
      <c r="G84" s="179">
        <f>G83/12</f>
        <v>0.00583333333333333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34</v>
      </c>
      <c r="C85" s="250"/>
      <c r="D85" s="250"/>
      <c r="E85" s="291"/>
      <c r="F85" s="245" t="s">
        <v>110</v>
      </c>
      <c r="G85" s="180">
        <f>IF(G82=0,(B59+B58),(B59))</f>
        <v>34</v>
      </c>
      <c r="H85" s="180"/>
      <c r="J85" s="245" t="s">
        <v>110</v>
      </c>
      <c r="K85" s="180">
        <f>IF(K82=0,(K59+K58),(K59))</f>
        <v>35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34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34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1414.65205504356</v>
      </c>
      <c r="C86" s="250"/>
      <c r="D86" s="250"/>
      <c r="E86" s="291"/>
      <c r="F86" s="245" t="s">
        <v>111</v>
      </c>
      <c r="G86" s="180">
        <f>(G82/((1+G84)^(G85+1)))</f>
        <v>1634.88374357201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1370.4406537485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1370.4406537485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28.7026658885233</v>
      </c>
      <c r="C87" s="250"/>
      <c r="D87" s="250"/>
      <c r="E87" s="291"/>
      <c r="F87" s="245" t="s">
        <v>112</v>
      </c>
      <c r="G87" s="180">
        <f>((1-(1/((1+G84)^G85)))/G84)</f>
        <v>30.7595752429843</v>
      </c>
      <c r="H87" s="180"/>
      <c r="J87" s="245" t="s">
        <v>112</v>
      </c>
      <c r="K87" s="180">
        <f>((1-(1/((1+K84)^K85)))/K84)</f>
        <v>24.9986193320352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28.2762125724768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28.2762125724768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23206.9519449564</v>
      </c>
      <c r="C88" s="250"/>
      <c r="D88" s="250"/>
      <c r="E88" s="291"/>
      <c r="F88" s="245" t="s">
        <v>113</v>
      </c>
      <c r="G88" s="180">
        <f>G81-G86</f>
        <v>22986.720256428</v>
      </c>
      <c r="H88" s="180"/>
      <c r="J88" s="245" t="s">
        <v>113</v>
      </c>
      <c r="K88" s="180">
        <f>K81-K86</f>
        <v>36519.004</v>
      </c>
      <c r="L88" s="250"/>
      <c r="M88" s="250"/>
      <c r="N88" s="291"/>
      <c r="O88" s="291"/>
      <c r="P88" s="291"/>
      <c r="Q88" s="180"/>
      <c r="S88" s="245" t="s">
        <v>113</v>
      </c>
      <c r="T88" s="180">
        <f>T81-T86</f>
        <v>20837.3243462515</v>
      </c>
      <c r="U88" s="250"/>
      <c r="V88" s="250"/>
      <c r="W88" s="291"/>
      <c r="X88" s="291"/>
      <c r="Y88" s="291"/>
      <c r="Z88" s="180"/>
      <c r="AB88" s="245" t="s">
        <v>113</v>
      </c>
      <c r="AC88" s="180">
        <f>AC81-AC86</f>
        <v>15864.0593462515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808.529494615191</v>
      </c>
      <c r="C89" s="250"/>
      <c r="D89" s="250"/>
      <c r="E89" s="291"/>
      <c r="F89" s="245" t="s">
        <v>114</v>
      </c>
      <c r="G89" s="180">
        <f>(G88/G87)</f>
        <v>747.302915428614</v>
      </c>
      <c r="H89" s="180"/>
      <c r="J89" s="245" t="s">
        <v>114</v>
      </c>
      <c r="K89" s="180">
        <f>(K88/K87)</f>
        <v>1460.84083744584</v>
      </c>
      <c r="L89" s="250"/>
      <c r="M89" s="250"/>
      <c r="N89" s="291"/>
      <c r="O89" s="291"/>
      <c r="P89" s="291"/>
      <c r="Q89" s="180"/>
      <c r="S89" s="245" t="s">
        <v>114</v>
      </c>
      <c r="T89" s="180">
        <f>(T88/T87)</f>
        <v>736.920628703078</v>
      </c>
      <c r="U89" s="250"/>
      <c r="V89" s="250"/>
      <c r="W89" s="291"/>
      <c r="X89" s="291"/>
      <c r="Y89" s="291"/>
      <c r="Z89" s="180"/>
      <c r="AB89" s="245" t="s">
        <v>114</v>
      </c>
      <c r="AC89" s="180">
        <f>(AC88/AC87)</f>
        <v>561.0390467107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27490.0028169165</v>
      </c>
      <c r="C90" s="250"/>
      <c r="D90" s="250"/>
      <c r="E90" s="291"/>
      <c r="F90" s="245" t="s">
        <v>115</v>
      </c>
      <c r="G90" s="180">
        <f>((G89*(G85))+G77)</f>
        <v>25408.2991245729</v>
      </c>
      <c r="H90" s="180"/>
      <c r="J90" s="245" t="s">
        <v>115</v>
      </c>
      <c r="K90" s="180">
        <f>((K89*(K85))+K77)</f>
        <v>51129.4293106044</v>
      </c>
      <c r="L90" s="250"/>
      <c r="M90" s="250"/>
      <c r="N90" s="291"/>
      <c r="O90" s="291"/>
      <c r="P90" s="291"/>
      <c r="Q90" s="180"/>
      <c r="S90" s="245" t="s">
        <v>115</v>
      </c>
      <c r="T90" s="180">
        <f>(T89*(T85))+T77</f>
        <v>25055.3013759046</v>
      </c>
      <c r="U90" s="250"/>
      <c r="V90" s="250"/>
      <c r="W90" s="291"/>
      <c r="X90" s="291"/>
      <c r="Y90" s="291"/>
      <c r="Z90" s="180"/>
      <c r="AB90" s="245" t="s">
        <v>115</v>
      </c>
      <c r="AC90" s="180">
        <f>(AC89*(AC59))+AC77</f>
        <v>19075.3275881638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(B90/(1-B71))*B71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>
        <f>(K90/(1-K71))*K71</f>
        <v>0</v>
      </c>
      <c r="L91" s="250"/>
      <c r="M91" s="250"/>
      <c r="N91" s="291"/>
      <c r="O91" s="291"/>
      <c r="P91" s="291"/>
      <c r="Q91" s="180"/>
      <c r="S91" s="245" t="s">
        <v>116</v>
      </c>
      <c r="T91" s="180">
        <f>(T90/(1-T71))*T71</f>
        <v>0</v>
      </c>
      <c r="U91" s="250"/>
      <c r="V91" s="250"/>
      <c r="W91" s="291"/>
      <c r="X91" s="291"/>
      <c r="Y91" s="291"/>
      <c r="Z91" s="180"/>
      <c r="AB91" s="245" t="s">
        <v>116</v>
      </c>
      <c r="AC91" s="180">
        <f>(AC90/(1-AC71))*AC71</f>
        <v>0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27490.0028169165</v>
      </c>
      <c r="C92" s="250"/>
      <c r="D92" s="250"/>
      <c r="E92" s="291"/>
      <c r="F92" s="275" t="s">
        <v>117</v>
      </c>
      <c r="G92" s="281">
        <f>(G90+G91)</f>
        <v>25408.2991245729</v>
      </c>
      <c r="H92" s="180"/>
      <c r="J92" s="275" t="s">
        <v>117</v>
      </c>
      <c r="K92" s="281">
        <f>(K90+K91)</f>
        <v>51129.4293106044</v>
      </c>
      <c r="L92" s="250"/>
      <c r="M92" s="250"/>
      <c r="N92" s="291"/>
      <c r="O92" s="291"/>
      <c r="P92" s="291"/>
      <c r="Q92" s="180"/>
      <c r="S92" s="275" t="s">
        <v>117</v>
      </c>
      <c r="T92" s="281">
        <f>(T90+T91)</f>
        <v>25055.3013759046</v>
      </c>
      <c r="U92" s="250"/>
      <c r="V92" s="250"/>
      <c r="W92" s="291"/>
      <c r="X92" s="291"/>
      <c r="Y92" s="291"/>
      <c r="Z92" s="180"/>
      <c r="AB92" s="275" t="s">
        <v>117</v>
      </c>
      <c r="AC92" s="281">
        <f>(AC90+AC91)</f>
        <v>19075.3275881638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5">
        <f>IF(B26="YES",((E40/B85)*(1+A108)*1.2*(C45/100)),"0")</f>
        <v>100.945764705882</v>
      </c>
      <c r="C94" s="250"/>
      <c r="D94" s="250"/>
      <c r="E94" s="291"/>
      <c r="F94" s="314" t="s">
        <v>118</v>
      </c>
      <c r="G94" s="318">
        <f>IF(B26="YES",((E40/B85)*(1+A108)*(C45/100)),"0")</f>
        <v>84.1214705882353</v>
      </c>
      <c r="H94" s="180"/>
      <c r="J94" s="314" t="s">
        <v>118</v>
      </c>
      <c r="K94" s="315">
        <f>((E40/K85)*(1+J108))*1.2</f>
        <v>98.0616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77.6505882352941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93.1807058823529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808.529494615191</v>
      </c>
      <c r="C95" s="250"/>
      <c r="D95" s="250"/>
      <c r="E95" s="291"/>
      <c r="F95" s="319" t="s">
        <v>119</v>
      </c>
      <c r="G95" s="320">
        <f>G92/(G85)</f>
        <v>747.302915428614</v>
      </c>
      <c r="H95" s="180"/>
      <c r="J95" s="319" t="s">
        <v>119</v>
      </c>
      <c r="K95" s="320">
        <f>K92/(K85)</f>
        <v>1460.84083744584</v>
      </c>
      <c r="L95" s="250"/>
      <c r="M95" s="250"/>
      <c r="N95" s="291"/>
      <c r="O95" s="291"/>
      <c r="P95" s="291"/>
      <c r="Q95" s="180"/>
      <c r="S95" s="319" t="s">
        <v>119</v>
      </c>
      <c r="T95" s="320">
        <f>T92/(T85)</f>
        <v>736.920628703078</v>
      </c>
      <c r="U95" s="250"/>
      <c r="V95" s="250"/>
      <c r="W95" s="291"/>
      <c r="X95" s="291"/>
      <c r="Y95" s="291"/>
      <c r="Z95" s="180"/>
      <c r="AB95" s="319" t="s">
        <v>119</v>
      </c>
      <c r="AC95" s="320">
        <f>AC92/(AC59)</f>
        <v>561.0390467107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(B94+B95)</f>
        <v>909.475259321073</v>
      </c>
      <c r="C96" s="250"/>
      <c r="D96" s="250"/>
      <c r="E96" s="291"/>
      <c r="F96" s="321" t="s">
        <v>120</v>
      </c>
      <c r="G96" s="322">
        <f>G94+G95</f>
        <v>831.42438601685</v>
      </c>
      <c r="H96" s="180"/>
      <c r="J96" s="321" t="s">
        <v>120</v>
      </c>
      <c r="K96" s="322">
        <f>(K94+K95)</f>
        <v>1558.90243744584</v>
      </c>
      <c r="L96" s="250"/>
      <c r="M96" s="250"/>
      <c r="N96" s="291"/>
      <c r="O96" s="291"/>
      <c r="P96" s="291"/>
      <c r="Q96" s="180"/>
      <c r="S96" s="321" t="s">
        <v>120</v>
      </c>
      <c r="T96" s="322">
        <f>T94+T95</f>
        <v>814.571216938372</v>
      </c>
      <c r="U96" s="250"/>
      <c r="V96" s="250"/>
      <c r="W96" s="291"/>
      <c r="X96" s="291"/>
      <c r="Y96" s="291"/>
      <c r="Z96" s="180"/>
      <c r="AB96" s="321" t="s">
        <v>120</v>
      </c>
      <c r="AC96" s="322">
        <f>AC94+AC95</f>
        <v>654.219752593053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125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48" t="s">
        <v>19</v>
      </c>
      <c r="F105" s="48"/>
      <c r="G105" s="48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 t="n">
        <v>0.2</v>
      </c>
      <c r="B108" s="102" t="s">
        <v>121</v>
      </c>
      <c r="C108" s="102"/>
      <c r="D108" s="102"/>
      <c r="E108" s="327">
        <f>B83</f>
        <v>0.12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 t="n">
        <v>1000.0</v>
      </c>
      <c r="C111" s="102"/>
      <c r="D111" s="102"/>
      <c r="E111" s="102" t="n">
        <v>1000.0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400</v>
      </c>
      <c r="B114" s="102" t="s">
        <v>143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 t="s">
        <v>144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16745</v>
      </c>
      <c r="L121" s="336">
        <v>28629.17</v>
      </c>
      <c r="M121" s="335">
        <f>D3</f>
        <v>0</v>
      </c>
      <c r="N121" s="336">
        <f>M121</f>
        <v>0</v>
      </c>
      <c r="O121" s="335">
        <f>F3</f>
        <v>0</v>
      </c>
      <c r="P121" s="336">
        <f>O121</f>
        <v>0</v>
      </c>
      <c r="Q121" s="337">
        <f>H3</f>
        <v>0</v>
      </c>
      <c r="S121" s="264" t="s">
        <v>151</v>
      </c>
      <c r="T121" s="335">
        <f>B3</f>
        <v>16745</v>
      </c>
      <c r="U121" s="336">
        <f>T121</f>
        <v>16745</v>
      </c>
      <c r="V121" s="335">
        <f>D3</f>
        <v>0</v>
      </c>
      <c r="W121" s="336">
        <f>V121</f>
        <v>0</v>
      </c>
      <c r="X121" s="335">
        <f>F3</f>
        <v>0</v>
      </c>
      <c r="Y121" s="336">
        <f>X121</f>
        <v>0</v>
      </c>
      <c r="Z121" s="337">
        <f>H3</f>
        <v>0</v>
      </c>
      <c r="AB121" s="264" t="s">
        <v>151</v>
      </c>
      <c r="AC121" s="335">
        <f>B3</f>
        <v>16745</v>
      </c>
      <c r="AD121" s="336">
        <f>AC121</f>
        <v>16745</v>
      </c>
      <c r="AE121" s="335">
        <f>D3</f>
        <v>0</v>
      </c>
      <c r="AF121" s="336">
        <f>AE121</f>
        <v>0</v>
      </c>
      <c r="AG121" s="335">
        <f>F3</f>
        <v>0</v>
      </c>
      <c r="AH121" s="336">
        <f>AG121</f>
        <v>0</v>
      </c>
      <c r="AI121" s="337">
        <f>H3</f>
        <v>0</v>
      </c>
    </row>
    <row r="122" ht="19.5" spans="1:35">
      <c r="A122" s="245" t="s">
        <v>152</v>
      </c>
      <c r="B122" s="338">
        <f>B4</f>
        <v>0</v>
      </c>
      <c r="C122" s="248" t="n">
        <v>0.0</v>
      </c>
      <c r="D122" s="338">
        <f>D4</f>
        <v>0</v>
      </c>
      <c r="E122" s="248" t="n">
        <v>0.0</v>
      </c>
      <c r="F122" s="338">
        <f>F4</f>
        <v>0</v>
      </c>
      <c r="G122" s="339" t="n">
        <v>0.0</v>
      </c>
      <c r="H122" s="249"/>
      <c r="J122" s="245" t="s">
        <v>152</v>
      </c>
      <c r="K122" s="338">
        <f>B4</f>
        <v>0</v>
      </c>
      <c r="L122" s="248">
        <v>0</v>
      </c>
      <c r="M122" s="338">
        <f>D4</f>
        <v>0</v>
      </c>
      <c r="N122" s="248">
        <f>M122</f>
        <v>0</v>
      </c>
      <c r="O122" s="338">
        <f>F4</f>
        <v>0</v>
      </c>
      <c r="P122" s="339">
        <f>O122</f>
        <v>0</v>
      </c>
      <c r="Q122" s="249"/>
      <c r="S122" s="245" t="s">
        <v>152</v>
      </c>
      <c r="T122" s="338">
        <f>B4</f>
        <v>0</v>
      </c>
      <c r="U122" s="248">
        <v>0.25</v>
      </c>
      <c r="V122" s="338">
        <f>D4</f>
        <v>0</v>
      </c>
      <c r="W122" s="248">
        <f>V122</f>
        <v>0</v>
      </c>
      <c r="X122" s="338">
        <f>F4</f>
        <v>0</v>
      </c>
      <c r="Y122" s="339">
        <f>X122</f>
        <v>0</v>
      </c>
      <c r="Z122" s="249"/>
      <c r="AB122" s="245" t="s">
        <v>152</v>
      </c>
      <c r="AC122" s="338">
        <f>B4</f>
        <v>0</v>
      </c>
      <c r="AD122" s="248">
        <v>0.25</v>
      </c>
      <c r="AE122" s="338">
        <f>D4</f>
        <v>0</v>
      </c>
      <c r="AF122" s="248">
        <f>AE122</f>
        <v>0</v>
      </c>
      <c r="AG122" s="338">
        <f>F4</f>
        <v>0</v>
      </c>
      <c r="AH122" s="339">
        <f>AG122</f>
        <v>0</v>
      </c>
      <c r="AI122" s="249"/>
    </row>
    <row r="123" ht="19.5" spans="1:35">
      <c r="A123" s="245" t="s">
        <v>153</v>
      </c>
      <c r="B123" s="340">
        <f>B5</f>
        <v>0</v>
      </c>
      <c r="C123" s="336" t="n">
        <v>-9755.83</v>
      </c>
      <c r="D123" s="340">
        <f>D5</f>
        <v>0</v>
      </c>
      <c r="E123" s="336" t="n">
        <v>0.0</v>
      </c>
      <c r="F123" s="340">
        <f>F5</f>
        <v>0</v>
      </c>
      <c r="G123" s="336" t="n">
        <v>0.0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>
        <f>F5</f>
        <v>0</v>
      </c>
      <c r="P123" s="336">
        <f>O123</f>
        <v>0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>
        <f>F5</f>
        <v>0</v>
      </c>
      <c r="Y123" s="336">
        <f>X123</f>
        <v>0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>
        <f>F5</f>
        <v>0</v>
      </c>
      <c r="AH123" s="336">
        <f>AG123</f>
        <v>0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-3544.67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>
        <f t="shared" si="0"/>
        <v>0</v>
      </c>
      <c r="P124" s="95">
        <f t="shared" si="0"/>
        <v>0</v>
      </c>
      <c r="Q124" s="180"/>
      <c r="S124" s="245" t="s">
        <v>154</v>
      </c>
      <c r="T124" s="340">
        <f>(T121*T122)+T123</f>
        <v>0</v>
      </c>
      <c r="U124" s="95">
        <f>(U121*U122/100)+U123</f>
        <v>41.8625</v>
      </c>
      <c r="V124" s="340">
        <f>(V121*V122)+V123</f>
        <v>0</v>
      </c>
      <c r="W124" s="95">
        <f>(W121*W122/100)+W123</f>
        <v>0</v>
      </c>
      <c r="X124" s="340">
        <f>(X121*X122)+X123</f>
        <v>0</v>
      </c>
      <c r="Y124" s="95">
        <f>(Y121*Y122/100)+Y123</f>
        <v>0</v>
      </c>
      <c r="Z124" s="180"/>
      <c r="AB124" s="245" t="s">
        <v>154</v>
      </c>
      <c r="AC124" s="340">
        <f t="shared" ref="AC124:AH124" si="1">(AC121*AC122)+AC123</f>
        <v>0</v>
      </c>
      <c r="AD124" s="95">
        <f t="shared" si="1"/>
        <v>4186.25</v>
      </c>
      <c r="AE124" s="340">
        <f t="shared" si="1"/>
        <v>0</v>
      </c>
      <c r="AF124" s="95">
        <f t="shared" si="1"/>
        <v>0</v>
      </c>
      <c r="AG124" s="340">
        <f t="shared" si="1"/>
        <v>0</v>
      </c>
      <c r="AH124" s="95">
        <f t="shared" si="1"/>
        <v>0</v>
      </c>
      <c r="AI124" s="180"/>
    </row>
    <row r="125" ht="19.5" spans="1:35">
      <c r="A125" s="275" t="s">
        <v>155</v>
      </c>
      <c r="B125" s="341">
        <f t="shared" ref="B125:G125" si="2">B121-B124</f>
        <v>16745</v>
      </c>
      <c r="C125" s="80">
        <f t="shared" si="2"/>
        <v>20289.67</v>
      </c>
      <c r="D125" s="341">
        <f t="shared" si="2"/>
        <v>0</v>
      </c>
      <c r="E125" s="80">
        <f t="shared" si="2"/>
        <v>0</v>
      </c>
      <c r="F125" s="341">
        <f t="shared" si="2"/>
        <v>0</v>
      </c>
      <c r="G125" s="80">
        <f t="shared" si="2"/>
        <v>0</v>
      </c>
      <c r="H125" s="281"/>
      <c r="J125" s="275" t="s">
        <v>155</v>
      </c>
      <c r="K125" s="341">
        <f t="shared" ref="K125:P125" si="3">K121-K124</f>
        <v>16745</v>
      </c>
      <c r="L125" s="80">
        <f t="shared" si="3"/>
        <v>28629.17</v>
      </c>
      <c r="M125" s="341">
        <f t="shared" si="3"/>
        <v>0</v>
      </c>
      <c r="N125" s="80">
        <f t="shared" si="3"/>
        <v>0</v>
      </c>
      <c r="O125" s="341">
        <f t="shared" si="3"/>
        <v>0</v>
      </c>
      <c r="P125" s="80">
        <f t="shared" si="3"/>
        <v>0</v>
      </c>
      <c r="Q125" s="281"/>
      <c r="S125" s="275" t="s">
        <v>155</v>
      </c>
      <c r="T125" s="341">
        <f t="shared" ref="T125:Y125" si="4">T121-T124</f>
        <v>16745</v>
      </c>
      <c r="U125" s="80">
        <f t="shared" si="4"/>
        <v>16703.1375</v>
      </c>
      <c r="V125" s="341">
        <f t="shared" si="4"/>
        <v>0</v>
      </c>
      <c r="W125" s="80">
        <f t="shared" si="4"/>
        <v>0</v>
      </c>
      <c r="X125" s="341">
        <f t="shared" si="4"/>
        <v>0</v>
      </c>
      <c r="Y125" s="80">
        <f t="shared" si="4"/>
        <v>0</v>
      </c>
      <c r="Z125" s="281"/>
      <c r="AB125" s="275" t="s">
        <v>155</v>
      </c>
      <c r="AC125" s="341">
        <f t="shared" ref="AC125:AH125" si="5">AC121-AC124</f>
        <v>16745</v>
      </c>
      <c r="AD125" s="80">
        <f t="shared" si="5"/>
        <v>12558.75</v>
      </c>
      <c r="AE125" s="341">
        <f t="shared" si="5"/>
        <v>0</v>
      </c>
      <c r="AF125" s="80">
        <f t="shared" si="5"/>
        <v>0</v>
      </c>
      <c r="AG125" s="341">
        <f t="shared" si="5"/>
        <v>0</v>
      </c>
      <c r="AH125" s="80">
        <f t="shared" si="5"/>
        <v>0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 t="shared" ref="G135:G142" si="6">H9</f>
        <v>16745</v>
      </c>
      <c r="H135" s="354">
        <f>C125+E125+G125+H128</f>
        <v>20289.67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16745</v>
      </c>
      <c r="Q135" s="354">
        <f>L125+N125+P125+Q128</f>
        <v>28629.17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16745</v>
      </c>
      <c r="Z135" s="354">
        <f>U125+W125+Y125+Z128</f>
        <v>16703.1375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16745</v>
      </c>
      <c r="AI135" s="354">
        <f>AD125+AF125+AH125+AI128</f>
        <v>12558.75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 t="shared" si="6"/>
        <v>695</v>
      </c>
      <c r="H136" s="180">
        <f>G136</f>
        <v>695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695</v>
      </c>
      <c r="Q136" s="180">
        <f>P136</f>
        <v>695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695</v>
      </c>
      <c r="Z136" s="180">
        <f>Y136</f>
        <v>695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695</v>
      </c>
      <c r="AI136" s="180">
        <f>AH136</f>
        <v>695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35">
        <f t="shared" si="6"/>
        <v>3488</v>
      </c>
      <c r="H137" s="180">
        <f>(H135+H136)*20%</f>
        <v>4196.934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3488</v>
      </c>
      <c r="Q137" s="180">
        <f>(Q135+Q136)*20%</f>
        <v>5864.834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3488</v>
      </c>
      <c r="Z137" s="180">
        <f>(Z135+Z136)*20%</f>
        <v>3479.6275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3488</v>
      </c>
      <c r="AI137" s="180">
        <f>(AI135+AI136)*20%</f>
        <v>2650.75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 t="shared" si="6"/>
        <v>0</v>
      </c>
      <c r="H138" s="180">
        <f>G138</f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 t="shared" si="6"/>
        <v>275</v>
      </c>
      <c r="H139" s="180">
        <f>G139</f>
        <v>275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275</v>
      </c>
      <c r="Q139" s="180">
        <f>P139</f>
        <v>275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275</v>
      </c>
      <c r="Z139" s="180">
        <f>Y139</f>
        <v>275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275</v>
      </c>
      <c r="AI139" s="180">
        <f>AH139</f>
        <v>275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 t="shared" si="6"/>
        <v>65</v>
      </c>
      <c r="H140" s="180">
        <f>G140</f>
        <v>65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65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65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65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5">
        <f t="shared" si="6"/>
        <v>21268</v>
      </c>
      <c r="H141" s="356">
        <f>(H135+H136+H139+H140+H137)-H138</f>
        <v>25521.604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21268</v>
      </c>
      <c r="Q141" s="356">
        <f>(Q135+Q136+Q139+Q140+Q137)-Q138</f>
        <v>35519.004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21268</v>
      </c>
      <c r="Z141" s="356">
        <f>(Z135+Z136+Z139+Z140+Z137)-Z138</f>
        <v>21207.765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21268</v>
      </c>
      <c r="AI141" s="356">
        <f>(AI135+AI136+AI139+AI140+AI137)-AI138</f>
        <v>16234.5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 t="shared" si="6"/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 t="s">
        <v>172</v>
      </c>
      <c r="C144" s="257"/>
      <c r="D144" s="257"/>
      <c r="E144" s="257"/>
      <c r="F144" s="257"/>
      <c r="G144" s="35">
        <f>H18</f>
        <v>0</v>
      </c>
      <c r="H144" s="268">
        <f>G144</f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f>G145</f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f>G146</f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25521.604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21268</v>
      </c>
      <c r="Q147" s="359">
        <f>Q141-((Q144*1.2)+(Q145*1.2)+(Q146*1.2)+(Q142*1.2))</f>
        <v>35519.004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21268</v>
      </c>
      <c r="Z147" s="359">
        <f>Z141-((Z144*1.2)+(Z145*1.2)+(Z146*1.2)+(Z142*1.2))</f>
        <v>21207.765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21268</v>
      </c>
      <c r="AI147" s="359">
        <f>AI141-((AI144*1.2)+(AI145*1.2)+(AI146*1.2)+(AI142*1.2))</f>
        <v>16234.5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3544.67</v>
      </c>
      <c r="I148" s="239">
        <f>(H148-G81)/1.2</f>
        <v>-17564.1116666667</v>
      </c>
      <c r="J148" s="254" t="s">
        <v>174</v>
      </c>
      <c r="K148" s="254"/>
      <c r="L148" s="254"/>
      <c r="M148" s="254"/>
      <c r="N148" s="254"/>
      <c r="O148" s="254"/>
      <c r="P148" s="35"/>
      <c r="Q148" s="268">
        <f>Q147-P147</f>
        <v>14251.004</v>
      </c>
      <c r="S148" s="254" t="s">
        <v>174</v>
      </c>
      <c r="T148" s="254"/>
      <c r="U148" s="254"/>
      <c r="V148" s="254"/>
      <c r="W148" s="254"/>
      <c r="X148" s="254"/>
      <c r="Y148" s="35"/>
      <c r="Z148" s="268">
        <f>Z147-Y147</f>
        <v>-60.2350000000006</v>
      </c>
      <c r="AB148" s="254" t="s">
        <v>174</v>
      </c>
      <c r="AC148" s="254"/>
      <c r="AD148" s="254"/>
      <c r="AE148" s="254"/>
      <c r="AF148" s="254"/>
      <c r="AG148" s="254"/>
      <c r="AH148" s="35"/>
      <c r="AI148" s="268">
        <f>AI147-AH147</f>
        <v>-5033.5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 t="n">
        <v>0.0</v>
      </c>
      <c r="F152" s="102"/>
      <c r="G152" s="102" t="n">
        <v>1000.0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 t="n">
        <v>500.0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400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24621.604</v>
      </c>
      <c r="H158" s="362"/>
      <c r="J158" s="361" t="s">
        <v>181</v>
      </c>
      <c r="K158" s="250"/>
      <c r="L158" s="250"/>
      <c r="M158" s="291"/>
      <c r="N158" s="250"/>
      <c r="O158" s="291"/>
      <c r="P158" s="362">
        <f>Q147-P154-P157</f>
        <v>36519.004</v>
      </c>
      <c r="Q158" s="362"/>
      <c r="S158" s="361" t="s">
        <v>181</v>
      </c>
      <c r="T158" s="250"/>
      <c r="U158" s="250"/>
      <c r="V158" s="291"/>
      <c r="W158" s="250"/>
      <c r="X158" s="291"/>
      <c r="Y158" s="362">
        <f>Z147-Y154-Y157</f>
        <v>22207.765</v>
      </c>
      <c r="Z158" s="362"/>
      <c r="AB158" s="361" t="s">
        <v>181</v>
      </c>
      <c r="AC158" s="250"/>
      <c r="AD158" s="250"/>
      <c r="AE158" s="291"/>
      <c r="AF158" s="250"/>
      <c r="AG158" s="291"/>
      <c r="AH158" s="362">
        <f>AI147-AH154-AH157</f>
        <v>17234.5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239.99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808.529494615191</v>
      </c>
      <c r="B167" s="126">
        <f>B94</f>
        <v>100.945764705882</v>
      </c>
      <c r="C167" s="365"/>
      <c r="D167" s="365"/>
      <c r="E167" s="126">
        <f>B96</f>
        <v>909.475259321073</v>
      </c>
      <c r="F167" s="262"/>
      <c r="G167" s="262">
        <f>ROUND(G95,2)</f>
        <v>747.3</v>
      </c>
      <c r="H167" s="180"/>
      <c r="J167" s="366">
        <f>K95</f>
        <v>1460.84083744584</v>
      </c>
      <c r="K167" s="126">
        <f>K94</f>
        <v>98.0616</v>
      </c>
      <c r="L167" s="365"/>
      <c r="M167" s="365"/>
      <c r="N167" s="126">
        <f>K96</f>
        <v>1558.90243744584</v>
      </c>
      <c r="O167" s="262"/>
      <c r="P167" s="262"/>
      <c r="Q167" s="180"/>
      <c r="S167" s="366">
        <f>T95</f>
        <v>736.920628703078</v>
      </c>
      <c r="T167" s="126">
        <f>T94</f>
        <v>77.6505882352941</v>
      </c>
      <c r="U167" s="365"/>
      <c r="V167" s="365"/>
      <c r="W167" s="126">
        <f>T96</f>
        <v>814.571216938372</v>
      </c>
      <c r="X167" s="262"/>
      <c r="Y167" s="262"/>
      <c r="Z167" s="180"/>
      <c r="AB167" s="366">
        <f>AC95</f>
        <v>561.0390467107</v>
      </c>
      <c r="AC167" s="126">
        <f>AC94</f>
        <v>93.1807058823529</v>
      </c>
      <c r="AD167" s="365"/>
      <c r="AE167" s="365"/>
      <c r="AF167" s="126">
        <f>AC96</f>
        <v>654.219752593053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35</v>
      </c>
      <c r="B170" s="42">
        <f>K30</f>
        <v>35000</v>
      </c>
      <c r="C170" s="367"/>
      <c r="D170" s="262"/>
      <c r="E170" s="274">
        <f>IF(A111="YES",A40,0)</f>
        <v>2004</v>
      </c>
      <c r="F170" s="262"/>
      <c r="G170" s="262"/>
      <c r="H170" s="180"/>
      <c r="J170" s="270">
        <f>K29</f>
        <v>35</v>
      </c>
      <c r="K170" s="42">
        <f>K30</f>
        <v>35000</v>
      </c>
      <c r="L170" s="367"/>
      <c r="M170" s="262"/>
      <c r="N170" s="274">
        <f>IF(A111="YES",A40,0)</f>
        <v>2004</v>
      </c>
      <c r="O170" s="262"/>
      <c r="P170" s="262"/>
      <c r="Q170" s="180"/>
      <c r="S170" s="270">
        <f>K29</f>
        <v>35</v>
      </c>
      <c r="T170" s="42">
        <f>K30</f>
        <v>35000</v>
      </c>
      <c r="U170" s="367"/>
      <c r="V170" s="262"/>
      <c r="W170" s="274">
        <f>IF(A111="YES",A40,0)</f>
        <v>2004</v>
      </c>
      <c r="X170" s="262"/>
      <c r="Y170" s="262"/>
      <c r="Z170" s="180"/>
      <c r="AB170" s="270">
        <f>K29</f>
        <v>35</v>
      </c>
      <c r="AC170" s="42">
        <f>K30</f>
        <v>35000</v>
      </c>
      <c r="AD170" s="367"/>
      <c r="AE170" s="262"/>
      <c r="AF170" s="274">
        <f>IF(A111="YES",A40,0)</f>
        <v>2004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20984.67</v>
      </c>
      <c r="B173" s="133">
        <f>H137</f>
        <v>4196.934</v>
      </c>
      <c r="C173" s="272"/>
      <c r="D173" s="262"/>
      <c r="E173" s="274">
        <f>H139+H140</f>
        <v>340</v>
      </c>
      <c r="F173" s="262"/>
      <c r="G173" s="262"/>
      <c r="H173" s="180"/>
      <c r="J173" s="132">
        <f>Q141-Q137-Q139-Q140</f>
        <v>29324.17</v>
      </c>
      <c r="K173" s="133">
        <f>Q137</f>
        <v>5864.834</v>
      </c>
      <c r="L173" s="272"/>
      <c r="M173" s="262"/>
      <c r="N173" s="274">
        <f>Q139+Q140</f>
        <v>330</v>
      </c>
      <c r="O173" s="262"/>
      <c r="P173" s="262"/>
      <c r="Q173" s="180"/>
      <c r="S173" s="132">
        <f>Z141-Z137-Z139-Z140</f>
        <v>17398.1375</v>
      </c>
      <c r="T173" s="133">
        <f>Z137</f>
        <v>3479.6275</v>
      </c>
      <c r="U173" s="272"/>
      <c r="V173" s="262"/>
      <c r="W173" s="274">
        <f>Z139+Z140</f>
        <v>330</v>
      </c>
      <c r="X173" s="262"/>
      <c r="Y173" s="262"/>
      <c r="Z173" s="180"/>
      <c r="AB173" s="132">
        <f>AI141-AI137-AI139-AI140</f>
        <v>13253.75</v>
      </c>
      <c r="AC173" s="133">
        <f>AI137</f>
        <v>2650.75</v>
      </c>
      <c r="AD173" s="272"/>
      <c r="AE173" s="262"/>
      <c r="AF173" s="274">
        <f>AI139+AI140</f>
        <v>330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H141</f>
        <v>25521.604</v>
      </c>
      <c r="B176" s="133">
        <f>B111</f>
        <v>200</v>
      </c>
      <c r="C176" s="133"/>
      <c r="D176" s="262"/>
      <c r="E176" s="133">
        <f>E111</f>
        <v>200</v>
      </c>
      <c r="F176" s="262"/>
      <c r="G176" s="262"/>
      <c r="H176" s="141"/>
      <c r="J176" s="132">
        <f>Q141</f>
        <v>35519.004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>
        <f>Z141</f>
        <v>21207.765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>
        <f>AI141</f>
        <v>16234.5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400</v>
      </c>
      <c r="B179" s="133">
        <f>G154</f>
        <v>500</v>
      </c>
      <c r="C179" s="133"/>
      <c r="D179" s="262"/>
      <c r="E179" s="133">
        <f>A176-A179-B179</f>
        <v>24621.604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>
        <f>J176-J179-K179</f>
        <v>36519.004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>
        <f>S176-S179-T179</f>
        <v>22207.765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>
        <f>AB176-AB179-AC179</f>
        <v>17234.5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4872.39881691649</v>
      </c>
      <c r="B182" s="133" t="str">
        <f>B114</f>
        <v>239.99</v>
      </c>
      <c r="C182" s="133"/>
      <c r="D182" s="262"/>
      <c r="E182" s="133">
        <f>E179+A182+B182+A185</f>
        <v>29743.9928169165</v>
      </c>
      <c r="F182" s="262"/>
      <c r="G182" s="262"/>
      <c r="H182" s="141"/>
      <c r="J182" s="134">
        <f>(J167*K59)+N185-N179-J185</f>
        <v>15153.5844731586</v>
      </c>
      <c r="K182" s="133">
        <f>K114</f>
        <v>239.99</v>
      </c>
      <c r="L182" s="133"/>
      <c r="M182" s="262"/>
      <c r="N182" s="133">
        <f>N179+J182+K182+J185</f>
        <v>51932.5784731586</v>
      </c>
      <c r="O182" s="262"/>
      <c r="P182" s="262"/>
      <c r="Q182" s="141"/>
      <c r="S182" s="134">
        <f>(S167*T59)+W185-W179-S185</f>
        <v>4851.53637590465</v>
      </c>
      <c r="T182" s="133">
        <f>T114</f>
        <v>199.99</v>
      </c>
      <c r="U182" s="133"/>
      <c r="V182" s="262"/>
      <c r="W182" s="133">
        <f>W179+S182+T182+S185</f>
        <v>27269.2913759046</v>
      </c>
      <c r="X182" s="262"/>
      <c r="Y182" s="262"/>
      <c r="Z182" s="141"/>
      <c r="AB182" s="134">
        <f>(AB167*AC59)+AF185-AF179-AB185</f>
        <v>3844.82758816379</v>
      </c>
      <c r="AC182" s="133">
        <f>AC114</f>
        <v>239.99</v>
      </c>
      <c r="AD182" s="133"/>
      <c r="AE182" s="262"/>
      <c r="AF182" s="133">
        <f>AF179+AB182+AC182+AB185</f>
        <v>21329.3175881638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A179+B182</f>
        <v>639.99</v>
      </c>
      <c r="C185" s="133"/>
      <c r="D185" s="262"/>
      <c r="E185" s="133">
        <f>IF(A40=0,(E167),(E170+A185))</f>
        <v>2014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2024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2014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2014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</f>
        <v>0.041856</v>
      </c>
      <c r="B188" s="133">
        <f>(G158*B67)/1.2</f>
        <v>200.905449305556</v>
      </c>
      <c r="C188" s="250"/>
      <c r="D188" s="250"/>
      <c r="E188" s="133">
        <f>(E40*A108)*0.1*C45/100</f>
        <v>66.003</v>
      </c>
      <c r="F188" s="262"/>
      <c r="G188" s="262"/>
      <c r="H188" s="180"/>
      <c r="J188" s="134">
        <f>IF(N105="YES",H15*0.000002,0)</f>
        <v>0.042536</v>
      </c>
      <c r="K188" s="133">
        <f>(P158*K67)/1.2</f>
        <v>2250.73722569444</v>
      </c>
      <c r="L188" s="250"/>
      <c r="M188" s="250"/>
      <c r="N188" s="133">
        <f>(E40*J108)*0.1</f>
        <v>66.003</v>
      </c>
      <c r="O188" s="262"/>
      <c r="P188" s="262"/>
      <c r="Q188" s="180"/>
      <c r="S188" s="134">
        <f>IF(W105="YES",Z15*0.000002,0)</f>
        <v>0</v>
      </c>
      <c r="T188" s="133">
        <f>(Y158*T67)/1.2</f>
        <v>181.209193576389</v>
      </c>
      <c r="U188" s="250"/>
      <c r="V188" s="250"/>
      <c r="W188" s="133">
        <f>(E40*S108)*0.1</f>
        <v>44.002</v>
      </c>
      <c r="X188" s="368"/>
      <c r="Y188" s="368"/>
      <c r="Z188" s="180"/>
      <c r="AB188" s="134">
        <f>IF(AF105="YES",AI15*0.000002,0)</f>
        <v>0</v>
      </c>
      <c r="AC188" s="133">
        <f>(AH158*AC67)/1.2</f>
        <v>140.628732638889</v>
      </c>
      <c r="AD188" s="250"/>
      <c r="AE188" s="250"/>
      <c r="AF188" s="133">
        <f>(E40*AB108)*0.1</f>
        <v>44.002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(B182/1.2)-100</f>
        <v>99.9916666666667</v>
      </c>
      <c r="B191" s="133">
        <f>B188+E188+A191</f>
        <v>366.900115972222</v>
      </c>
      <c r="C191" s="250"/>
      <c r="D191" s="250"/>
      <c r="E191" s="133">
        <f>H148</f>
        <v>3544.67</v>
      </c>
      <c r="F191" s="262"/>
      <c r="G191" s="262"/>
      <c r="H191" s="180"/>
      <c r="J191" s="134">
        <f>K185-100</f>
        <v>1139.99</v>
      </c>
      <c r="K191" s="133">
        <f>K188+N188+J191</f>
        <v>3456.73022569444</v>
      </c>
      <c r="L191" s="250"/>
      <c r="M191" s="250"/>
      <c r="N191" s="133">
        <f>Q148</f>
        <v>14251.004</v>
      </c>
      <c r="O191" s="262"/>
      <c r="P191" s="262"/>
      <c r="Q191" s="180"/>
      <c r="S191" s="134">
        <f>T185-100</f>
        <v>1099.99</v>
      </c>
      <c r="T191" s="133">
        <f>T188+W188+S191</f>
        <v>1325.20119357639</v>
      </c>
      <c r="U191" s="250"/>
      <c r="V191" s="250"/>
      <c r="W191" s="133">
        <f>Z148</f>
        <v>-60.2350000000006</v>
      </c>
      <c r="X191" s="368"/>
      <c r="Y191" s="368"/>
      <c r="Z191" s="180"/>
      <c r="AB191" s="134">
        <f>AC185-100</f>
        <v>1139.99</v>
      </c>
      <c r="AC191" s="133">
        <f>AC188+AF188+AB191</f>
        <v>1324.62073263889</v>
      </c>
      <c r="AD191" s="250"/>
      <c r="AE191" s="250"/>
      <c r="AF191" s="133">
        <f>AI148</f>
        <v>-5033.5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35000</v>
      </c>
      <c r="C196" s="288"/>
      <c r="D196" s="288"/>
      <c r="E196" s="262"/>
      <c r="F196" s="262"/>
      <c r="G196" s="262"/>
      <c r="H196" s="180"/>
      <c r="J196" s="286"/>
      <c r="K196" s="288">
        <f>K30</f>
        <v>35000</v>
      </c>
      <c r="L196" s="288"/>
      <c r="M196" s="288"/>
      <c r="N196" s="262"/>
      <c r="O196" s="262"/>
      <c r="P196" s="262"/>
      <c r="Q196" s="180"/>
      <c r="S196" s="286"/>
      <c r="T196" s="288">
        <f>K30</f>
        <v>35000</v>
      </c>
      <c r="U196" s="288"/>
      <c r="V196" s="288"/>
      <c r="W196" s="262"/>
      <c r="X196" s="262"/>
      <c r="Y196" s="262"/>
      <c r="Z196" s="180"/>
      <c r="AB196" s="286"/>
      <c r="AC196" s="288">
        <f>K30</f>
        <v>35000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35</v>
      </c>
      <c r="B197" s="71">
        <f>B96</f>
        <v>909.475259321073</v>
      </c>
      <c r="C197" s="71"/>
      <c r="D197" s="71"/>
      <c r="E197" s="262"/>
      <c r="F197" s="262"/>
      <c r="G197" s="262"/>
      <c r="H197" s="180"/>
      <c r="J197" s="289">
        <f>K29</f>
        <v>35</v>
      </c>
      <c r="K197" s="71">
        <f>K96</f>
        <v>1558.90243744584</v>
      </c>
      <c r="L197" s="71"/>
      <c r="M197" s="71"/>
      <c r="N197" s="262"/>
      <c r="O197" s="262"/>
      <c r="P197" s="262"/>
      <c r="Q197" s="180"/>
      <c r="S197" s="289">
        <f>K29</f>
        <v>35</v>
      </c>
      <c r="T197" s="71">
        <f>T96</f>
        <v>814.571216938372</v>
      </c>
      <c r="U197" s="71"/>
      <c r="V197" s="71"/>
      <c r="W197" s="262"/>
      <c r="X197" s="262"/>
      <c r="Y197" s="262"/>
      <c r="Z197" s="180"/>
      <c r="AB197" s="289">
        <f>K29</f>
        <v>35</v>
      </c>
      <c r="AC197" s="71">
        <f>AC96</f>
        <v>654.219752593053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2790.596</v>
      </c>
      <c r="B201" s="272">
        <f>E179+A201+B182+A185</f>
        <v>27662.19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35</v>
      </c>
      <c r="C209" s="365"/>
      <c r="D209" s="365"/>
      <c r="E209" s="365">
        <f>B196</f>
        <v>35000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808.529494615191</v>
      </c>
      <c r="B212" s="126">
        <f>B167</f>
        <v>100.945764705882</v>
      </c>
      <c r="C212" s="365"/>
      <c r="D212" s="365"/>
      <c r="E212" s="126">
        <f>E167</f>
        <v>909.475259321073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20984.67</v>
      </c>
      <c r="B215" s="133">
        <f>B173</f>
        <v>4196.934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25521.604</v>
      </c>
      <c r="B218" s="133">
        <f>B176</f>
        <v>200</v>
      </c>
      <c r="C218" s="133"/>
      <c r="D218" s="291"/>
      <c r="E218" s="133">
        <f>E176</f>
        <v>200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400</v>
      </c>
      <c r="B221" s="133">
        <f>B179</f>
        <v>500</v>
      </c>
      <c r="C221" s="133"/>
      <c r="D221" s="291"/>
      <c r="E221" s="133">
        <f>E179</f>
        <v>24621.604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4872.39881691649</v>
      </c>
      <c r="B224" s="133" t="str">
        <f>B182</f>
        <v>239.99</v>
      </c>
      <c r="C224" s="133"/>
      <c r="D224" s="291"/>
      <c r="E224" s="133">
        <f>E182</f>
        <v>29743.9928169165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639.99</v>
      </c>
      <c r="C227" s="133"/>
      <c r="D227" s="291"/>
      <c r="E227" s="133">
        <f>B59</f>
        <v>34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808.529494615191</v>
      </c>
      <c r="B230" s="133">
        <f>B167</f>
        <v>100.945764705882</v>
      </c>
      <c r="C230" s="272"/>
      <c r="D230" s="272"/>
      <c r="E230" s="133">
        <f>E167</f>
        <v>909.475259321073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2004</v>
      </c>
      <c r="B233" s="133">
        <f>E185</f>
        <v>2014</v>
      </c>
      <c r="C233" s="250"/>
      <c r="D233" s="250"/>
      <c r="E233" s="133">
        <f>J18*0.000006*100*1.2</f>
        <v>15.06816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IF(E105="YES",J18*0.000002,0)*100*1.2</f>
        <v>5.02272</v>
      </c>
      <c r="B236" s="133">
        <f>E233+A236</f>
        <v>20.09088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3544.67</v>
      </c>
      <c r="B240" s="133">
        <f>B68</f>
        <v>200.905449305556</v>
      </c>
      <c r="C240" s="250"/>
      <c r="D240" s="250"/>
      <c r="E240" s="133">
        <f>E188</f>
        <v>66.003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99.9916666666667</v>
      </c>
      <c r="B243" s="133">
        <f>B240+E240+A243+A240</f>
        <v>3911.57011597222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0.07</v>
      </c>
      <c r="C253" s="376"/>
      <c r="D253" s="377" t="s">
        <v>216</v>
      </c>
      <c r="E253" s="377"/>
      <c r="F253" s="375">
        <f>B83</f>
        <v>0.12</v>
      </c>
      <c r="G253" s="262"/>
      <c r="H253" s="180"/>
    </row>
    <row r="254" spans="1:8">
      <c r="A254" s="370" t="s">
        <v>217</v>
      </c>
      <c r="B254" s="393">
        <f>(E182-B182)-(B201-B182-A185)</f>
        <v>2091.8028169165</v>
      </c>
      <c r="C254" s="376"/>
      <c r="D254" s="377" t="s">
        <v>218</v>
      </c>
      <c r="E254" s="377"/>
      <c r="F254" s="378">
        <f>F261+F267+F269+B270+B271</f>
        <v>241.086539166667</v>
      </c>
      <c r="G254" s="262"/>
      <c r="H254" s="180"/>
    </row>
    <row r="255" spans="1:8">
      <c r="A255" s="370" t="s">
        <v>219</v>
      </c>
      <c r="B255" s="378">
        <f>F262+B263</f>
        <v>760.021666666667</v>
      </c>
      <c r="C255" s="376"/>
      <c r="D255" s="377" t="s">
        <v>220</v>
      </c>
      <c r="E255" s="377"/>
      <c r="F255" s="378">
        <f>(B254-F254)+B255</f>
        <v>2610.7379444165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0.07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0.05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0.12</v>
      </c>
      <c r="C260" s="388"/>
      <c r="D260" s="105" t="s">
        <v>217</v>
      </c>
      <c r="E260" s="105"/>
      <c r="F260" s="389">
        <f>B254</f>
        <v>2091.8028169165</v>
      </c>
      <c r="G260" s="262"/>
      <c r="H260" s="180"/>
    </row>
    <row r="261" ht="19.5" spans="1:8">
      <c r="A261" s="245" t="s">
        <v>223</v>
      </c>
      <c r="B261" s="387">
        <f>B67</f>
        <v>0.00979166666666667</v>
      </c>
      <c r="C261" s="368"/>
      <c r="D261" s="105" t="s">
        <v>223</v>
      </c>
      <c r="E261" s="105"/>
      <c r="F261" s="144">
        <f>B68*1.2</f>
        <v>241.086539166667</v>
      </c>
      <c r="G261" s="262"/>
      <c r="H261" s="180"/>
    </row>
    <row r="262" ht="19.5" spans="1:8">
      <c r="A262" s="245" t="s">
        <v>224</v>
      </c>
      <c r="B262" s="383">
        <f>A108</f>
        <v>0.3</v>
      </c>
      <c r="C262" s="368"/>
      <c r="D262" s="105" t="s">
        <v>224</v>
      </c>
      <c r="E262" s="105"/>
      <c r="F262" s="389">
        <f>E240*10</f>
        <v>660.03</v>
      </c>
      <c r="G262" s="262"/>
      <c r="H262" s="180"/>
    </row>
    <row r="263" spans="1:8">
      <c r="A263" s="245" t="s">
        <v>225</v>
      </c>
      <c r="B263" s="389">
        <f>A243</f>
        <v>99.9916666666667</v>
      </c>
      <c r="C263" s="368"/>
      <c r="D263" s="129" t="s">
        <v>220</v>
      </c>
      <c r="E263" s="129"/>
      <c r="F263" s="389">
        <f>(B254-F254)+B255</f>
        <v>2610.7379444165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</mergeCells>
  <dataValidations count="3">
    <dataValidation type="list" allowBlank="1" showInputMessage="1" showErrorMessage="1" sqref="B26">
      <formula1>HirePurchaseNonRegulated!$K$9:$K$10</formula1>
    </dataValidation>
    <dataValidation type="list" allowBlank="1" showInputMessage="1" showErrorMessage="1" sqref="B105 K105 N105 T105 W105 AC105 AF105 B108:D108 K108:M108 T108:V108 AC108:AE108 A111 J111 S111 AB111 A18:A20 A144:A146 J144:J146 S144:S146 AB144:AB146">
      <formula1>#REF!</formula1>
    </dataValidation>
    <dataValidation type="list" allowBlank="1" showInputMessage="1" showErrorMessage="1" sqref="E105">
      <formula1>$Z$19:$Z$20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2"/>
  <sheetViews>
    <sheetView zoomScale="85" zoomScaleNormal="85" topLeftCell="A176" workbookViewId="0">
      <selection activeCell="A202" sqref="A202"/>
    </sheetView>
  </sheetViews>
  <sheetFormatPr defaultColWidth="8.31666666666667" defaultRowHeight="18.75"/>
  <cols>
    <col min="1" max="1" customWidth="true" style="239" width="41.6666666666667"/>
    <col min="2" max="9" customWidth="true" style="239" width="18.8833333333333"/>
    <col min="10" max="10" customWidth="true" style="239" width="41.6666666666667"/>
    <col min="11" max="17" customWidth="true" style="239" width="18.8833333333333"/>
    <col min="18" max="18" style="239" width="8.31666666666667"/>
    <col min="19" max="19" customWidth="true" style="239" width="41.6666666666667"/>
    <col min="20" max="24" customWidth="true" style="239" width="18.8833333333333"/>
    <col min="25" max="26" customWidth="true" style="240" width="18.8833333333333"/>
    <col min="27" max="27" style="239" width="8.31666666666667"/>
    <col min="28" max="28" customWidth="true" style="239" width="41.6666666666667"/>
    <col min="29" max="35" customWidth="true" style="239" width="18.8833333333333"/>
    <col min="36" max="1024" style="239" width="8.31666666666667"/>
  </cols>
  <sheetData>
    <row r="1" ht="46.5" customHeight="1" spans="1:10">
      <c r="A1" s="241" t="s">
        <v>380</v>
      </c>
      <c r="B1" s="241"/>
      <c r="C1" s="241"/>
      <c r="D1" s="241"/>
      <c r="E1" s="241"/>
      <c r="F1" s="241"/>
      <c r="G1" s="241"/>
      <c r="H1" s="241"/>
      <c r="I1" s="240"/>
      <c r="J1" s="240"/>
    </row>
    <row r="2" ht="21" spans="1:10">
      <c r="A2" s="242"/>
      <c r="B2" s="243" t="s">
        <v>145</v>
      </c>
      <c r="C2" s="243"/>
      <c r="D2" s="243" t="s">
        <v>146</v>
      </c>
      <c r="E2" s="243"/>
      <c r="F2" s="243" t="s">
        <v>147</v>
      </c>
      <c r="G2" s="243"/>
      <c r="H2" s="244" t="s">
        <v>148</v>
      </c>
      <c r="I2" s="240"/>
      <c r="J2" s="240"/>
    </row>
    <row r="3" spans="1:10">
      <c r="A3" s="245" t="s">
        <v>151</v>
      </c>
      <c r="B3" s="246">
        <v>16745</v>
      </c>
      <c r="C3" s="246">
        <v>0</v>
      </c>
      <c r="D3" s="246">
        <v>0</v>
      </c>
      <c r="E3" s="246"/>
      <c r="F3" s="246">
        <v>0</v>
      </c>
      <c r="G3" s="246"/>
      <c r="H3" s="247">
        <v>0</v>
      </c>
      <c r="I3" s="240"/>
      <c r="J3" s="240"/>
    </row>
    <row r="4" spans="1:10">
      <c r="A4" s="245" t="s">
        <v>152</v>
      </c>
      <c r="B4" s="248">
        <v>0</v>
      </c>
      <c r="C4" s="248">
        <v>0</v>
      </c>
      <c r="D4" s="248">
        <v>0</v>
      </c>
      <c r="E4" s="248"/>
      <c r="F4" s="248">
        <v>0</v>
      </c>
      <c r="G4" s="248"/>
      <c r="H4" s="249"/>
      <c r="I4" s="240"/>
      <c r="J4" s="240"/>
    </row>
    <row r="5" spans="1:10">
      <c r="A5" s="245" t="s">
        <v>153</v>
      </c>
      <c r="B5" s="246">
        <v>0</v>
      </c>
      <c r="C5" s="246">
        <v>0</v>
      </c>
      <c r="D5" s="246">
        <v>0</v>
      </c>
      <c r="E5" s="246"/>
      <c r="F5" s="246">
        <v>0</v>
      </c>
      <c r="G5" s="246"/>
      <c r="H5" s="180"/>
      <c r="I5" s="240"/>
      <c r="J5" s="240"/>
    </row>
    <row r="6" spans="1:10">
      <c r="A6" s="245" t="s">
        <v>154</v>
      </c>
      <c r="B6" s="35">
        <f>(B3*B4/100)+B5</f>
        <v>0</v>
      </c>
      <c r="C6" s="35">
        <f>(C3*C4/100)+C5</f>
        <v>0</v>
      </c>
      <c r="D6" s="35">
        <f>(D3*D4/100)+D5</f>
        <v>0</v>
      </c>
      <c r="E6" s="35"/>
      <c r="F6" s="35">
        <f>(F3*F4/100)+F5</f>
        <v>0</v>
      </c>
      <c r="G6" s="35"/>
      <c r="H6" s="180"/>
      <c r="I6" s="240"/>
      <c r="J6" s="240"/>
    </row>
    <row r="7" spans="1:10">
      <c r="A7" s="245" t="s">
        <v>155</v>
      </c>
      <c r="B7" s="35">
        <f>B3-B6</f>
        <v>16745</v>
      </c>
      <c r="C7" s="35">
        <f>C3-C6</f>
        <v>0</v>
      </c>
      <c r="D7" s="35">
        <f>D3-D6</f>
        <v>0</v>
      </c>
      <c r="E7" s="35"/>
      <c r="F7" s="35">
        <f>F3-F6</f>
        <v>0</v>
      </c>
      <c r="G7" s="35"/>
      <c r="H7" s="180"/>
      <c r="I7" s="240"/>
      <c r="J7" s="240"/>
    </row>
    <row r="8" spans="1:13">
      <c r="A8" s="245"/>
      <c r="B8" s="250"/>
      <c r="C8" s="250"/>
      <c r="D8" s="250"/>
      <c r="E8" s="250"/>
      <c r="F8" s="250"/>
      <c r="G8" s="250"/>
      <c r="H8" s="180"/>
      <c r="I8" s="240"/>
      <c r="J8" s="240"/>
      <c r="L8" s="81" t="s">
        <v>3</v>
      </c>
      <c r="M8" s="82">
        <f>H13+H14</f>
        <v>340</v>
      </c>
    </row>
    <row r="9" ht="21" spans="1:13">
      <c r="A9" s="251" t="s">
        <v>163</v>
      </c>
      <c r="B9" s="251"/>
      <c r="C9" s="251"/>
      <c r="D9" s="251"/>
      <c r="E9" s="251">
        <f>(B7+C7+D7+E3)</f>
        <v>16745</v>
      </c>
      <c r="F9" s="251"/>
      <c r="G9" s="252"/>
      <c r="H9" s="253">
        <f>B7+D7+F7+H3</f>
        <v>16745</v>
      </c>
      <c r="I9" s="240"/>
      <c r="J9" s="240"/>
      <c r="L9" s="82"/>
      <c r="M9" s="82"/>
    </row>
    <row r="10" spans="1:13">
      <c r="A10" s="254" t="s">
        <v>164</v>
      </c>
      <c r="B10" s="254"/>
      <c r="C10" s="254"/>
      <c r="D10" s="254"/>
      <c r="E10" s="254">
        <v>50</v>
      </c>
      <c r="F10" s="254"/>
      <c r="G10" s="35"/>
      <c r="H10" s="247">
        <v>695</v>
      </c>
      <c r="I10" s="240"/>
      <c r="J10" s="240"/>
      <c r="L10" s="83" t="s">
        <v>1</v>
      </c>
      <c r="M10" s="82">
        <f>H15-H11-M8</f>
        <v>17440</v>
      </c>
    </row>
    <row r="11" spans="1:13">
      <c r="A11" s="254" t="s">
        <v>165</v>
      </c>
      <c r="B11" s="254"/>
      <c r="C11" s="254"/>
      <c r="D11" s="254"/>
      <c r="E11" s="254"/>
      <c r="F11" s="254"/>
      <c r="G11" s="35"/>
      <c r="H11" s="180">
        <f>(H9+H10)*20%</f>
        <v>3488</v>
      </c>
      <c r="I11" s="240"/>
      <c r="J11" s="240"/>
      <c r="L11" s="82"/>
      <c r="M11" s="82"/>
    </row>
    <row r="12" spans="1:10">
      <c r="A12" s="254" t="s">
        <v>166</v>
      </c>
      <c r="B12" s="254"/>
      <c r="C12" s="254"/>
      <c r="D12" s="254"/>
      <c r="E12" s="254"/>
      <c r="F12" s="254"/>
      <c r="G12" s="35"/>
      <c r="H12" s="247">
        <v>0</v>
      </c>
      <c r="I12" s="240"/>
      <c r="J12" s="240"/>
    </row>
    <row r="13" spans="1:10">
      <c r="A13" s="254" t="s">
        <v>167</v>
      </c>
      <c r="B13" s="254"/>
      <c r="C13" s="254"/>
      <c r="D13" s="254"/>
      <c r="E13" s="254">
        <v>585</v>
      </c>
      <c r="F13" s="254"/>
      <c r="G13" s="35"/>
      <c r="H13" s="247">
        <v>275</v>
      </c>
      <c r="I13" s="240"/>
      <c r="J13" s="240"/>
    </row>
    <row r="14" ht="19.5" spans="1:10">
      <c r="A14" s="254" t="s">
        <v>168</v>
      </c>
      <c r="B14" s="254"/>
      <c r="C14" s="254"/>
      <c r="D14" s="254"/>
      <c r="E14" s="254">
        <v>55</v>
      </c>
      <c r="F14" s="254"/>
      <c r="G14" s="35"/>
      <c r="H14" s="247">
        <v>65</v>
      </c>
      <c r="I14" s="240"/>
      <c r="J14" s="240" t="s">
        <v>11</v>
      </c>
    </row>
    <row r="15" ht="19.5" spans="1:10">
      <c r="A15" s="254" t="s">
        <v>169</v>
      </c>
      <c r="B15" s="254"/>
      <c r="C15" s="254"/>
      <c r="D15" s="254"/>
      <c r="E15" s="254"/>
      <c r="F15" s="254"/>
      <c r="G15" s="35"/>
      <c r="H15" s="255">
        <f>(H9+H10+H13+H14+H11)-H12</f>
        <v>21268</v>
      </c>
      <c r="I15" s="240"/>
      <c r="J15" s="299">
        <f>H15</f>
        <v>21268</v>
      </c>
    </row>
    <row r="16" spans="1:25">
      <c r="A16" s="254" t="s">
        <v>170</v>
      </c>
      <c r="B16" s="254"/>
      <c r="C16" s="254"/>
      <c r="D16" s="254"/>
      <c r="E16" s="254">
        <v>120</v>
      </c>
      <c r="F16" s="254"/>
      <c r="G16" s="35"/>
      <c r="H16" s="247">
        <v>0</v>
      </c>
      <c r="I16" s="240"/>
      <c r="J16" s="240"/>
      <c r="Y16" s="310" t="s">
        <v>13</v>
      </c>
    </row>
    <row r="17" spans="1:25">
      <c r="A17" s="134" t="s">
        <v>171</v>
      </c>
      <c r="B17" s="134"/>
      <c r="C17" s="134"/>
      <c r="D17" s="134"/>
      <c r="E17" s="134"/>
      <c r="F17" s="134"/>
      <c r="G17" s="133"/>
      <c r="H17" s="180"/>
      <c r="I17" s="240"/>
      <c r="J17" s="240" t="s">
        <v>14</v>
      </c>
      <c r="Y17" s="310" t="s">
        <v>15</v>
      </c>
    </row>
    <row r="18" spans="1:25">
      <c r="A18" s="256" t="s">
        <v>13</v>
      </c>
      <c r="B18" s="257" t="s">
        <v>172</v>
      </c>
      <c r="C18" s="257"/>
      <c r="D18" s="257"/>
      <c r="E18" s="257"/>
      <c r="F18" s="257"/>
      <c r="G18" s="105"/>
      <c r="H18" s="258">
        <v>0</v>
      </c>
      <c r="I18" s="240"/>
      <c r="J18" s="299">
        <f>(B3+D3+F3+H3+H10)*1.2</f>
        <v>20928</v>
      </c>
      <c r="Y18" s="310" t="s">
        <v>16</v>
      </c>
    </row>
    <row r="19" spans="1:26">
      <c r="A19" s="256" t="s">
        <v>15</v>
      </c>
      <c r="B19" s="257" t="s">
        <v>172</v>
      </c>
      <c r="C19" s="257"/>
      <c r="D19" s="257"/>
      <c r="E19" s="257"/>
      <c r="F19" s="257"/>
      <c r="G19" s="105"/>
      <c r="H19" s="258">
        <v>0</v>
      </c>
      <c r="I19" s="240"/>
      <c r="J19" s="240"/>
      <c r="Z19" s="240" t="s">
        <v>18</v>
      </c>
    </row>
    <row r="20" spans="1:26">
      <c r="A20" s="256" t="s">
        <v>16</v>
      </c>
      <c r="B20" s="257" t="s">
        <v>172</v>
      </c>
      <c r="C20" s="257"/>
      <c r="D20" s="257"/>
      <c r="E20" s="257"/>
      <c r="F20" s="257"/>
      <c r="G20" s="105"/>
      <c r="H20" s="258">
        <v>0</v>
      </c>
      <c r="I20" s="240"/>
      <c r="J20" s="240"/>
      <c r="Z20" s="240" t="s">
        <v>19</v>
      </c>
    </row>
    <row r="21" ht="21.75" spans="1:11">
      <c r="A21" s="259" t="s">
        <v>173</v>
      </c>
      <c r="B21" s="259"/>
      <c r="C21" s="259"/>
      <c r="D21" s="259"/>
      <c r="E21" s="259"/>
      <c r="F21" s="259"/>
      <c r="G21" s="260"/>
      <c r="H21" s="261">
        <f>H15-((H18*1.2)+(H19*1.2)+(H20*1.2)+(H16*1.2))</f>
        <v>21268</v>
      </c>
      <c r="I21" s="240"/>
      <c r="J21" s="240"/>
      <c r="K21" s="240"/>
    </row>
    <row r="22" spans="1:16">
      <c r="A22" s="262"/>
      <c r="B22" s="262"/>
      <c r="C22" s="262"/>
      <c r="D22" s="262"/>
      <c r="E22" s="262"/>
      <c r="F22" s="262"/>
      <c r="G22" s="262"/>
      <c r="H22" s="262"/>
      <c r="J22" s="240"/>
      <c r="K22" s="240"/>
      <c r="P22" s="273"/>
    </row>
    <row r="23" ht="19.5" spans="1:16">
      <c r="A23" s="262"/>
      <c r="B23" s="262"/>
      <c r="C23" s="262"/>
      <c r="D23" s="262"/>
      <c r="E23" s="262"/>
      <c r="F23" s="262"/>
      <c r="G23" s="262"/>
      <c r="H23" s="262"/>
      <c r="J23" s="240"/>
      <c r="K23" s="240"/>
      <c r="P23" s="273"/>
    </row>
    <row r="24" ht="46.5" customHeight="1" spans="1:16">
      <c r="A24" s="263" t="s">
        <v>353</v>
      </c>
      <c r="B24" s="263"/>
      <c r="C24" s="263"/>
      <c r="D24" s="263"/>
      <c r="E24" s="263"/>
      <c r="F24" s="263"/>
      <c r="G24" s="263"/>
      <c r="H24" s="263"/>
      <c r="I24" s="240"/>
      <c r="J24" s="240"/>
      <c r="K24" s="240"/>
      <c r="P24" s="273"/>
    </row>
    <row r="25" ht="19.5" spans="1:16">
      <c r="A25" s="264"/>
      <c r="B25" s="265"/>
      <c r="C25" s="265"/>
      <c r="D25" s="265"/>
      <c r="E25" s="265"/>
      <c r="F25" s="265"/>
      <c r="G25" s="265"/>
      <c r="H25" s="266"/>
      <c r="I25" s="240"/>
      <c r="J25" s="240"/>
      <c r="K25" s="240"/>
      <c r="P25" s="273"/>
    </row>
    <row r="26" ht="19.5" spans="1:16">
      <c r="A26" s="267" t="s">
        <v>128</v>
      </c>
      <c r="B26" s="268" t="s">
        <v>18</v>
      </c>
      <c r="C26" s="250"/>
      <c r="D26" s="250"/>
      <c r="E26" s="250"/>
      <c r="F26" s="250"/>
      <c r="G26" s="250"/>
      <c r="H26" s="180"/>
      <c r="I26" s="240"/>
      <c r="J26" s="300" t="s">
        <v>23</v>
      </c>
      <c r="K26" s="301" t="s">
        <v>24</v>
      </c>
      <c r="P26" s="273"/>
    </row>
    <row r="27" spans="1:16">
      <c r="A27" s="245"/>
      <c r="B27" s="250"/>
      <c r="C27" s="250"/>
      <c r="D27" s="250"/>
      <c r="E27" s="250"/>
      <c r="F27" s="250"/>
      <c r="G27" s="250"/>
      <c r="H27" s="180"/>
      <c r="I27" s="240"/>
      <c r="J27" s="302" t="s">
        <v>25</v>
      </c>
      <c r="K27" s="303">
        <v>1</v>
      </c>
      <c r="P27" s="273"/>
    </row>
    <row r="28" ht="24" spans="1:16">
      <c r="A28" s="269" t="s">
        <v>126</v>
      </c>
      <c r="B28" s="269"/>
      <c r="C28" s="269"/>
      <c r="D28" s="269"/>
      <c r="E28" s="269"/>
      <c r="F28" s="269"/>
      <c r="G28" s="269"/>
      <c r="H28" s="269"/>
      <c r="I28" s="240"/>
      <c r="J28" s="302" t="s">
        <v>27</v>
      </c>
      <c r="K28" s="303"/>
      <c r="P28" s="273"/>
    </row>
    <row r="29" ht="20.25" spans="1:16">
      <c r="A29" s="245"/>
      <c r="B29" s="250"/>
      <c r="C29" s="250"/>
      <c r="D29" s="250"/>
      <c r="E29" s="250"/>
      <c r="F29" s="250"/>
      <c r="G29" s="250"/>
      <c r="H29" s="180">
        <v>36</v>
      </c>
      <c r="I29" s="250"/>
      <c r="J29" s="300" t="s">
        <v>28</v>
      </c>
      <c r="K29" s="304">
        <v>35</v>
      </c>
      <c r="P29" s="273"/>
    </row>
    <row r="30" ht="19.5" spans="1:16">
      <c r="A30" s="245" t="s">
        <v>183</v>
      </c>
      <c r="B30" s="48" t="s">
        <v>348</v>
      </c>
      <c r="C30" s="48"/>
      <c r="D30" s="48"/>
      <c r="E30" s="250"/>
      <c r="F30" s="250"/>
      <c r="G30" s="250"/>
      <c r="H30" s="180">
        <v>10000</v>
      </c>
      <c r="I30" s="250"/>
      <c r="J30" s="300" t="s">
        <v>32</v>
      </c>
      <c r="K30" s="305">
        <v>35000</v>
      </c>
      <c r="P30" s="273"/>
    </row>
    <row r="31" spans="1:16">
      <c r="A31" s="245"/>
      <c r="B31" s="250"/>
      <c r="C31" s="250"/>
      <c r="D31" s="250"/>
      <c r="E31" s="250"/>
      <c r="F31" s="250"/>
      <c r="G31" s="250"/>
      <c r="H31" s="180">
        <v>27500</v>
      </c>
      <c r="I31" s="250"/>
      <c r="J31" s="300" t="s">
        <v>35</v>
      </c>
      <c r="K31" s="214">
        <v>5010</v>
      </c>
      <c r="P31" s="273"/>
    </row>
    <row r="32" spans="1:16">
      <c r="A32" s="245" t="s">
        <v>83</v>
      </c>
      <c r="B32" s="250" t="s">
        <v>84</v>
      </c>
      <c r="C32" s="250"/>
      <c r="D32" s="250"/>
      <c r="E32" s="250" t="s">
        <v>354</v>
      </c>
      <c r="F32" s="250"/>
      <c r="G32" s="250"/>
      <c r="H32" s="180"/>
      <c r="I32" s="240">
        <v>0</v>
      </c>
      <c r="J32" s="300" t="s">
        <v>36</v>
      </c>
      <c r="K32" s="214">
        <v>1833.65</v>
      </c>
      <c r="P32" s="273"/>
    </row>
    <row r="33" ht="36.75" spans="1:16">
      <c r="A33" s="270">
        <f>A52</f>
        <v>35</v>
      </c>
      <c r="B33" s="44">
        <f>B51</f>
        <v>35000</v>
      </c>
      <c r="C33" s="250"/>
      <c r="D33" s="250"/>
      <c r="E33" s="44">
        <f>K48</f>
        <v>503.363379398935</v>
      </c>
      <c r="F33" s="44"/>
      <c r="G33" s="44"/>
      <c r="H33" s="271"/>
      <c r="I33" s="240"/>
      <c r="J33" s="302" t="s">
        <v>355</v>
      </c>
      <c r="K33" s="306">
        <f>H21-H11+(H16*20%)</f>
        <v>17780</v>
      </c>
      <c r="L33" s="239">
        <f>H21-H11+(H16*20%)</f>
        <v>17780</v>
      </c>
      <c r="P33" s="273"/>
    </row>
    <row r="34" spans="1:16">
      <c r="A34" s="245"/>
      <c r="B34" s="250"/>
      <c r="C34" s="250"/>
      <c r="D34" s="250"/>
      <c r="E34" s="272"/>
      <c r="F34" s="272"/>
      <c r="G34" s="272"/>
      <c r="H34" s="271"/>
      <c r="I34" s="240"/>
      <c r="J34" s="240"/>
      <c r="K34" s="240"/>
      <c r="P34" s="273"/>
    </row>
    <row r="35" spans="1:16">
      <c r="A35" s="245" t="s">
        <v>356</v>
      </c>
      <c r="B35" s="250" t="s">
        <v>357</v>
      </c>
      <c r="C35" s="250"/>
      <c r="D35" s="273"/>
      <c r="E35" s="250" t="s">
        <v>358</v>
      </c>
      <c r="F35" s="272"/>
      <c r="G35" s="272"/>
      <c r="H35" s="271"/>
      <c r="I35" s="240"/>
      <c r="J35" s="307" t="s">
        <v>46</v>
      </c>
      <c r="K35" s="239">
        <v>0.065</v>
      </c>
      <c r="P35" s="273"/>
    </row>
    <row r="36" spans="1:16">
      <c r="A36" s="132">
        <f>K47</f>
        <v>450.973379398935</v>
      </c>
      <c r="B36" s="44">
        <f>IF(B26="YES",K42,"0.00")</f>
        <v>52.39</v>
      </c>
      <c r="C36" s="44"/>
      <c r="D36" s="44"/>
      <c r="E36" s="44">
        <f>K31</f>
        <v>5010</v>
      </c>
      <c r="F36" s="44"/>
      <c r="G36" s="44"/>
      <c r="H36" s="271"/>
      <c r="I36" s="240"/>
      <c r="J36" s="240" t="s">
        <v>50</v>
      </c>
      <c r="K36" s="240">
        <f>K29</f>
        <v>35</v>
      </c>
      <c r="P36" s="273"/>
    </row>
    <row r="37" spans="1:16">
      <c r="A37" s="134"/>
      <c r="B37" s="133"/>
      <c r="C37" s="272"/>
      <c r="D37" s="272"/>
      <c r="E37" s="272"/>
      <c r="F37" s="272"/>
      <c r="G37" s="272"/>
      <c r="H37" s="271"/>
      <c r="I37" s="240"/>
      <c r="J37" s="240"/>
      <c r="K37" s="240"/>
      <c r="P37" s="273"/>
    </row>
    <row r="38" spans="1:16">
      <c r="A38" s="245"/>
      <c r="B38" s="250"/>
      <c r="C38" s="272"/>
      <c r="D38" s="272"/>
      <c r="E38" s="272"/>
      <c r="F38" s="272"/>
      <c r="G38" s="272"/>
      <c r="H38" s="271"/>
      <c r="J38" s="308" t="s">
        <v>52</v>
      </c>
      <c r="K38" s="308"/>
      <c r="L38" s="240">
        <v>42030.76</v>
      </c>
      <c r="N38" s="239">
        <f>80.88*36</f>
        <v>2911.68</v>
      </c>
      <c r="P38" s="273"/>
    </row>
    <row r="39" ht="19.5" spans="1:16">
      <c r="A39" s="245" t="s">
        <v>359</v>
      </c>
      <c r="B39" s="250" t="s">
        <v>360</v>
      </c>
      <c r="C39" s="250"/>
      <c r="D39" s="273"/>
      <c r="E39" s="250" t="s">
        <v>361</v>
      </c>
      <c r="F39" s="272"/>
      <c r="G39" s="272"/>
      <c r="H39" s="271"/>
      <c r="J39" s="240" t="s">
        <v>85</v>
      </c>
      <c r="K39" s="240">
        <f>K33</f>
        <v>17780</v>
      </c>
      <c r="L39" s="240">
        <f>(L47*K46)+K44</f>
        <v>27214.2966661248</v>
      </c>
      <c r="N39" s="239">
        <f>K39-L39</f>
        <v>-9434.29666612478</v>
      </c>
      <c r="P39" s="273"/>
    </row>
    <row r="40" ht="19.5" spans="1:16">
      <c r="A40" s="103">
        <f>E36*A45/100</f>
        <v>5010</v>
      </c>
      <c r="B40" s="102">
        <f>IF(B26="YES",K42,"0.00")</f>
        <v>52.39</v>
      </c>
      <c r="C40" s="102"/>
      <c r="D40" s="102"/>
      <c r="E40" s="274">
        <f>K32</f>
        <v>1833.65</v>
      </c>
      <c r="F40" s="272"/>
      <c r="G40" s="272"/>
      <c r="H40" s="271"/>
      <c r="J40" s="240" t="s">
        <v>107</v>
      </c>
      <c r="K40" s="240">
        <f>(A40)/1.2</f>
        <v>4175</v>
      </c>
      <c r="L40" s="240">
        <f>K39-L39</f>
        <v>-9434.29666612478</v>
      </c>
      <c r="N40" s="239">
        <f>N38-N39</f>
        <v>12345.9766661248</v>
      </c>
      <c r="P40" s="273"/>
    </row>
    <row r="41" spans="1:16">
      <c r="A41" s="245"/>
      <c r="B41" s="250"/>
      <c r="C41" s="250"/>
      <c r="D41" s="250"/>
      <c r="E41" s="250"/>
      <c r="F41" s="272"/>
      <c r="G41" s="272"/>
      <c r="H41" s="271"/>
      <c r="J41" s="240" t="s">
        <v>362</v>
      </c>
      <c r="K41" s="240">
        <f>K35/12</f>
        <v>0.00541666666666667</v>
      </c>
      <c r="L41" s="240"/>
      <c r="P41" s="273"/>
    </row>
    <row r="42" ht="19.5" spans="1:16">
      <c r="A42" s="275"/>
      <c r="B42" s="276"/>
      <c r="C42" s="276"/>
      <c r="D42" s="276"/>
      <c r="E42" s="276"/>
      <c r="F42" s="276"/>
      <c r="G42" s="277"/>
      <c r="H42" s="278"/>
      <c r="J42" s="240" t="s">
        <v>363</v>
      </c>
      <c r="K42" s="240">
        <f>(K32/K36/100)*C45</f>
        <v>52.39</v>
      </c>
      <c r="L42" s="240"/>
      <c r="P42" s="273"/>
    </row>
    <row r="43" spans="1:16">
      <c r="A43" s="264"/>
      <c r="B43" s="265"/>
      <c r="C43" s="265"/>
      <c r="D43" s="265"/>
      <c r="E43" s="265"/>
      <c r="F43" s="265"/>
      <c r="G43" s="265"/>
      <c r="H43" s="266"/>
      <c r="J43" s="240" t="s">
        <v>364</v>
      </c>
      <c r="K43" s="240"/>
      <c r="L43" s="240"/>
      <c r="P43" s="273"/>
    </row>
    <row r="44" ht="19.5" spans="1:16">
      <c r="A44" s="137" t="s">
        <v>77</v>
      </c>
      <c r="B44" s="250"/>
      <c r="C44" s="12" t="s">
        <v>78</v>
      </c>
      <c r="D44" s="12"/>
      <c r="E44" s="250"/>
      <c r="F44" s="250"/>
      <c r="G44" s="250"/>
      <c r="H44" s="180"/>
      <c r="J44" s="240" t="s">
        <v>365</v>
      </c>
      <c r="K44" s="240">
        <f>(K40/(1+K41)^(K36+1))</f>
        <v>3437.14293416163</v>
      </c>
      <c r="L44" s="240"/>
      <c r="P44" s="273"/>
    </row>
    <row r="45" ht="19.5" spans="1:16">
      <c r="A45" s="279">
        <v>100</v>
      </c>
      <c r="B45" s="250"/>
      <c r="C45" s="280">
        <v>100</v>
      </c>
      <c r="D45" s="280"/>
      <c r="E45" s="280"/>
      <c r="F45" s="250"/>
      <c r="G45" s="250"/>
      <c r="H45" s="180"/>
      <c r="J45" s="240" t="s">
        <v>366</v>
      </c>
      <c r="K45" s="240">
        <f>(K39-K44)</f>
        <v>14342.8570658384</v>
      </c>
      <c r="L45" s="240"/>
      <c r="P45" s="273"/>
    </row>
    <row r="46" ht="19.5" spans="1:16">
      <c r="A46" s="275"/>
      <c r="B46" s="276"/>
      <c r="C46" s="276"/>
      <c r="D46" s="276"/>
      <c r="E46" s="276"/>
      <c r="F46" s="276"/>
      <c r="G46" s="276"/>
      <c r="H46" s="281"/>
      <c r="J46" s="240" t="s">
        <v>367</v>
      </c>
      <c r="K46" s="240">
        <f>((1-(1/((1+K41)^K36)))/K41)</f>
        <v>31.8042210938366</v>
      </c>
      <c r="L46" s="240"/>
      <c r="P46" s="273"/>
    </row>
    <row r="47" spans="1:16">
      <c r="A47" s="264"/>
      <c r="B47" s="265"/>
      <c r="C47" s="265"/>
      <c r="D47" s="265"/>
      <c r="E47" s="265"/>
      <c r="F47" s="265"/>
      <c r="G47" s="265"/>
      <c r="H47" s="266"/>
      <c r="J47" s="240" t="s">
        <v>368</v>
      </c>
      <c r="K47" s="240">
        <f>K45/K46</f>
        <v>450.973379398935</v>
      </c>
      <c r="L47" s="240">
        <f>L49-K42</f>
        <v>747.61</v>
      </c>
      <c r="M47" s="239">
        <f>K47-L47</f>
        <v>-296.636620601065</v>
      </c>
      <c r="P47" s="273"/>
    </row>
    <row r="48" ht="37.5" spans="1:16">
      <c r="A48" s="282" t="s">
        <v>82</v>
      </c>
      <c r="B48" s="250"/>
      <c r="C48" s="250"/>
      <c r="D48" s="283"/>
      <c r="E48" s="283"/>
      <c r="F48" s="283"/>
      <c r="G48" s="283"/>
      <c r="H48" s="284"/>
      <c r="J48" s="309" t="s">
        <v>369</v>
      </c>
      <c r="K48" s="240">
        <f>IF(B26="YES",K47+K42,K47)</f>
        <v>503.363379398935</v>
      </c>
      <c r="L48" s="240"/>
      <c r="P48" s="273"/>
    </row>
    <row r="49" spans="1:16">
      <c r="A49" s="245"/>
      <c r="B49" s="285"/>
      <c r="C49" s="285"/>
      <c r="D49" s="250"/>
      <c r="E49" s="250"/>
      <c r="F49" s="250"/>
      <c r="G49" s="250"/>
      <c r="H49" s="180"/>
      <c r="J49" s="240" t="s">
        <v>370</v>
      </c>
      <c r="K49" s="240"/>
      <c r="L49" s="240">
        <v>800</v>
      </c>
      <c r="P49" s="273"/>
    </row>
    <row r="50" ht="21" spans="1:16">
      <c r="A50" s="286" t="s">
        <v>83</v>
      </c>
      <c r="B50" s="287" t="s">
        <v>84</v>
      </c>
      <c r="C50" s="287"/>
      <c r="D50" s="287"/>
      <c r="E50" s="250"/>
      <c r="F50" s="250"/>
      <c r="G50" s="250"/>
      <c r="H50" s="180"/>
      <c r="I50" s="240"/>
      <c r="J50" s="240"/>
      <c r="K50" s="240"/>
      <c r="P50" s="273"/>
    </row>
    <row r="51" ht="19.5" customHeight="1" spans="1:16">
      <c r="A51" s="286"/>
      <c r="B51" s="288">
        <f>K30</f>
        <v>35000</v>
      </c>
      <c r="C51" s="288"/>
      <c r="D51" s="288"/>
      <c r="E51" s="250"/>
      <c r="F51" s="250"/>
      <c r="G51" s="250"/>
      <c r="H51" s="180"/>
      <c r="I51" s="240"/>
      <c r="J51" s="240"/>
      <c r="K51" s="240"/>
      <c r="P51" s="273"/>
    </row>
    <row r="52" ht="19.5" spans="1:16">
      <c r="A52" s="289">
        <f>K29</f>
        <v>35</v>
      </c>
      <c r="B52" s="71">
        <f>K48</f>
        <v>503.363379398935</v>
      </c>
      <c r="C52" s="71"/>
      <c r="D52" s="71"/>
      <c r="E52" s="250"/>
      <c r="F52" s="250"/>
      <c r="G52" s="250"/>
      <c r="H52" s="180"/>
      <c r="I52" s="240"/>
      <c r="J52" s="240"/>
      <c r="K52" s="240"/>
      <c r="P52" s="273"/>
    </row>
    <row r="53" spans="1:16">
      <c r="A53" s="245"/>
      <c r="B53" s="250"/>
      <c r="C53" s="250"/>
      <c r="D53" s="250"/>
      <c r="E53" s="250"/>
      <c r="F53" s="250"/>
      <c r="G53" s="250"/>
      <c r="H53" s="180"/>
      <c r="I53" s="240"/>
      <c r="J53" s="240"/>
      <c r="K53" s="240"/>
      <c r="P53" s="273"/>
    </row>
    <row r="54" ht="19.5" spans="1:16">
      <c r="A54" s="275"/>
      <c r="B54" s="276"/>
      <c r="C54" s="276"/>
      <c r="D54" s="276"/>
      <c r="E54" s="276"/>
      <c r="F54" s="276"/>
      <c r="G54" s="276"/>
      <c r="H54" s="281"/>
      <c r="I54" s="240"/>
      <c r="J54" s="240"/>
      <c r="K54" s="240"/>
      <c r="P54" s="273"/>
    </row>
    <row r="55" spans="1:16">
      <c r="A55" s="262"/>
      <c r="B55" s="262"/>
      <c r="C55" s="262"/>
      <c r="D55" s="262"/>
      <c r="E55" s="262"/>
      <c r="F55" s="262"/>
      <c r="G55" s="262"/>
      <c r="H55" s="262"/>
      <c r="J55" s="240"/>
      <c r="K55" s="240"/>
      <c r="P55" s="273"/>
    </row>
    <row r="56" ht="19.5" spans="1:16">
      <c r="A56" s="262"/>
      <c r="B56" s="262"/>
      <c r="C56" s="262"/>
      <c r="D56" s="262"/>
      <c r="E56" s="262"/>
      <c r="F56" s="262"/>
      <c r="G56" s="262"/>
      <c r="H56" s="262"/>
      <c r="J56" s="240"/>
      <c r="K56" s="240"/>
      <c r="P56" s="273"/>
    </row>
    <row r="57" spans="1:35">
      <c r="A57" s="264"/>
      <c r="B57" s="265"/>
      <c r="C57" s="265"/>
      <c r="D57" s="265"/>
      <c r="E57" s="290"/>
      <c r="F57" s="290"/>
      <c r="G57" s="290"/>
      <c r="H57" s="266"/>
      <c r="J57" s="264"/>
      <c r="K57" s="265"/>
      <c r="L57" s="265"/>
      <c r="M57" s="265"/>
      <c r="N57" s="290"/>
      <c r="O57" s="290"/>
      <c r="P57" s="290"/>
      <c r="Q57" s="266"/>
      <c r="S57" s="264"/>
      <c r="T57" s="265"/>
      <c r="U57" s="265"/>
      <c r="V57" s="265"/>
      <c r="W57" s="290"/>
      <c r="X57" s="290"/>
      <c r="Y57" s="290"/>
      <c r="Z57" s="266"/>
      <c r="AB57" s="264"/>
      <c r="AC57" s="265"/>
      <c r="AD57" s="265"/>
      <c r="AE57" s="265"/>
      <c r="AF57" s="290"/>
      <c r="AG57" s="290"/>
      <c r="AH57" s="290"/>
      <c r="AI57" s="266"/>
    </row>
    <row r="58" spans="1:35">
      <c r="A58" s="245" t="s">
        <v>85</v>
      </c>
      <c r="B58" s="250">
        <v>1</v>
      </c>
      <c r="C58" s="250"/>
      <c r="D58" s="250"/>
      <c r="E58" s="291"/>
      <c r="F58" s="291"/>
      <c r="G58" s="291"/>
      <c r="H58" s="180"/>
      <c r="J58" s="245" t="s">
        <v>85</v>
      </c>
      <c r="K58" s="250">
        <v>1</v>
      </c>
      <c r="L58" s="250"/>
      <c r="M58" s="250"/>
      <c r="N58" s="291"/>
      <c r="O58" s="291"/>
      <c r="P58" s="291"/>
      <c r="Q58" s="180"/>
      <c r="S58" s="245" t="s">
        <v>85</v>
      </c>
      <c r="T58" s="250">
        <v>1</v>
      </c>
      <c r="U58" s="250"/>
      <c r="V58" s="250"/>
      <c r="W58" s="291"/>
      <c r="X58" s="291"/>
      <c r="Y58" s="291"/>
      <c r="Z58" s="180"/>
      <c r="AB58" s="245" t="s">
        <v>85</v>
      </c>
      <c r="AC58" s="250">
        <v>1</v>
      </c>
      <c r="AD58" s="250"/>
      <c r="AE58" s="250"/>
      <c r="AF58" s="291"/>
      <c r="AG58" s="291"/>
      <c r="AH58" s="291"/>
      <c r="AI58" s="180"/>
    </row>
    <row r="59" spans="1:35">
      <c r="A59" s="245" t="s">
        <v>86</v>
      </c>
      <c r="B59" s="250">
        <f>K29-B58</f>
        <v>34</v>
      </c>
      <c r="C59" s="250"/>
      <c r="D59" s="250"/>
      <c r="E59" s="291"/>
      <c r="F59" s="291"/>
      <c r="G59" s="291"/>
      <c r="H59" s="180"/>
      <c r="J59" s="245" t="s">
        <v>86</v>
      </c>
      <c r="K59" s="250">
        <f>K29-K58</f>
        <v>34</v>
      </c>
      <c r="L59" s="250"/>
      <c r="M59" s="250"/>
      <c r="N59" s="291"/>
      <c r="O59" s="291"/>
      <c r="P59" s="291"/>
      <c r="Q59" s="180"/>
      <c r="S59" s="245" t="s">
        <v>86</v>
      </c>
      <c r="T59" s="250">
        <f>K29-T58</f>
        <v>34</v>
      </c>
      <c r="U59" s="250"/>
      <c r="V59" s="250"/>
      <c r="W59" s="291"/>
      <c r="X59" s="291"/>
      <c r="Y59" s="291"/>
      <c r="Z59" s="180"/>
      <c r="AB59" s="245" t="s">
        <v>86</v>
      </c>
      <c r="AC59" s="250">
        <f>K29-AC58</f>
        <v>34</v>
      </c>
      <c r="AD59" s="250"/>
      <c r="AE59" s="250"/>
      <c r="AF59" s="291"/>
      <c r="AG59" s="291"/>
      <c r="AH59" s="291"/>
      <c r="AI59" s="180"/>
    </row>
    <row r="60" spans="1:35">
      <c r="A60" s="292" t="s">
        <v>87</v>
      </c>
      <c r="B60" s="293">
        <v>10</v>
      </c>
      <c r="C60" s="250"/>
      <c r="D60" s="250"/>
      <c r="E60" s="291"/>
      <c r="F60" s="291"/>
      <c r="G60" s="291"/>
      <c r="H60" s="180"/>
      <c r="J60" s="292" t="s">
        <v>87</v>
      </c>
      <c r="K60" s="293">
        <v>20</v>
      </c>
      <c r="L60" s="250"/>
      <c r="M60" s="250"/>
      <c r="N60" s="291"/>
      <c r="O60" s="291"/>
      <c r="P60" s="291"/>
      <c r="Q60" s="180"/>
      <c r="S60" s="292" t="s">
        <v>87</v>
      </c>
      <c r="T60" s="293">
        <v>10</v>
      </c>
      <c r="U60" s="250"/>
      <c r="V60" s="250"/>
      <c r="W60" s="291"/>
      <c r="X60" s="291"/>
      <c r="Y60" s="291"/>
      <c r="Z60" s="180"/>
      <c r="AB60" s="292" t="s">
        <v>87</v>
      </c>
      <c r="AC60" s="293">
        <v>10</v>
      </c>
      <c r="AD60" s="250"/>
      <c r="AE60" s="250"/>
      <c r="AF60" s="291"/>
      <c r="AG60" s="291"/>
      <c r="AH60" s="291"/>
      <c r="AI60" s="180"/>
    </row>
    <row r="61" ht="19.5" spans="1:35">
      <c r="A61" s="245" t="s">
        <v>14</v>
      </c>
      <c r="B61" s="250">
        <f>J18</f>
        <v>20928</v>
      </c>
      <c r="C61" s="250"/>
      <c r="D61" s="250"/>
      <c r="E61" s="291"/>
      <c r="F61" s="291"/>
      <c r="G61" s="291"/>
      <c r="H61" s="180"/>
      <c r="J61" s="245" t="s">
        <v>14</v>
      </c>
      <c r="K61" s="250">
        <f>J18</f>
        <v>20928</v>
      </c>
      <c r="L61" s="250"/>
      <c r="M61" s="250"/>
      <c r="N61" s="291"/>
      <c r="O61" s="291"/>
      <c r="P61" s="291"/>
      <c r="Q61" s="180"/>
      <c r="S61" s="245" t="s">
        <v>14</v>
      </c>
      <c r="T61" s="250">
        <f>J18</f>
        <v>20928</v>
      </c>
      <c r="U61" s="250"/>
      <c r="V61" s="250"/>
      <c r="W61" s="291"/>
      <c r="X61" s="291"/>
      <c r="Y61" s="291"/>
      <c r="Z61" s="180"/>
      <c r="AB61" s="245" t="s">
        <v>14</v>
      </c>
      <c r="AC61" s="250">
        <f>J18</f>
        <v>20928</v>
      </c>
      <c r="AD61" s="250"/>
      <c r="AE61" s="250"/>
      <c r="AF61" s="291"/>
      <c r="AG61" s="291"/>
      <c r="AH61" s="291"/>
      <c r="AI61" s="180"/>
    </row>
    <row r="62" spans="1:35">
      <c r="A62" s="294" t="s">
        <v>88</v>
      </c>
      <c r="B62" s="295">
        <v>0</v>
      </c>
      <c r="C62" s="250"/>
      <c r="D62" s="250"/>
      <c r="E62" s="291"/>
      <c r="F62" s="291"/>
      <c r="G62" s="291"/>
      <c r="H62" s="180"/>
      <c r="J62" s="294" t="s">
        <v>88</v>
      </c>
      <c r="K62" s="295">
        <v>0.06</v>
      </c>
      <c r="L62" s="250"/>
      <c r="M62" s="250"/>
      <c r="N62" s="291"/>
      <c r="O62" s="291"/>
      <c r="P62" s="291"/>
      <c r="Q62" s="180"/>
      <c r="S62" s="294" t="s">
        <v>88</v>
      </c>
      <c r="T62" s="295">
        <f>IF(AND(K29&gt;=12,K29&lt;=24),0.0105,IF(AND(K29&gt;=48),-0.0075,0))</f>
        <v>0</v>
      </c>
      <c r="U62" s="250"/>
      <c r="V62" s="250"/>
      <c r="W62" s="291"/>
      <c r="X62" s="291"/>
      <c r="Y62" s="291"/>
      <c r="Z62" s="180"/>
      <c r="AB62" s="294" t="s">
        <v>88</v>
      </c>
      <c r="AC62" s="295">
        <f>IF(AND(K29&gt;=12,K29&lt;=24),0.0105,IF(AND(K29&gt;=48),-0.0075,0))</f>
        <v>0</v>
      </c>
      <c r="AD62" s="250"/>
      <c r="AE62" s="250"/>
      <c r="AF62" s="291"/>
      <c r="AG62" s="291"/>
      <c r="AH62" s="291"/>
      <c r="AI62" s="180"/>
    </row>
    <row r="63" spans="1:35">
      <c r="A63" s="242" t="s">
        <v>89</v>
      </c>
      <c r="B63" s="296">
        <v>0.065</v>
      </c>
      <c r="C63" s="250"/>
      <c r="D63" s="250"/>
      <c r="E63" s="291"/>
      <c r="F63" s="291"/>
      <c r="G63" s="291"/>
      <c r="H63" s="180"/>
      <c r="J63" s="242" t="s">
        <v>89</v>
      </c>
      <c r="K63" s="296">
        <v>0.08</v>
      </c>
      <c r="L63" s="250"/>
      <c r="M63" s="250"/>
      <c r="N63" s="291"/>
      <c r="O63" s="291"/>
      <c r="P63" s="291"/>
      <c r="Q63" s="180"/>
      <c r="S63" s="242" t="s">
        <v>89</v>
      </c>
      <c r="T63" s="296">
        <v>0.059</v>
      </c>
      <c r="U63" s="250"/>
      <c r="V63" s="250"/>
      <c r="W63" s="291"/>
      <c r="X63" s="291"/>
      <c r="Y63" s="291"/>
      <c r="Z63" s="180"/>
      <c r="AB63" s="242" t="s">
        <v>89</v>
      </c>
      <c r="AC63" s="296">
        <v>0.059</v>
      </c>
      <c r="AD63" s="250"/>
      <c r="AE63" s="250"/>
      <c r="AF63" s="291"/>
      <c r="AG63" s="291"/>
      <c r="AH63" s="291"/>
      <c r="AI63" s="180"/>
    </row>
    <row r="64" ht="19.5" spans="1:35">
      <c r="A64" s="297" t="s">
        <v>90</v>
      </c>
      <c r="B64" s="298">
        <v>0.024</v>
      </c>
      <c r="C64" s="250"/>
      <c r="D64" s="250"/>
      <c r="E64" s="291"/>
      <c r="F64" s="291"/>
      <c r="G64" s="291"/>
      <c r="H64" s="180"/>
      <c r="J64" s="297" t="s">
        <v>90</v>
      </c>
      <c r="K64" s="298">
        <v>0.1</v>
      </c>
      <c r="L64" s="250"/>
      <c r="M64" s="250"/>
      <c r="N64" s="291"/>
      <c r="O64" s="291"/>
      <c r="P64" s="291"/>
      <c r="Q64" s="180"/>
      <c r="S64" s="297" t="s">
        <v>90</v>
      </c>
      <c r="T64" s="298">
        <f>IF(T108=AP108,2.4%,7.2%)</f>
        <v>0.072</v>
      </c>
      <c r="U64" s="250"/>
      <c r="V64" s="250"/>
      <c r="W64" s="291"/>
      <c r="X64" s="291"/>
      <c r="Y64" s="291"/>
      <c r="Z64" s="180"/>
      <c r="AB64" s="297" t="s">
        <v>90</v>
      </c>
      <c r="AC64" s="298">
        <f>IF(AC108=AP108,2.4%,7.2%)</f>
        <v>0.072</v>
      </c>
      <c r="AD64" s="250"/>
      <c r="AE64" s="250"/>
      <c r="AF64" s="291"/>
      <c r="AG64" s="291"/>
      <c r="AH64" s="291"/>
      <c r="AI64" s="180"/>
    </row>
    <row r="65" ht="19.5" spans="1:35">
      <c r="A65" s="275" t="s">
        <v>91</v>
      </c>
      <c r="B65" s="281">
        <f>(B89*B59)-(K47*K29)</f>
        <v>5956.12063983686</v>
      </c>
      <c r="C65" s="250"/>
      <c r="D65" s="250"/>
      <c r="E65" s="291"/>
      <c r="F65" s="291"/>
      <c r="G65" s="291"/>
      <c r="H65" s="180"/>
      <c r="J65" s="275" t="s">
        <v>91</v>
      </c>
      <c r="K65" s="281">
        <f>(K89*K59)-(K47*K29)</f>
        <v>33884.5201941958</v>
      </c>
      <c r="L65" s="250"/>
      <c r="M65" s="250"/>
      <c r="N65" s="291"/>
      <c r="O65" s="291"/>
      <c r="P65" s="291"/>
      <c r="Q65" s="180"/>
      <c r="S65" s="275" t="s">
        <v>91</v>
      </c>
      <c r="T65" s="281">
        <f>(T89*T59)-(K47*K29)</f>
        <v>6799.45675270815</v>
      </c>
      <c r="U65" s="250"/>
      <c r="V65" s="250"/>
      <c r="W65" s="291"/>
      <c r="X65" s="291"/>
      <c r="Y65" s="291"/>
      <c r="Z65" s="180"/>
      <c r="AB65" s="275" t="s">
        <v>91</v>
      </c>
      <c r="AC65" s="281">
        <f>(AC89*AC59)-(K47*K29)</f>
        <v>819.482964967296</v>
      </c>
      <c r="AD65" s="250"/>
      <c r="AE65" s="250"/>
      <c r="AF65" s="291"/>
      <c r="AG65" s="291"/>
      <c r="AH65" s="291"/>
      <c r="AI65" s="180"/>
    </row>
    <row r="66" spans="1:35">
      <c r="A66" s="294" t="s">
        <v>92</v>
      </c>
      <c r="B66" s="295">
        <v>0.005</v>
      </c>
      <c r="C66" s="250"/>
      <c r="D66" s="250"/>
      <c r="E66" s="291"/>
      <c r="F66" s="291"/>
      <c r="G66" s="291"/>
      <c r="H66" s="180"/>
      <c r="J66" s="294" t="s">
        <v>92</v>
      </c>
      <c r="K66" s="295">
        <v>0.05</v>
      </c>
      <c r="L66" s="250"/>
      <c r="M66" s="250"/>
      <c r="N66" s="291"/>
      <c r="O66" s="291"/>
      <c r="P66" s="291"/>
      <c r="Q66" s="180"/>
      <c r="S66" s="294" t="s">
        <v>92</v>
      </c>
      <c r="T66" s="295">
        <v>0.005</v>
      </c>
      <c r="U66" s="250"/>
      <c r="V66" s="250"/>
      <c r="W66" s="291"/>
      <c r="X66" s="291"/>
      <c r="Y66" s="291"/>
      <c r="Z66" s="180"/>
      <c r="AB66" s="294" t="s">
        <v>92</v>
      </c>
      <c r="AC66" s="295">
        <v>0.005</v>
      </c>
      <c r="AD66" s="250"/>
      <c r="AE66" s="250"/>
      <c r="AF66" s="291"/>
      <c r="AG66" s="291"/>
      <c r="AH66" s="291"/>
      <c r="AI66" s="180"/>
    </row>
    <row r="67" spans="1:35">
      <c r="A67" s="245" t="s">
        <v>93</v>
      </c>
      <c r="B67" s="179">
        <f>B66+(B66*0.5*(K29/12-1))</f>
        <v>0.00979166666666667</v>
      </c>
      <c r="C67" s="250"/>
      <c r="D67" s="250"/>
      <c r="E67" s="291"/>
      <c r="F67" s="291"/>
      <c r="G67" s="291"/>
      <c r="H67" s="180"/>
      <c r="J67" s="245" t="s">
        <v>93</v>
      </c>
      <c r="K67" s="179">
        <f>K66+(K66*0.25*(K29/12-1))</f>
        <v>0.0739583333333333</v>
      </c>
      <c r="L67" s="250"/>
      <c r="M67" s="250"/>
      <c r="N67" s="291"/>
      <c r="O67" s="291"/>
      <c r="P67" s="291"/>
      <c r="Q67" s="180"/>
      <c r="S67" s="245" t="s">
        <v>93</v>
      </c>
      <c r="T67" s="179">
        <f>T66+(T66*0.5*(K29/12-1))</f>
        <v>0.00979166666666667</v>
      </c>
      <c r="U67" s="250"/>
      <c r="V67" s="250"/>
      <c r="W67" s="291"/>
      <c r="X67" s="291"/>
      <c r="Y67" s="291"/>
      <c r="Z67" s="180"/>
      <c r="AB67" s="245" t="s">
        <v>93</v>
      </c>
      <c r="AC67" s="179">
        <f>AC66+(AC66*0.5*(K29/12-1))</f>
        <v>0.00979166666666667</v>
      </c>
      <c r="AD67" s="250"/>
      <c r="AE67" s="250"/>
      <c r="AF67" s="291"/>
      <c r="AG67" s="291"/>
      <c r="AH67" s="291"/>
      <c r="AI67" s="180"/>
    </row>
    <row r="68" ht="19.5" spans="1:35">
      <c r="A68" s="275" t="s">
        <v>94</v>
      </c>
      <c r="B68" s="281">
        <f>(G158*B67)/1.2</f>
        <v>187.84989375</v>
      </c>
      <c r="C68" s="250"/>
      <c r="D68" s="250"/>
      <c r="E68" s="291"/>
      <c r="F68" s="291"/>
      <c r="G68" s="291"/>
      <c r="H68" s="180"/>
      <c r="J68" s="275" t="s">
        <v>94</v>
      </c>
      <c r="K68" s="281">
        <f>K61*K67</f>
        <v>1547.8</v>
      </c>
      <c r="L68" s="250"/>
      <c r="M68" s="250"/>
      <c r="N68" s="291"/>
      <c r="O68" s="291"/>
      <c r="P68" s="291"/>
      <c r="Q68" s="180"/>
      <c r="S68" s="275" t="s">
        <v>94</v>
      </c>
      <c r="T68" s="281">
        <f>T61*T67</f>
        <v>204.92</v>
      </c>
      <c r="U68" s="250"/>
      <c r="V68" s="250"/>
      <c r="W68" s="291"/>
      <c r="X68" s="291"/>
      <c r="Y68" s="291"/>
      <c r="Z68" s="180"/>
      <c r="AB68" s="275" t="s">
        <v>94</v>
      </c>
      <c r="AC68" s="281">
        <f>AH158*AC67</f>
        <v>168.754479166667</v>
      </c>
      <c r="AD68" s="250"/>
      <c r="AE68" s="250"/>
      <c r="AF68" s="291"/>
      <c r="AG68" s="291"/>
      <c r="AH68" s="291"/>
      <c r="AI68" s="180"/>
    </row>
    <row r="69" spans="1:35">
      <c r="A69" s="294" t="s">
        <v>95</v>
      </c>
      <c r="B69" s="295">
        <v>0</v>
      </c>
      <c r="C69" s="250"/>
      <c r="D69" s="250"/>
      <c r="E69" s="291"/>
      <c r="F69" s="291"/>
      <c r="G69" s="291"/>
      <c r="H69" s="180"/>
      <c r="J69" s="294" t="s">
        <v>95</v>
      </c>
      <c r="K69" s="295">
        <v>0</v>
      </c>
      <c r="L69" s="250"/>
      <c r="M69" s="250"/>
      <c r="N69" s="291"/>
      <c r="O69" s="291"/>
      <c r="P69" s="291"/>
      <c r="Q69" s="180"/>
      <c r="S69" s="294" t="s">
        <v>95</v>
      </c>
      <c r="T69" s="295">
        <v>0</v>
      </c>
      <c r="U69" s="250"/>
      <c r="V69" s="250"/>
      <c r="W69" s="291"/>
      <c r="X69" s="291"/>
      <c r="Y69" s="291"/>
      <c r="Z69" s="180"/>
      <c r="AB69" s="294" t="s">
        <v>95</v>
      </c>
      <c r="AC69" s="295">
        <v>0</v>
      </c>
      <c r="AD69" s="250"/>
      <c r="AE69" s="250"/>
      <c r="AF69" s="291"/>
      <c r="AG69" s="291"/>
      <c r="AH69" s="291"/>
      <c r="AI69" s="180"/>
    </row>
    <row r="70" spans="1:35">
      <c r="A70" s="242" t="s">
        <v>96</v>
      </c>
      <c r="B70" s="296">
        <v>0</v>
      </c>
      <c r="C70" s="250"/>
      <c r="D70" s="250"/>
      <c r="E70" s="291"/>
      <c r="F70" s="291"/>
      <c r="G70" s="291"/>
      <c r="H70" s="180"/>
      <c r="J70" s="242" t="s">
        <v>96</v>
      </c>
      <c r="K70" s="296">
        <v>0</v>
      </c>
      <c r="L70" s="250"/>
      <c r="M70" s="250"/>
      <c r="N70" s="291"/>
      <c r="O70" s="291"/>
      <c r="P70" s="291"/>
      <c r="Q70" s="180"/>
      <c r="S70" s="242" t="s">
        <v>96</v>
      </c>
      <c r="T70" s="296">
        <v>0</v>
      </c>
      <c r="U70" s="250"/>
      <c r="V70" s="250"/>
      <c r="W70" s="291"/>
      <c r="X70" s="291"/>
      <c r="Y70" s="291"/>
      <c r="Z70" s="180"/>
      <c r="AB70" s="242" t="s">
        <v>96</v>
      </c>
      <c r="AC70" s="296">
        <v>0</v>
      </c>
      <c r="AD70" s="250"/>
      <c r="AE70" s="250"/>
      <c r="AF70" s="291"/>
      <c r="AG70" s="291"/>
      <c r="AH70" s="291"/>
      <c r="AI70" s="180"/>
    </row>
    <row r="71" ht="19.5" spans="1:35">
      <c r="A71" s="275" t="s">
        <v>97</v>
      </c>
      <c r="B71" s="311">
        <f>B69*(1+B70)</f>
        <v>0</v>
      </c>
      <c r="C71" s="250"/>
      <c r="D71" s="250"/>
      <c r="E71" s="291"/>
      <c r="F71" s="291"/>
      <c r="G71" s="291"/>
      <c r="H71" s="180"/>
      <c r="J71" s="275" t="s">
        <v>97</v>
      </c>
      <c r="K71" s="311">
        <f>K69*(1+K70)</f>
        <v>0</v>
      </c>
      <c r="L71" s="250"/>
      <c r="M71" s="250"/>
      <c r="N71" s="291"/>
      <c r="O71" s="291"/>
      <c r="P71" s="291"/>
      <c r="Q71" s="180"/>
      <c r="S71" s="275" t="s">
        <v>97</v>
      </c>
      <c r="T71" s="311">
        <f>T69*(1+T70)</f>
        <v>0</v>
      </c>
      <c r="U71" s="250"/>
      <c r="V71" s="250"/>
      <c r="W71" s="291"/>
      <c r="X71" s="291"/>
      <c r="Y71" s="291"/>
      <c r="Z71" s="180"/>
      <c r="AB71" s="275" t="s">
        <v>97</v>
      </c>
      <c r="AC71" s="311">
        <f>AC69*(1+AC70)</f>
        <v>0</v>
      </c>
      <c r="AD71" s="250"/>
      <c r="AE71" s="250"/>
      <c r="AF71" s="291"/>
      <c r="AG71" s="291"/>
      <c r="AH71" s="291"/>
      <c r="AI71" s="180"/>
    </row>
    <row r="72" spans="1:35">
      <c r="A72" s="294" t="s">
        <v>98</v>
      </c>
      <c r="B72" s="312">
        <v>0</v>
      </c>
      <c r="C72" s="250"/>
      <c r="D72" s="250"/>
      <c r="E72" s="291"/>
      <c r="F72" s="291"/>
      <c r="G72" s="291"/>
      <c r="H72" s="180"/>
      <c r="J72" s="294" t="s">
        <v>98</v>
      </c>
      <c r="K72" s="312">
        <v>0</v>
      </c>
      <c r="L72" s="250"/>
      <c r="M72" s="250"/>
      <c r="N72" s="291"/>
      <c r="O72" s="291"/>
      <c r="P72" s="291"/>
      <c r="Q72" s="180"/>
      <c r="S72" s="294" t="s">
        <v>98</v>
      </c>
      <c r="T72" s="312">
        <v>0</v>
      </c>
      <c r="U72" s="250"/>
      <c r="V72" s="250"/>
      <c r="W72" s="291"/>
      <c r="X72" s="291"/>
      <c r="Y72" s="291"/>
      <c r="Z72" s="180"/>
      <c r="AB72" s="294" t="s">
        <v>98</v>
      </c>
      <c r="AC72" s="312">
        <v>0</v>
      </c>
      <c r="AD72" s="250"/>
      <c r="AE72" s="250"/>
      <c r="AF72" s="291"/>
      <c r="AG72" s="291"/>
      <c r="AH72" s="291"/>
      <c r="AI72" s="180"/>
    </row>
    <row r="73" spans="1:35">
      <c r="A73" s="242" t="s">
        <v>99</v>
      </c>
      <c r="B73" s="293">
        <v>0</v>
      </c>
      <c r="C73" s="250"/>
      <c r="D73" s="250"/>
      <c r="E73" s="291"/>
      <c r="F73" s="291"/>
      <c r="G73" s="291"/>
      <c r="H73" s="180"/>
      <c r="J73" s="242" t="s">
        <v>99</v>
      </c>
      <c r="K73" s="293">
        <v>0</v>
      </c>
      <c r="L73" s="250"/>
      <c r="M73" s="250"/>
      <c r="N73" s="291"/>
      <c r="O73" s="291"/>
      <c r="P73" s="291"/>
      <c r="Q73" s="180"/>
      <c r="S73" s="242" t="s">
        <v>99</v>
      </c>
      <c r="T73" s="293">
        <v>0</v>
      </c>
      <c r="U73" s="250"/>
      <c r="V73" s="250"/>
      <c r="W73" s="291"/>
      <c r="X73" s="291"/>
      <c r="Y73" s="291"/>
      <c r="Z73" s="180"/>
      <c r="AB73" s="242" t="s">
        <v>99</v>
      </c>
      <c r="AC73" s="293">
        <v>0</v>
      </c>
      <c r="AD73" s="250"/>
      <c r="AE73" s="250"/>
      <c r="AF73" s="291"/>
      <c r="AG73" s="291"/>
      <c r="AH73" s="291"/>
      <c r="AI73" s="180"/>
    </row>
    <row r="74" ht="19.5" spans="1:35">
      <c r="A74" s="275" t="s">
        <v>100</v>
      </c>
      <c r="B74" s="281">
        <f>B73*B29</f>
        <v>0</v>
      </c>
      <c r="C74" s="250"/>
      <c r="D74" s="250">
        <f>B74+B72</f>
        <v>0</v>
      </c>
      <c r="E74" s="291"/>
      <c r="F74" s="291"/>
      <c r="G74" s="291"/>
      <c r="H74" s="180"/>
      <c r="J74" s="275" t="s">
        <v>100</v>
      </c>
      <c r="K74" s="281">
        <f>K73*K29</f>
        <v>0</v>
      </c>
      <c r="L74" s="250"/>
      <c r="M74" s="250">
        <f>K74+K72</f>
        <v>0</v>
      </c>
      <c r="N74" s="291"/>
      <c r="O74" s="291"/>
      <c r="P74" s="291"/>
      <c r="Q74" s="180"/>
      <c r="S74" s="275" t="s">
        <v>100</v>
      </c>
      <c r="T74" s="281">
        <f>T73*K29</f>
        <v>0</v>
      </c>
      <c r="U74" s="250"/>
      <c r="V74" s="250">
        <f>T74+T72</f>
        <v>0</v>
      </c>
      <c r="W74" s="291"/>
      <c r="X74" s="291"/>
      <c r="Y74" s="291"/>
      <c r="Z74" s="180"/>
      <c r="AB74" s="275" t="s">
        <v>100</v>
      </c>
      <c r="AC74" s="281">
        <f>AC73*K29</f>
        <v>0</v>
      </c>
      <c r="AD74" s="250"/>
      <c r="AE74" s="250">
        <f>AC74+AC72</f>
        <v>0</v>
      </c>
      <c r="AF74" s="291"/>
      <c r="AG74" s="291"/>
      <c r="AH74" s="291"/>
      <c r="AI74" s="180"/>
    </row>
    <row r="75" spans="1:35">
      <c r="A75" s="242" t="s">
        <v>101</v>
      </c>
      <c r="B75" s="293">
        <v>0</v>
      </c>
      <c r="C75" s="250"/>
      <c r="D75" s="250">
        <f>B75</f>
        <v>0</v>
      </c>
      <c r="E75" s="291"/>
      <c r="F75" s="291"/>
      <c r="G75" s="291"/>
      <c r="H75" s="180"/>
      <c r="J75" s="242" t="s">
        <v>101</v>
      </c>
      <c r="K75" s="293">
        <v>0</v>
      </c>
      <c r="L75" s="250"/>
      <c r="M75" s="250">
        <f>K75</f>
        <v>0</v>
      </c>
      <c r="N75" s="291"/>
      <c r="O75" s="291"/>
      <c r="P75" s="291"/>
      <c r="Q75" s="180"/>
      <c r="S75" s="242" t="s">
        <v>101</v>
      </c>
      <c r="T75" s="293">
        <v>0</v>
      </c>
      <c r="U75" s="250"/>
      <c r="V75" s="250">
        <f>T75</f>
        <v>0</v>
      </c>
      <c r="W75" s="291"/>
      <c r="X75" s="291"/>
      <c r="Y75" s="291"/>
      <c r="Z75" s="180"/>
      <c r="AB75" s="242" t="s">
        <v>101</v>
      </c>
      <c r="AC75" s="293">
        <v>0</v>
      </c>
      <c r="AD75" s="250"/>
      <c r="AE75" s="250">
        <f>AC75</f>
        <v>0</v>
      </c>
      <c r="AF75" s="291"/>
      <c r="AG75" s="291"/>
      <c r="AH75" s="291"/>
      <c r="AI75" s="180"/>
    </row>
    <row r="76" ht="19.5" spans="1:35">
      <c r="A76" s="297" t="s">
        <v>102</v>
      </c>
      <c r="B76" s="313">
        <v>0</v>
      </c>
      <c r="C76" s="250"/>
      <c r="D76" s="250">
        <f>B76</f>
        <v>0</v>
      </c>
      <c r="E76" s="291"/>
      <c r="F76" s="291"/>
      <c r="G76" s="291"/>
      <c r="H76" s="180"/>
      <c r="J76" s="297" t="s">
        <v>102</v>
      </c>
      <c r="K76" s="313">
        <v>0</v>
      </c>
      <c r="L76" s="250"/>
      <c r="M76" s="250">
        <f>K76</f>
        <v>0</v>
      </c>
      <c r="N76" s="291"/>
      <c r="O76" s="291"/>
      <c r="P76" s="291"/>
      <c r="Q76" s="180"/>
      <c r="S76" s="297" t="s">
        <v>102</v>
      </c>
      <c r="T76" s="313">
        <v>0</v>
      </c>
      <c r="U76" s="250"/>
      <c r="V76" s="250">
        <f>T76</f>
        <v>0</v>
      </c>
      <c r="W76" s="291"/>
      <c r="X76" s="291"/>
      <c r="Y76" s="291"/>
      <c r="Z76" s="180"/>
      <c r="AB76" s="297" t="s">
        <v>102</v>
      </c>
      <c r="AC76" s="313">
        <v>0</v>
      </c>
      <c r="AD76" s="250"/>
      <c r="AE76" s="250">
        <f>AC76</f>
        <v>0</v>
      </c>
      <c r="AF76" s="291"/>
      <c r="AG76" s="291"/>
      <c r="AH76" s="291"/>
      <c r="AI76" s="180"/>
    </row>
    <row r="77" spans="1:35">
      <c r="A77" s="314" t="s">
        <v>103</v>
      </c>
      <c r="B77" s="315">
        <f>SUM(D65:D76)</f>
        <v>0</v>
      </c>
      <c r="C77" s="250"/>
      <c r="D77" s="250"/>
      <c r="E77" s="291"/>
      <c r="F77" s="291"/>
      <c r="G77" s="291"/>
      <c r="H77" s="180"/>
      <c r="J77" s="314" t="s">
        <v>103</v>
      </c>
      <c r="K77" s="315">
        <f>SUM(M65:M76)</f>
        <v>0</v>
      </c>
      <c r="L77" s="250"/>
      <c r="M77" s="250"/>
      <c r="N77" s="291"/>
      <c r="O77" s="291"/>
      <c r="P77" s="291"/>
      <c r="Q77" s="180"/>
      <c r="S77" s="314" t="s">
        <v>103</v>
      </c>
      <c r="T77" s="315">
        <f>SUM(V65:V76)</f>
        <v>0</v>
      </c>
      <c r="U77" s="250"/>
      <c r="V77" s="250"/>
      <c r="W77" s="291"/>
      <c r="X77" s="291"/>
      <c r="Y77" s="291"/>
      <c r="Z77" s="180"/>
      <c r="AB77" s="314" t="s">
        <v>103</v>
      </c>
      <c r="AC77" s="315">
        <f>SUM(AE65:AE76)</f>
        <v>0</v>
      </c>
      <c r="AD77" s="250"/>
      <c r="AE77" s="250"/>
      <c r="AF77" s="291"/>
      <c r="AG77" s="291"/>
      <c r="AH77" s="291"/>
      <c r="AI77" s="180"/>
    </row>
    <row r="78" spans="1:35">
      <c r="A78" s="245" t="s">
        <v>104</v>
      </c>
      <c r="B78" s="180">
        <f>B77/H29</f>
        <v>0</v>
      </c>
      <c r="C78" s="250"/>
      <c r="D78" s="250"/>
      <c r="E78" s="291"/>
      <c r="F78" s="291"/>
      <c r="G78" s="291"/>
      <c r="H78" s="180"/>
      <c r="J78" s="245" t="s">
        <v>104</v>
      </c>
      <c r="K78" s="180">
        <f>K77/K29</f>
        <v>0</v>
      </c>
      <c r="L78" s="250"/>
      <c r="M78" s="250"/>
      <c r="N78" s="291"/>
      <c r="O78" s="291"/>
      <c r="P78" s="291"/>
      <c r="Q78" s="180"/>
      <c r="S78" s="245" t="s">
        <v>104</v>
      </c>
      <c r="T78" s="180">
        <f>T77/K29</f>
        <v>0</v>
      </c>
      <c r="U78" s="250"/>
      <c r="V78" s="250"/>
      <c r="W78" s="291"/>
      <c r="X78" s="291"/>
      <c r="Y78" s="291"/>
      <c r="Z78" s="180"/>
      <c r="AB78" s="245" t="s">
        <v>104</v>
      </c>
      <c r="AC78" s="180">
        <f>AC77/K29</f>
        <v>0</v>
      </c>
      <c r="AD78" s="250"/>
      <c r="AE78" s="250"/>
      <c r="AF78" s="291"/>
      <c r="AG78" s="291"/>
      <c r="AH78" s="291"/>
      <c r="AI78" s="180"/>
    </row>
    <row r="79" ht="19.5" spans="1:35">
      <c r="A79" s="316" t="s">
        <v>105</v>
      </c>
      <c r="B79" s="278">
        <f>K47</f>
        <v>450.973379398935</v>
      </c>
      <c r="C79" s="250"/>
      <c r="D79" s="250"/>
      <c r="E79" s="291"/>
      <c r="F79" s="291"/>
      <c r="G79" s="291"/>
      <c r="H79" s="180"/>
      <c r="J79" s="316" t="s">
        <v>105</v>
      </c>
      <c r="K79" s="278">
        <f>K47</f>
        <v>450.973379398935</v>
      </c>
      <c r="L79" s="250"/>
      <c r="M79" s="250"/>
      <c r="N79" s="291"/>
      <c r="O79" s="291"/>
      <c r="P79" s="291"/>
      <c r="Q79" s="180"/>
      <c r="S79" s="316" t="s">
        <v>105</v>
      </c>
      <c r="T79" s="278">
        <f>B52</f>
        <v>503.363379398935</v>
      </c>
      <c r="U79" s="250"/>
      <c r="V79" s="250"/>
      <c r="W79" s="291"/>
      <c r="X79" s="291"/>
      <c r="Y79" s="291"/>
      <c r="Z79" s="180"/>
      <c r="AB79" s="316" t="s">
        <v>105</v>
      </c>
      <c r="AC79" s="278">
        <f>B52</f>
        <v>503.363379398935</v>
      </c>
      <c r="AD79" s="250"/>
      <c r="AE79" s="250"/>
      <c r="AF79" s="291"/>
      <c r="AG79" s="291"/>
      <c r="AH79" s="291"/>
      <c r="AI79" s="180"/>
    </row>
    <row r="80" ht="19.5" spans="1:35">
      <c r="A80" s="245"/>
      <c r="B80" s="250"/>
      <c r="C80" s="250"/>
      <c r="D80" s="250"/>
      <c r="E80" s="291"/>
      <c r="F80" s="291"/>
      <c r="G80" s="291"/>
      <c r="H80" s="180"/>
      <c r="J80" s="245"/>
      <c r="K80" s="250"/>
      <c r="L80" s="250"/>
      <c r="M80" s="250"/>
      <c r="N80" s="291"/>
      <c r="O80" s="291"/>
      <c r="P80" s="291"/>
      <c r="Q80" s="180"/>
      <c r="S80" s="245"/>
      <c r="T80" s="250"/>
      <c r="U80" s="250"/>
      <c r="V80" s="250"/>
      <c r="W80" s="291"/>
      <c r="X80" s="291"/>
      <c r="Y80" s="291"/>
      <c r="Z80" s="180"/>
      <c r="AB80" s="245"/>
      <c r="AC80" s="250"/>
      <c r="AD80" s="250"/>
      <c r="AE80" s="250"/>
      <c r="AF80" s="291"/>
      <c r="AG80" s="291"/>
      <c r="AH80" s="291"/>
      <c r="AI80" s="180"/>
    </row>
    <row r="81" spans="1:35">
      <c r="A81" s="264" t="s">
        <v>106</v>
      </c>
      <c r="B81" s="266">
        <f>G158</f>
        <v>23021.604</v>
      </c>
      <c r="C81" s="250"/>
      <c r="D81" s="250"/>
      <c r="E81" s="291"/>
      <c r="F81" s="264" t="s">
        <v>106</v>
      </c>
      <c r="G81" s="266">
        <f>G158</f>
        <v>23021.604</v>
      </c>
      <c r="H81" s="180"/>
      <c r="J81" s="264" t="s">
        <v>106</v>
      </c>
      <c r="K81" s="266">
        <f>P158</f>
        <v>36519.004</v>
      </c>
      <c r="L81" s="250"/>
      <c r="M81" s="250"/>
      <c r="N81" s="291"/>
      <c r="O81" s="291"/>
      <c r="P81" s="291"/>
      <c r="Q81" s="180"/>
      <c r="S81" s="264" t="s">
        <v>106</v>
      </c>
      <c r="T81" s="266">
        <f>Y158</f>
        <v>22207.765</v>
      </c>
      <c r="U81" s="250"/>
      <c r="V81" s="250"/>
      <c r="W81" s="291"/>
      <c r="X81" s="291"/>
      <c r="Y81" s="291"/>
      <c r="Z81" s="180"/>
      <c r="AB81" s="264" t="s">
        <v>106</v>
      </c>
      <c r="AC81" s="266">
        <f>AH158</f>
        <v>17234.5</v>
      </c>
      <c r="AD81" s="250"/>
      <c r="AE81" s="250"/>
      <c r="AF81" s="291"/>
      <c r="AG81" s="291"/>
      <c r="AH81" s="291"/>
      <c r="AI81" s="180"/>
    </row>
    <row r="82" spans="1:35">
      <c r="A82" s="245" t="s">
        <v>107</v>
      </c>
      <c r="B82" s="180">
        <f>IF(A111="YES",A40,0)</f>
        <v>5010</v>
      </c>
      <c r="C82" s="250"/>
      <c r="D82" s="250"/>
      <c r="E82" s="291"/>
      <c r="F82" s="245" t="s">
        <v>107</v>
      </c>
      <c r="G82" s="180">
        <f>IF(A111="YES",A40,0)</f>
        <v>5010</v>
      </c>
      <c r="H82" s="180"/>
      <c r="J82" s="245" t="s">
        <v>107</v>
      </c>
      <c r="K82" s="180">
        <f>IF(J111="YES",A40,0)</f>
        <v>0</v>
      </c>
      <c r="L82" s="250"/>
      <c r="M82" s="250"/>
      <c r="N82" s="291"/>
      <c r="O82" s="291"/>
      <c r="P82" s="291"/>
      <c r="Q82" s="180"/>
      <c r="S82" s="245" t="s">
        <v>107</v>
      </c>
      <c r="T82" s="180">
        <f>A40</f>
        <v>5010</v>
      </c>
      <c r="U82" s="250"/>
      <c r="V82" s="250"/>
      <c r="W82" s="291"/>
      <c r="X82" s="291"/>
      <c r="Y82" s="291"/>
      <c r="Z82" s="180"/>
      <c r="AB82" s="245" t="s">
        <v>107</v>
      </c>
      <c r="AC82" s="180">
        <f>A40</f>
        <v>5010</v>
      </c>
      <c r="AD82" s="250"/>
      <c r="AE82" s="250"/>
      <c r="AF82" s="291"/>
      <c r="AG82" s="291"/>
      <c r="AH82" s="291"/>
      <c r="AI82" s="180"/>
    </row>
    <row r="83" spans="1:35">
      <c r="A83" s="245" t="s">
        <v>108</v>
      </c>
      <c r="B83" s="179">
        <f>B62+B63+B64</f>
        <v>0.089</v>
      </c>
      <c r="C83" s="250"/>
      <c r="D83" s="250"/>
      <c r="E83" s="291"/>
      <c r="F83" s="245" t="s">
        <v>108</v>
      </c>
      <c r="G83" s="317">
        <f>B63</f>
        <v>0.065</v>
      </c>
      <c r="H83" s="180"/>
      <c r="J83" s="245" t="s">
        <v>108</v>
      </c>
      <c r="K83" s="179">
        <f>K62+K63+K64</f>
        <v>0.24</v>
      </c>
      <c r="L83" s="250"/>
      <c r="M83" s="250"/>
      <c r="N83" s="291"/>
      <c r="O83" s="291"/>
      <c r="P83" s="291"/>
      <c r="Q83" s="180"/>
      <c r="S83" s="245" t="s">
        <v>108</v>
      </c>
      <c r="T83" s="179">
        <f>T62+T63+T64</f>
        <v>0.131</v>
      </c>
      <c r="U83" s="250"/>
      <c r="V83" s="250"/>
      <c r="W83" s="291"/>
      <c r="X83" s="291"/>
      <c r="Y83" s="291"/>
      <c r="Z83" s="180"/>
      <c r="AB83" s="245" t="s">
        <v>108</v>
      </c>
      <c r="AC83" s="179">
        <f>AC62+AC63+AC64</f>
        <v>0.131</v>
      </c>
      <c r="AD83" s="250"/>
      <c r="AE83" s="250"/>
      <c r="AF83" s="291"/>
      <c r="AG83" s="291"/>
      <c r="AH83" s="291"/>
      <c r="AI83" s="180"/>
    </row>
    <row r="84" spans="1:35">
      <c r="A84" s="245" t="s">
        <v>109</v>
      </c>
      <c r="B84" s="179">
        <f>B83/12</f>
        <v>0.00741666666666667</v>
      </c>
      <c r="C84" s="250"/>
      <c r="D84" s="250"/>
      <c r="E84" s="291"/>
      <c r="F84" s="245" t="s">
        <v>109</v>
      </c>
      <c r="G84" s="179">
        <f>G83/12</f>
        <v>0.00541666666666667</v>
      </c>
      <c r="H84" s="180"/>
      <c r="J84" s="245" t="s">
        <v>109</v>
      </c>
      <c r="K84" s="179">
        <f>K83/12</f>
        <v>0.02</v>
      </c>
      <c r="L84" s="250"/>
      <c r="M84" s="250"/>
      <c r="N84" s="291"/>
      <c r="O84" s="291"/>
      <c r="P84" s="291"/>
      <c r="Q84" s="180"/>
      <c r="S84" s="245" t="s">
        <v>109</v>
      </c>
      <c r="T84" s="179">
        <f>T83/12</f>
        <v>0.0109166666666667</v>
      </c>
      <c r="U84" s="250"/>
      <c r="V84" s="250"/>
      <c r="W84" s="291"/>
      <c r="X84" s="291"/>
      <c r="Y84" s="291"/>
      <c r="Z84" s="180"/>
      <c r="AB84" s="245" t="s">
        <v>109</v>
      </c>
      <c r="AC84" s="179">
        <f>AC83/12</f>
        <v>0.0109166666666667</v>
      </c>
      <c r="AD84" s="250"/>
      <c r="AE84" s="250"/>
      <c r="AF84" s="291"/>
      <c r="AG84" s="291"/>
      <c r="AH84" s="291"/>
      <c r="AI84" s="180"/>
    </row>
    <row r="85" spans="1:35">
      <c r="A85" s="245" t="s">
        <v>110</v>
      </c>
      <c r="B85" s="180">
        <f>IF(B82=0,(B59+B58),(B59))</f>
        <v>34</v>
      </c>
      <c r="C85" s="250"/>
      <c r="D85" s="250"/>
      <c r="E85" s="291"/>
      <c r="F85" s="245" t="s">
        <v>110</v>
      </c>
      <c r="G85" s="180">
        <f>IF(G82=0,(B59+B58),(B59))</f>
        <v>34</v>
      </c>
      <c r="H85" s="180"/>
      <c r="J85" s="245" t="s">
        <v>110</v>
      </c>
      <c r="K85" s="180">
        <f>IF(K82=0,(K59+K58),(K59))</f>
        <v>35</v>
      </c>
      <c r="L85" s="250"/>
      <c r="M85" s="250"/>
      <c r="N85" s="291"/>
      <c r="O85" s="291"/>
      <c r="P85" s="291"/>
      <c r="Q85" s="180"/>
      <c r="S85" s="245" t="s">
        <v>110</v>
      </c>
      <c r="T85" s="180">
        <f>T59</f>
        <v>34</v>
      </c>
      <c r="U85" s="250"/>
      <c r="V85" s="250"/>
      <c r="W85" s="291"/>
      <c r="X85" s="291"/>
      <c r="Y85" s="291"/>
      <c r="Z85" s="180"/>
      <c r="AB85" s="245" t="s">
        <v>110</v>
      </c>
      <c r="AC85" s="180">
        <f>AC59</f>
        <v>34</v>
      </c>
      <c r="AD85" s="250"/>
      <c r="AE85" s="250"/>
      <c r="AF85" s="291"/>
      <c r="AG85" s="291"/>
      <c r="AH85" s="291"/>
      <c r="AI85" s="180"/>
    </row>
    <row r="86" spans="1:35">
      <c r="A86" s="245" t="s">
        <v>111</v>
      </c>
      <c r="B86" s="180">
        <f>(B82/((1+B84)^(B85+1)))</f>
        <v>3868.28195804386</v>
      </c>
      <c r="C86" s="250"/>
      <c r="D86" s="250"/>
      <c r="E86" s="291"/>
      <c r="F86" s="245" t="s">
        <v>111</v>
      </c>
      <c r="G86" s="180">
        <f>(G82/((1+G84)^(G85+1)))</f>
        <v>4146.91295006601</v>
      </c>
      <c r="H86" s="180"/>
      <c r="J86" s="245" t="s">
        <v>111</v>
      </c>
      <c r="K86" s="180">
        <f>(K82/((1+K84)^(K85+1)))</f>
        <v>0</v>
      </c>
      <c r="L86" s="250"/>
      <c r="M86" s="250"/>
      <c r="N86" s="291"/>
      <c r="O86" s="291"/>
      <c r="P86" s="291"/>
      <c r="Q86" s="180"/>
      <c r="S86" s="245" t="s">
        <v>111</v>
      </c>
      <c r="T86" s="180">
        <f>(T82/((1+T84)^(T85+1)))</f>
        <v>3426.10163437126</v>
      </c>
      <c r="U86" s="250"/>
      <c r="V86" s="250"/>
      <c r="W86" s="291"/>
      <c r="X86" s="291"/>
      <c r="Y86" s="291"/>
      <c r="Z86" s="180"/>
      <c r="AB86" s="245" t="s">
        <v>111</v>
      </c>
      <c r="AC86" s="180">
        <f>(AC82/((1+AC84)^(AC85+1)))</f>
        <v>3426.10163437126</v>
      </c>
      <c r="AD86" s="250"/>
      <c r="AE86" s="250"/>
      <c r="AF86" s="291"/>
      <c r="AG86" s="291"/>
      <c r="AH86" s="291"/>
      <c r="AI86" s="180"/>
    </row>
    <row r="87" spans="1:35">
      <c r="A87" s="245" t="s">
        <v>112</v>
      </c>
      <c r="B87" s="180">
        <f>((1-(1/((1+B84)^B85)))/B84)</f>
        <v>29.9543371890103</v>
      </c>
      <c r="C87" s="250"/>
      <c r="D87" s="250"/>
      <c r="E87" s="291"/>
      <c r="F87" s="245" t="s">
        <v>112</v>
      </c>
      <c r="G87" s="180">
        <f>((1-(1/((1+G84)^G85)))/G84)</f>
        <v>30.9764939580949</v>
      </c>
      <c r="H87" s="180"/>
      <c r="J87" s="245" t="s">
        <v>112</v>
      </c>
      <c r="K87" s="180">
        <f>((1-(1/((1+K84)^K85)))/K84)</f>
        <v>24.9986193320352</v>
      </c>
      <c r="L87" s="250"/>
      <c r="M87" s="250"/>
      <c r="N87" s="291"/>
      <c r="O87" s="291"/>
      <c r="P87" s="291"/>
      <c r="Q87" s="180"/>
      <c r="S87" s="245" t="s">
        <v>112</v>
      </c>
      <c r="T87" s="180">
        <f>((1-(1/((1+T84)^T85)))/T84)</f>
        <v>28.2762125724768</v>
      </c>
      <c r="U87" s="250"/>
      <c r="V87" s="250"/>
      <c r="W87" s="291"/>
      <c r="X87" s="291"/>
      <c r="Y87" s="291"/>
      <c r="Z87" s="180"/>
      <c r="AB87" s="245" t="s">
        <v>112</v>
      </c>
      <c r="AC87" s="180">
        <f>((1-(1/((1+AC84)^AC85)))/AC84)</f>
        <v>28.2762125724768</v>
      </c>
      <c r="AD87" s="250"/>
      <c r="AE87" s="250"/>
      <c r="AF87" s="291"/>
      <c r="AG87" s="291"/>
      <c r="AH87" s="291"/>
      <c r="AI87" s="180"/>
    </row>
    <row r="88" spans="1:35">
      <c r="A88" s="245" t="s">
        <v>113</v>
      </c>
      <c r="B88" s="180">
        <f>B81-B86</f>
        <v>19153.3220419561</v>
      </c>
      <c r="C88" s="250"/>
      <c r="D88" s="250"/>
      <c r="E88" s="291"/>
      <c r="F88" s="245" t="s">
        <v>113</v>
      </c>
      <c r="G88" s="180">
        <f>G81-G86</f>
        <v>18874.691049934</v>
      </c>
      <c r="H88" s="180"/>
      <c r="J88" s="245" t="s">
        <v>113</v>
      </c>
      <c r="K88" s="180">
        <f>K81-K86</f>
        <v>36519.004</v>
      </c>
      <c r="L88" s="250"/>
      <c r="M88" s="250"/>
      <c r="N88" s="291"/>
      <c r="O88" s="291"/>
      <c r="P88" s="291"/>
      <c r="Q88" s="180"/>
      <c r="S88" s="245" t="s">
        <v>113</v>
      </c>
      <c r="T88" s="180">
        <f>T81-T86</f>
        <v>18781.6633656287</v>
      </c>
      <c r="U88" s="250"/>
      <c r="V88" s="250"/>
      <c r="W88" s="291"/>
      <c r="X88" s="291"/>
      <c r="Y88" s="291"/>
      <c r="Z88" s="180"/>
      <c r="AB88" s="245" t="s">
        <v>113</v>
      </c>
      <c r="AC88" s="180">
        <f>AC81-AC86</f>
        <v>13808.3983656287</v>
      </c>
      <c r="AD88" s="250"/>
      <c r="AE88" s="250"/>
      <c r="AF88" s="291"/>
      <c r="AG88" s="291"/>
      <c r="AH88" s="291"/>
      <c r="AI88" s="180"/>
    </row>
    <row r="89" spans="1:35">
      <c r="A89" s="245" t="s">
        <v>114</v>
      </c>
      <c r="B89" s="180">
        <f>(B88/B87)</f>
        <v>639.417321141164</v>
      </c>
      <c r="C89" s="250"/>
      <c r="D89" s="250"/>
      <c r="E89" s="291"/>
      <c r="F89" s="245" t="s">
        <v>114</v>
      </c>
      <c r="G89" s="180">
        <f>(G88/G87)</f>
        <v>609.323026533208</v>
      </c>
      <c r="H89" s="180"/>
      <c r="J89" s="245" t="s">
        <v>114</v>
      </c>
      <c r="K89" s="180">
        <f>(K88/K87)</f>
        <v>1460.84083744584</v>
      </c>
      <c r="L89" s="250"/>
      <c r="M89" s="250"/>
      <c r="N89" s="291"/>
      <c r="O89" s="291"/>
      <c r="P89" s="291"/>
      <c r="Q89" s="180"/>
      <c r="S89" s="245" t="s">
        <v>114</v>
      </c>
      <c r="T89" s="180">
        <f>(T88/T87)</f>
        <v>664.221324460908</v>
      </c>
      <c r="U89" s="250"/>
      <c r="V89" s="250"/>
      <c r="W89" s="291"/>
      <c r="X89" s="291"/>
      <c r="Y89" s="291"/>
      <c r="Z89" s="180"/>
      <c r="AB89" s="245" t="s">
        <v>114</v>
      </c>
      <c r="AC89" s="180">
        <f>(AC88/AC87)</f>
        <v>488.33974246853</v>
      </c>
      <c r="AD89" s="250"/>
      <c r="AE89" s="250"/>
      <c r="AF89" s="291"/>
      <c r="AG89" s="291"/>
      <c r="AH89" s="291"/>
      <c r="AI89" s="180"/>
    </row>
    <row r="90" spans="1:35">
      <c r="A90" s="245" t="s">
        <v>115</v>
      </c>
      <c r="B90" s="180">
        <f>((B89*(B85))+B77)</f>
        <v>21740.1889187996</v>
      </c>
      <c r="C90" s="250"/>
      <c r="D90" s="250"/>
      <c r="E90" s="291"/>
      <c r="F90" s="245" t="s">
        <v>115</v>
      </c>
      <c r="G90" s="180">
        <f>((G89*(G85))+G77)</f>
        <v>20716.9829021291</v>
      </c>
      <c r="H90" s="180"/>
      <c r="J90" s="245" t="s">
        <v>115</v>
      </c>
      <c r="K90" s="180">
        <f>((K89*(K85))+K77)</f>
        <v>51129.4293106044</v>
      </c>
      <c r="L90" s="250"/>
      <c r="M90" s="250"/>
      <c r="N90" s="291"/>
      <c r="O90" s="291"/>
      <c r="P90" s="291"/>
      <c r="Q90" s="180"/>
      <c r="S90" s="245" t="s">
        <v>115</v>
      </c>
      <c r="T90" s="180">
        <f>(T89*(T85))+T77</f>
        <v>22583.5250316709</v>
      </c>
      <c r="U90" s="250"/>
      <c r="V90" s="250"/>
      <c r="W90" s="291"/>
      <c r="X90" s="291"/>
      <c r="Y90" s="291"/>
      <c r="Z90" s="180"/>
      <c r="AB90" s="245" t="s">
        <v>115</v>
      </c>
      <c r="AC90" s="180">
        <f>(AC89*(AC59))+AC77</f>
        <v>16603.55124393</v>
      </c>
      <c r="AD90" s="250"/>
      <c r="AE90" s="250"/>
      <c r="AF90" s="291"/>
      <c r="AG90" s="291"/>
      <c r="AH90" s="291"/>
      <c r="AI90" s="180"/>
    </row>
    <row r="91" spans="1:35">
      <c r="A91" s="245" t="s">
        <v>116</v>
      </c>
      <c r="B91" s="180">
        <f>(B90/(1-B71))*B71</f>
        <v>0</v>
      </c>
      <c r="C91" s="250"/>
      <c r="D91" s="250"/>
      <c r="E91" s="291"/>
      <c r="F91" s="245" t="s">
        <v>116</v>
      </c>
      <c r="G91" s="180">
        <f>(((G89*(G85))+G77)/(1-G71))*G71</f>
        <v>0</v>
      </c>
      <c r="H91" s="180"/>
      <c r="J91" s="245" t="s">
        <v>116</v>
      </c>
      <c r="K91" s="180">
        <f>(K90/(1-K71))*K71</f>
        <v>0</v>
      </c>
      <c r="L91" s="250"/>
      <c r="M91" s="250"/>
      <c r="N91" s="291"/>
      <c r="O91" s="291"/>
      <c r="P91" s="291"/>
      <c r="Q91" s="180"/>
      <c r="S91" s="245" t="s">
        <v>116</v>
      </c>
      <c r="T91" s="180">
        <f>(T90/(1-T71))*T71</f>
        <v>0</v>
      </c>
      <c r="U91" s="250"/>
      <c r="V91" s="250"/>
      <c r="W91" s="291"/>
      <c r="X91" s="291"/>
      <c r="Y91" s="291"/>
      <c r="Z91" s="180"/>
      <c r="AB91" s="245" t="s">
        <v>116</v>
      </c>
      <c r="AC91" s="180">
        <f>(AC90/(1-AC71))*AC71</f>
        <v>0</v>
      </c>
      <c r="AD91" s="250"/>
      <c r="AE91" s="250"/>
      <c r="AF91" s="291"/>
      <c r="AG91" s="291"/>
      <c r="AH91" s="291"/>
      <c r="AI91" s="180"/>
    </row>
    <row r="92" ht="19.5" spans="1:35">
      <c r="A92" s="275" t="s">
        <v>117</v>
      </c>
      <c r="B92" s="281">
        <f>(B90+B91)</f>
        <v>21740.1889187996</v>
      </c>
      <c r="C92" s="250"/>
      <c r="D92" s="250"/>
      <c r="E92" s="291"/>
      <c r="F92" s="275" t="s">
        <v>117</v>
      </c>
      <c r="G92" s="281">
        <f>(G90+G91)</f>
        <v>20716.9829021291</v>
      </c>
      <c r="H92" s="180"/>
      <c r="J92" s="275" t="s">
        <v>117</v>
      </c>
      <c r="K92" s="281">
        <f>(K90+K91)</f>
        <v>51129.4293106044</v>
      </c>
      <c r="L92" s="250"/>
      <c r="M92" s="250"/>
      <c r="N92" s="291"/>
      <c r="O92" s="291"/>
      <c r="P92" s="291"/>
      <c r="Q92" s="180"/>
      <c r="S92" s="275" t="s">
        <v>117</v>
      </c>
      <c r="T92" s="281">
        <f>(T90+T91)</f>
        <v>22583.5250316709</v>
      </c>
      <c r="U92" s="250"/>
      <c r="V92" s="250"/>
      <c r="W92" s="291"/>
      <c r="X92" s="291"/>
      <c r="Y92" s="291"/>
      <c r="Z92" s="180"/>
      <c r="AB92" s="275" t="s">
        <v>117</v>
      </c>
      <c r="AC92" s="281">
        <f>(AC90+AC91)</f>
        <v>16603.55124393</v>
      </c>
      <c r="AD92" s="250"/>
      <c r="AE92" s="250"/>
      <c r="AF92" s="291"/>
      <c r="AG92" s="291"/>
      <c r="AH92" s="291"/>
      <c r="AI92" s="180"/>
    </row>
    <row r="93" ht="19.5" spans="1:35">
      <c r="A93" s="245"/>
      <c r="B93" s="250"/>
      <c r="C93" s="250"/>
      <c r="D93" s="250"/>
      <c r="E93" s="291"/>
      <c r="F93" s="245"/>
      <c r="G93" s="250"/>
      <c r="H93" s="180"/>
      <c r="J93" s="245"/>
      <c r="K93" s="250"/>
      <c r="L93" s="250"/>
      <c r="M93" s="250"/>
      <c r="N93" s="291"/>
      <c r="O93" s="291"/>
      <c r="P93" s="291"/>
      <c r="Q93" s="180"/>
      <c r="S93" s="245"/>
      <c r="T93" s="250"/>
      <c r="U93" s="250"/>
      <c r="V93" s="250"/>
      <c r="W93" s="291"/>
      <c r="X93" s="291"/>
      <c r="Y93" s="291"/>
      <c r="Z93" s="180"/>
      <c r="AB93" s="245"/>
      <c r="AC93" s="250"/>
      <c r="AD93" s="250"/>
      <c r="AE93" s="250"/>
      <c r="AF93" s="291"/>
      <c r="AG93" s="291"/>
      <c r="AH93" s="291"/>
      <c r="AI93" s="180"/>
    </row>
    <row r="94" spans="1:35">
      <c r="A94" s="314" t="s">
        <v>118</v>
      </c>
      <c r="B94" s="315">
        <f>IF(B26="YES",((E40/B85)*(1+A108)*(C45/100)),"0")</f>
        <v>64.7170588235294</v>
      </c>
      <c r="C94" s="250"/>
      <c r="D94" s="250"/>
      <c r="E94" s="291"/>
      <c r="F94" s="314" t="s">
        <v>118</v>
      </c>
      <c r="G94" s="318">
        <f>IF(B26="YES",((E40/B85)*(1+A108)*(C45/100)),"0")</f>
        <v>64.7170588235294</v>
      </c>
      <c r="H94" s="180"/>
      <c r="J94" s="314" t="s">
        <v>118</v>
      </c>
      <c r="K94" s="315">
        <f>((E40/K85)*(1+J108))*1.2</f>
        <v>81.7284</v>
      </c>
      <c r="L94" s="250"/>
      <c r="M94" s="250"/>
      <c r="N94" s="291"/>
      <c r="O94" s="291"/>
      <c r="P94" s="291"/>
      <c r="Q94" s="180"/>
      <c r="S94" s="314" t="s">
        <v>118</v>
      </c>
      <c r="T94" s="315">
        <f>((E40/T85)*(1+S108))</f>
        <v>64.7170588235294</v>
      </c>
      <c r="U94" s="250"/>
      <c r="V94" s="250"/>
      <c r="W94" s="291"/>
      <c r="X94" s="291"/>
      <c r="Y94" s="291"/>
      <c r="Z94" s="180"/>
      <c r="AB94" s="314" t="s">
        <v>118</v>
      </c>
      <c r="AC94" s="315">
        <f>((E40/AC85)*(1+AB108))*1.2</f>
        <v>77.6604705882353</v>
      </c>
      <c r="AD94" s="250"/>
      <c r="AE94" s="250"/>
      <c r="AF94" s="291"/>
      <c r="AG94" s="291"/>
      <c r="AH94" s="291"/>
      <c r="AI94" s="180"/>
    </row>
    <row r="95" spans="1:35">
      <c r="A95" s="319" t="s">
        <v>119</v>
      </c>
      <c r="B95" s="320">
        <f>B92/(B85)</f>
        <v>639.417321141164</v>
      </c>
      <c r="C95" s="250"/>
      <c r="D95" s="250"/>
      <c r="E95" s="291"/>
      <c r="F95" s="319" t="s">
        <v>119</v>
      </c>
      <c r="G95" s="320">
        <f>G92/(G85)</f>
        <v>609.323026533208</v>
      </c>
      <c r="H95" s="180"/>
      <c r="J95" s="319" t="s">
        <v>119</v>
      </c>
      <c r="K95" s="320">
        <f>K92/(K85)</f>
        <v>1460.84083744584</v>
      </c>
      <c r="L95" s="250"/>
      <c r="M95" s="250"/>
      <c r="N95" s="291"/>
      <c r="O95" s="291"/>
      <c r="P95" s="291"/>
      <c r="Q95" s="180"/>
      <c r="S95" s="319" t="s">
        <v>119</v>
      </c>
      <c r="T95" s="320">
        <f>T92/(T85)</f>
        <v>664.221324460908</v>
      </c>
      <c r="U95" s="250"/>
      <c r="V95" s="250"/>
      <c r="W95" s="291"/>
      <c r="X95" s="291"/>
      <c r="Y95" s="291"/>
      <c r="Z95" s="180"/>
      <c r="AB95" s="319" t="s">
        <v>119</v>
      </c>
      <c r="AC95" s="320">
        <f>AC92/(AC59)</f>
        <v>488.33974246853</v>
      </c>
      <c r="AD95" s="250"/>
      <c r="AE95" s="250"/>
      <c r="AF95" s="291"/>
      <c r="AG95" s="291"/>
      <c r="AH95" s="291"/>
      <c r="AI95" s="180"/>
    </row>
    <row r="96" ht="19.5" spans="1:35">
      <c r="A96" s="321" t="s">
        <v>120</v>
      </c>
      <c r="B96" s="322">
        <f>(B94+B95)</f>
        <v>704.134379964694</v>
      </c>
      <c r="C96" s="250"/>
      <c r="D96" s="250"/>
      <c r="E96" s="291"/>
      <c r="F96" s="321" t="s">
        <v>120</v>
      </c>
      <c r="G96" s="322">
        <f>G94+G95</f>
        <v>674.040085356738</v>
      </c>
      <c r="H96" s="180"/>
      <c r="J96" s="321" t="s">
        <v>120</v>
      </c>
      <c r="K96" s="322">
        <f>(K94+K95)</f>
        <v>1542.56923744584</v>
      </c>
      <c r="L96" s="250"/>
      <c r="M96" s="250"/>
      <c r="N96" s="291"/>
      <c r="O96" s="291"/>
      <c r="P96" s="291"/>
      <c r="Q96" s="180"/>
      <c r="S96" s="321" t="s">
        <v>120</v>
      </c>
      <c r="T96" s="322">
        <f>T94+T95</f>
        <v>728.938383284438</v>
      </c>
      <c r="U96" s="250"/>
      <c r="V96" s="250"/>
      <c r="W96" s="291"/>
      <c r="X96" s="291"/>
      <c r="Y96" s="291"/>
      <c r="Z96" s="180"/>
      <c r="AB96" s="321" t="s">
        <v>120</v>
      </c>
      <c r="AC96" s="322">
        <f>AC94+AC95</f>
        <v>566.000213056765</v>
      </c>
      <c r="AD96" s="250"/>
      <c r="AE96" s="250"/>
      <c r="AF96" s="291"/>
      <c r="AG96" s="291"/>
      <c r="AH96" s="291"/>
      <c r="AI96" s="180"/>
    </row>
    <row r="97" ht="19.5" spans="1:35">
      <c r="A97" s="275"/>
      <c r="B97" s="276"/>
      <c r="C97" s="276"/>
      <c r="D97" s="276"/>
      <c r="E97" s="323"/>
      <c r="F97" s="323"/>
      <c r="G97" s="323"/>
      <c r="H97" s="281"/>
      <c r="J97" s="275"/>
      <c r="K97" s="276"/>
      <c r="L97" s="276"/>
      <c r="M97" s="276"/>
      <c r="N97" s="323"/>
      <c r="O97" s="323"/>
      <c r="P97" s="323"/>
      <c r="Q97" s="281"/>
      <c r="S97" s="275"/>
      <c r="T97" s="276"/>
      <c r="U97" s="276"/>
      <c r="V97" s="276"/>
      <c r="W97" s="323"/>
      <c r="X97" s="323"/>
      <c r="Y97" s="323"/>
      <c r="Z97" s="281"/>
      <c r="AB97" s="275"/>
      <c r="AC97" s="276"/>
      <c r="AD97" s="276"/>
      <c r="AE97" s="276"/>
      <c r="AF97" s="323"/>
      <c r="AG97" s="323"/>
      <c r="AH97" s="323"/>
      <c r="AI97" s="281"/>
    </row>
    <row r="98" ht="14.25" spans="1:35">
      <c r="A98" s="262"/>
      <c r="B98" s="262"/>
      <c r="C98" s="262"/>
      <c r="D98" s="262"/>
      <c r="E98" s="262"/>
      <c r="F98" s="262"/>
      <c r="G98" s="262"/>
      <c r="H98" s="262"/>
      <c r="J98" s="262"/>
      <c r="K98" s="262"/>
      <c r="L98" s="262"/>
      <c r="M98" s="262"/>
      <c r="N98" s="262"/>
      <c r="O98" s="262"/>
      <c r="P98" s="262"/>
      <c r="Q98" s="262"/>
      <c r="S98" s="262"/>
      <c r="T98" s="262"/>
      <c r="U98" s="262"/>
      <c r="V98" s="262"/>
      <c r="W98" s="262"/>
      <c r="X98" s="262"/>
      <c r="Y98" s="262"/>
      <c r="Z98" s="262"/>
      <c r="AB98" s="262"/>
      <c r="AC98" s="262"/>
      <c r="AD98" s="262"/>
      <c r="AE98" s="262"/>
      <c r="AF98" s="262"/>
      <c r="AG98" s="262"/>
      <c r="AH98" s="262"/>
      <c r="AI98" s="262"/>
    </row>
    <row r="99" ht="15" spans="1:35">
      <c r="A99" s="262"/>
      <c r="B99" s="262"/>
      <c r="C99" s="262"/>
      <c r="D99" s="262"/>
      <c r="E99" s="262"/>
      <c r="F99" s="262"/>
      <c r="G99" s="262"/>
      <c r="H99" s="262"/>
      <c r="J99" s="262"/>
      <c r="K99" s="262"/>
      <c r="L99" s="262"/>
      <c r="M99" s="262"/>
      <c r="N99" s="262"/>
      <c r="O99" s="262"/>
      <c r="P99" s="262"/>
      <c r="Q99" s="262"/>
      <c r="S99" s="262"/>
      <c r="T99" s="262"/>
      <c r="U99" s="262"/>
      <c r="V99" s="262"/>
      <c r="W99" s="262"/>
      <c r="X99" s="262"/>
      <c r="Y99" s="262"/>
      <c r="Z99" s="262"/>
      <c r="AB99" s="262"/>
      <c r="AC99" s="262"/>
      <c r="AD99" s="262"/>
      <c r="AE99" s="262"/>
      <c r="AF99" s="262"/>
      <c r="AG99" s="262"/>
      <c r="AH99" s="262"/>
      <c r="AI99" s="262"/>
    </row>
    <row r="100" ht="47.25" customHeight="1" spans="1:35">
      <c r="A100" s="241" t="s">
        <v>124</v>
      </c>
      <c r="B100" s="241"/>
      <c r="C100" s="241"/>
      <c r="D100" s="241"/>
      <c r="E100" s="241"/>
      <c r="F100" s="241"/>
      <c r="G100" s="241"/>
      <c r="H100" s="241"/>
      <c r="J100" s="241" t="s">
        <v>123</v>
      </c>
      <c r="K100" s="241"/>
      <c r="L100" s="241"/>
      <c r="M100" s="241"/>
      <c r="N100" s="241"/>
      <c r="O100" s="241"/>
      <c r="P100" s="241"/>
      <c r="Q100" s="241"/>
      <c r="S100" s="241" t="s">
        <v>124</v>
      </c>
      <c r="T100" s="241"/>
      <c r="U100" s="241"/>
      <c r="V100" s="241"/>
      <c r="W100" s="241"/>
      <c r="X100" s="241"/>
      <c r="Y100" s="241"/>
      <c r="Z100" s="241"/>
      <c r="AB100" s="241" t="s">
        <v>125</v>
      </c>
      <c r="AC100" s="241"/>
      <c r="AD100" s="241"/>
      <c r="AE100" s="241"/>
      <c r="AF100" s="241"/>
      <c r="AG100" s="241"/>
      <c r="AH100" s="241"/>
      <c r="AI100" s="241"/>
    </row>
    <row r="101" spans="1:35">
      <c r="A101" s="264"/>
      <c r="B101" s="265"/>
      <c r="C101" s="265"/>
      <c r="D101" s="265"/>
      <c r="E101" s="290"/>
      <c r="F101" s="290"/>
      <c r="G101" s="290"/>
      <c r="H101" s="324"/>
      <c r="J101" s="264"/>
      <c r="K101" s="265"/>
      <c r="L101" s="265"/>
      <c r="M101" s="265"/>
      <c r="N101" s="290"/>
      <c r="O101" s="290"/>
      <c r="P101" s="290"/>
      <c r="Q101" s="324"/>
      <c r="S101" s="264"/>
      <c r="T101" s="265"/>
      <c r="U101" s="265"/>
      <c r="V101" s="265"/>
      <c r="W101" s="290"/>
      <c r="X101" s="290"/>
      <c r="Y101" s="290"/>
      <c r="Z101" s="324"/>
      <c r="AB101" s="264"/>
      <c r="AC101" s="265"/>
      <c r="AD101" s="265"/>
      <c r="AE101" s="265"/>
      <c r="AF101" s="290"/>
      <c r="AG101" s="290"/>
      <c r="AH101" s="290"/>
      <c r="AI101" s="324"/>
    </row>
    <row r="102" ht="24" spans="1:35">
      <c r="A102" s="269" t="s">
        <v>126</v>
      </c>
      <c r="B102" s="269"/>
      <c r="C102" s="269"/>
      <c r="D102" s="269"/>
      <c r="E102" s="269"/>
      <c r="F102" s="269"/>
      <c r="G102" s="269"/>
      <c r="H102" s="269"/>
      <c r="J102" s="269" t="s">
        <v>126</v>
      </c>
      <c r="K102" s="269"/>
      <c r="L102" s="269"/>
      <c r="M102" s="269"/>
      <c r="N102" s="269"/>
      <c r="O102" s="269"/>
      <c r="P102" s="269"/>
      <c r="Q102" s="269"/>
      <c r="S102" s="269" t="s">
        <v>126</v>
      </c>
      <c r="T102" s="269"/>
      <c r="U102" s="269"/>
      <c r="V102" s="269"/>
      <c r="W102" s="269"/>
      <c r="X102" s="269"/>
      <c r="Y102" s="269"/>
      <c r="Z102" s="269"/>
      <c r="AB102" s="269" t="s">
        <v>126</v>
      </c>
      <c r="AC102" s="269"/>
      <c r="AD102" s="269"/>
      <c r="AE102" s="269"/>
      <c r="AF102" s="269"/>
      <c r="AG102" s="269"/>
      <c r="AH102" s="269"/>
      <c r="AI102" s="269"/>
    </row>
    <row r="103" ht="19.5" spans="1:35">
      <c r="A103" s="245"/>
      <c r="B103" s="250"/>
      <c r="C103" s="250"/>
      <c r="D103" s="250"/>
      <c r="E103" s="291"/>
      <c r="F103" s="291"/>
      <c r="G103" s="291"/>
      <c r="H103" s="325"/>
      <c r="J103" s="245"/>
      <c r="K103" s="250"/>
      <c r="L103" s="250"/>
      <c r="M103" s="250"/>
      <c r="N103" s="291"/>
      <c r="O103" s="291"/>
      <c r="P103" s="291"/>
      <c r="Q103" s="325"/>
      <c r="S103" s="245"/>
      <c r="T103" s="250"/>
      <c r="U103" s="250"/>
      <c r="V103" s="250"/>
      <c r="W103" s="291"/>
      <c r="X103" s="291"/>
      <c r="Y103" s="291"/>
      <c r="Z103" s="325"/>
      <c r="AB103" s="245"/>
      <c r="AC103" s="250"/>
      <c r="AD103" s="250"/>
      <c r="AE103" s="250"/>
      <c r="AF103" s="291"/>
      <c r="AG103" s="291"/>
      <c r="AH103" s="291"/>
      <c r="AI103" s="325"/>
    </row>
    <row r="104" ht="19.5" spans="1:35">
      <c r="A104" s="245" t="s">
        <v>127</v>
      </c>
      <c r="B104" s="250" t="s">
        <v>23</v>
      </c>
      <c r="C104" s="250"/>
      <c r="D104" s="250"/>
      <c r="E104" s="250" t="s">
        <v>128</v>
      </c>
      <c r="F104" s="250"/>
      <c r="G104" s="250"/>
      <c r="H104" s="180"/>
      <c r="J104" s="245" t="s">
        <v>127</v>
      </c>
      <c r="K104" s="250" t="s">
        <v>23</v>
      </c>
      <c r="L104" s="250"/>
      <c r="M104" s="250"/>
      <c r="N104" s="250" t="s">
        <v>128</v>
      </c>
      <c r="O104" s="250"/>
      <c r="P104" s="250"/>
      <c r="Q104" s="180"/>
      <c r="S104" s="245" t="s">
        <v>127</v>
      </c>
      <c r="T104" s="250" t="s">
        <v>23</v>
      </c>
      <c r="U104" s="250"/>
      <c r="V104" s="250"/>
      <c r="W104" s="250" t="s">
        <v>128</v>
      </c>
      <c r="X104" s="250"/>
      <c r="Y104" s="250"/>
      <c r="Z104" s="180"/>
      <c r="AB104" s="245" t="s">
        <v>127</v>
      </c>
      <c r="AC104" s="250" t="s">
        <v>23</v>
      </c>
      <c r="AD104" s="250"/>
      <c r="AE104" s="250"/>
      <c r="AF104" s="250" t="s">
        <v>128</v>
      </c>
      <c r="AG104" s="250"/>
      <c r="AH104" s="250"/>
      <c r="AI104" s="180"/>
    </row>
    <row r="105" ht="19.5" spans="1:35">
      <c r="A105" s="267" t="s">
        <v>129</v>
      </c>
      <c r="B105" s="133" t="s">
        <v>130</v>
      </c>
      <c r="C105" s="133"/>
      <c r="D105" s="133"/>
      <c r="E105" s="48" t="s">
        <v>18</v>
      </c>
      <c r="F105" s="48"/>
      <c r="G105" s="48"/>
      <c r="H105" s="325"/>
      <c r="J105" s="267" t="s">
        <v>129</v>
      </c>
      <c r="K105" s="133" t="s">
        <v>130</v>
      </c>
      <c r="L105" s="133"/>
      <c r="M105" s="133"/>
      <c r="N105" s="48" t="s">
        <v>18</v>
      </c>
      <c r="O105" s="48"/>
      <c r="P105" s="48"/>
      <c r="Q105" s="325"/>
      <c r="S105" s="267" t="s">
        <v>129</v>
      </c>
      <c r="T105" s="133" t="s">
        <v>130</v>
      </c>
      <c r="U105" s="133"/>
      <c r="V105" s="133"/>
      <c r="W105" s="48" t="s">
        <v>18</v>
      </c>
      <c r="X105" s="48"/>
      <c r="Y105" s="48"/>
      <c r="Z105" s="325"/>
      <c r="AB105" s="267" t="s">
        <v>129</v>
      </c>
      <c r="AC105" s="133" t="s">
        <v>130</v>
      </c>
      <c r="AD105" s="133"/>
      <c r="AE105" s="133"/>
      <c r="AF105" s="48" t="s">
        <v>18</v>
      </c>
      <c r="AG105" s="48"/>
      <c r="AH105" s="48"/>
      <c r="AI105" s="325"/>
    </row>
    <row r="106" spans="1:35">
      <c r="A106" s="245"/>
      <c r="B106" s="250"/>
      <c r="C106" s="250"/>
      <c r="D106" s="291"/>
      <c r="E106" s="250"/>
      <c r="F106" s="250"/>
      <c r="G106" s="291"/>
      <c r="H106" s="180"/>
      <c r="J106" s="245"/>
      <c r="K106" s="250"/>
      <c r="L106" s="250"/>
      <c r="M106" s="291"/>
      <c r="N106" s="250"/>
      <c r="O106" s="250"/>
      <c r="P106" s="291"/>
      <c r="Q106" s="180"/>
      <c r="S106" s="245"/>
      <c r="T106" s="250"/>
      <c r="U106" s="250"/>
      <c r="V106" s="291"/>
      <c r="W106" s="250"/>
      <c r="X106" s="250"/>
      <c r="Y106" s="291"/>
      <c r="Z106" s="180"/>
      <c r="AB106" s="245"/>
      <c r="AC106" s="250"/>
      <c r="AD106" s="250"/>
      <c r="AE106" s="291"/>
      <c r="AF106" s="250"/>
      <c r="AG106" s="250"/>
      <c r="AH106" s="291"/>
      <c r="AI106" s="180"/>
    </row>
    <row r="107" ht="19.5" spans="1:35">
      <c r="A107" s="245" t="s">
        <v>131</v>
      </c>
      <c r="B107" s="250" t="s">
        <v>132</v>
      </c>
      <c r="C107" s="250"/>
      <c r="D107" s="291"/>
      <c r="E107" s="250" t="s">
        <v>133</v>
      </c>
      <c r="F107" s="250"/>
      <c r="G107" s="291"/>
      <c r="H107" s="325"/>
      <c r="J107" s="245" t="s">
        <v>131</v>
      </c>
      <c r="K107" s="250" t="s">
        <v>132</v>
      </c>
      <c r="L107" s="250"/>
      <c r="M107" s="291"/>
      <c r="N107" s="250" t="s">
        <v>133</v>
      </c>
      <c r="O107" s="250"/>
      <c r="P107" s="291"/>
      <c r="Q107" s="325"/>
      <c r="S107" s="245" t="s">
        <v>131</v>
      </c>
      <c r="T107" s="250" t="s">
        <v>132</v>
      </c>
      <c r="U107" s="250"/>
      <c r="V107" s="291"/>
      <c r="W107" s="250" t="s">
        <v>133</v>
      </c>
      <c r="X107" s="250"/>
      <c r="Y107" s="291"/>
      <c r="Z107" s="325"/>
      <c r="AB107" s="245" t="s">
        <v>131</v>
      </c>
      <c r="AC107" s="250" t="s">
        <v>132</v>
      </c>
      <c r="AD107" s="250"/>
      <c r="AE107" s="291"/>
      <c r="AF107" s="250" t="s">
        <v>133</v>
      </c>
      <c r="AG107" s="250"/>
      <c r="AH107" s="291"/>
      <c r="AI107" s="325"/>
    </row>
    <row r="108" ht="19.5" spans="1:42">
      <c r="A108" s="326">
        <v>0.2</v>
      </c>
      <c r="B108" s="102" t="s">
        <v>272</v>
      </c>
      <c r="C108" s="102"/>
      <c r="D108" s="102"/>
      <c r="E108" s="327">
        <f>B83</f>
        <v>0.089</v>
      </c>
      <c r="F108" s="327"/>
      <c r="G108" s="327"/>
      <c r="H108" s="271"/>
      <c r="J108" s="326">
        <v>0.3</v>
      </c>
      <c r="K108" s="102" t="s">
        <v>134</v>
      </c>
      <c r="L108" s="102"/>
      <c r="M108" s="102"/>
      <c r="N108" s="327">
        <f>K83</f>
        <v>0.24</v>
      </c>
      <c r="O108" s="327"/>
      <c r="P108" s="327"/>
      <c r="Q108" s="271"/>
      <c r="S108" s="326">
        <v>0.2</v>
      </c>
      <c r="T108" s="102" t="s">
        <v>135</v>
      </c>
      <c r="U108" s="102"/>
      <c r="V108" s="102"/>
      <c r="W108" s="327">
        <f>T83</f>
        <v>0.131</v>
      </c>
      <c r="X108" s="327"/>
      <c r="Y108" s="327"/>
      <c r="Z108" s="271"/>
      <c r="AB108" s="326">
        <v>0.2</v>
      </c>
      <c r="AC108" s="102" t="s">
        <v>135</v>
      </c>
      <c r="AD108" s="102"/>
      <c r="AE108" s="102"/>
      <c r="AF108" s="349">
        <f>AC83</f>
        <v>0.131</v>
      </c>
      <c r="AG108" s="349"/>
      <c r="AH108" s="349"/>
      <c r="AI108" s="271"/>
      <c r="AP108" s="239" t="s">
        <v>136</v>
      </c>
    </row>
    <row r="109" spans="1:42">
      <c r="A109" s="245"/>
      <c r="B109" s="250"/>
      <c r="C109" s="250"/>
      <c r="D109" s="250"/>
      <c r="E109" s="250"/>
      <c r="F109" s="250"/>
      <c r="G109" s="250"/>
      <c r="H109" s="180"/>
      <c r="J109" s="245"/>
      <c r="K109" s="250"/>
      <c r="L109" s="250"/>
      <c r="M109" s="250"/>
      <c r="N109" s="250"/>
      <c r="O109" s="250"/>
      <c r="P109" s="250"/>
      <c r="Q109" s="180"/>
      <c r="S109" s="245"/>
      <c r="T109" s="250"/>
      <c r="U109" s="250"/>
      <c r="V109" s="250"/>
      <c r="W109" s="250"/>
      <c r="X109" s="250"/>
      <c r="Y109" s="250"/>
      <c r="Z109" s="180"/>
      <c r="AB109" s="245"/>
      <c r="AC109" s="250"/>
      <c r="AD109" s="250"/>
      <c r="AE109" s="250"/>
      <c r="AF109" s="250"/>
      <c r="AG109" s="250"/>
      <c r="AH109" s="250"/>
      <c r="AI109" s="180"/>
      <c r="AP109" s="239" t="s">
        <v>134</v>
      </c>
    </row>
    <row r="110" ht="19.5" spans="1:35">
      <c r="A110" s="245" t="s">
        <v>137</v>
      </c>
      <c r="B110" s="250" t="s">
        <v>138</v>
      </c>
      <c r="C110" s="250"/>
      <c r="D110" s="250"/>
      <c r="E110" s="250" t="s">
        <v>139</v>
      </c>
      <c r="F110" s="250"/>
      <c r="G110" s="250"/>
      <c r="H110" s="180"/>
      <c r="J110" s="245" t="s">
        <v>137</v>
      </c>
      <c r="K110" s="250" t="s">
        <v>138</v>
      </c>
      <c r="L110" s="250"/>
      <c r="M110" s="250"/>
      <c r="N110" s="250" t="s">
        <v>139</v>
      </c>
      <c r="O110" s="250"/>
      <c r="P110" s="250"/>
      <c r="Q110" s="180"/>
      <c r="S110" s="245" t="s">
        <v>137</v>
      </c>
      <c r="T110" s="250" t="s">
        <v>138</v>
      </c>
      <c r="U110" s="250"/>
      <c r="V110" s="250"/>
      <c r="W110" s="250" t="s">
        <v>139</v>
      </c>
      <c r="X110" s="250"/>
      <c r="Y110" s="250"/>
      <c r="Z110" s="180"/>
      <c r="AB110" s="245" t="s">
        <v>137</v>
      </c>
      <c r="AC110" s="250" t="s">
        <v>138</v>
      </c>
      <c r="AD110" s="250"/>
      <c r="AE110" s="250"/>
      <c r="AF110" s="250" t="s">
        <v>139</v>
      </c>
      <c r="AG110" s="250"/>
      <c r="AH110" s="250"/>
      <c r="AI110" s="180"/>
    </row>
    <row r="111" ht="19.5" spans="1:35">
      <c r="A111" s="268" t="s">
        <v>18</v>
      </c>
      <c r="B111" s="102">
        <v>1000</v>
      </c>
      <c r="C111" s="102"/>
      <c r="D111" s="102"/>
      <c r="E111" s="102">
        <v>1000</v>
      </c>
      <c r="F111" s="102"/>
      <c r="G111" s="102"/>
      <c r="H111" s="325"/>
      <c r="J111" s="268" t="s">
        <v>19</v>
      </c>
      <c r="K111" s="102">
        <v>1000</v>
      </c>
      <c r="L111" s="102"/>
      <c r="M111" s="102"/>
      <c r="N111" s="102">
        <v>0</v>
      </c>
      <c r="O111" s="102"/>
      <c r="P111" s="102"/>
      <c r="Q111" s="325"/>
      <c r="S111" s="268" t="s">
        <v>18</v>
      </c>
      <c r="T111" s="102">
        <v>1000</v>
      </c>
      <c r="U111" s="102"/>
      <c r="V111" s="102"/>
      <c r="W111" s="102">
        <v>0</v>
      </c>
      <c r="X111" s="102"/>
      <c r="Y111" s="102"/>
      <c r="Z111" s="325"/>
      <c r="AB111" s="268" t="s">
        <v>18</v>
      </c>
      <c r="AC111" s="102">
        <v>1000</v>
      </c>
      <c r="AD111" s="102"/>
      <c r="AE111" s="102"/>
      <c r="AF111" s="102">
        <v>0</v>
      </c>
      <c r="AG111" s="102"/>
      <c r="AH111" s="102"/>
      <c r="AI111" s="325"/>
    </row>
    <row r="112" spans="1:35">
      <c r="A112" s="245"/>
      <c r="B112" s="250"/>
      <c r="C112" s="250"/>
      <c r="D112" s="250"/>
      <c r="E112" s="250"/>
      <c r="F112" s="250"/>
      <c r="G112" s="291"/>
      <c r="H112" s="325"/>
      <c r="J112" s="245"/>
      <c r="K112" s="250"/>
      <c r="L112" s="250"/>
      <c r="M112" s="250"/>
      <c r="N112" s="250"/>
      <c r="O112" s="250"/>
      <c r="P112" s="291"/>
      <c r="Q112" s="325"/>
      <c r="S112" s="245"/>
      <c r="T112" s="250"/>
      <c r="U112" s="250"/>
      <c r="V112" s="250"/>
      <c r="W112" s="250"/>
      <c r="X112" s="250"/>
      <c r="Y112" s="291"/>
      <c r="Z112" s="325"/>
      <c r="AB112" s="245"/>
      <c r="AC112" s="250"/>
      <c r="AD112" s="250"/>
      <c r="AE112" s="250"/>
      <c r="AF112" s="250"/>
      <c r="AG112" s="250"/>
      <c r="AH112" s="291"/>
      <c r="AI112" s="325"/>
    </row>
    <row r="113" ht="19.5" spans="1:35">
      <c r="A113" s="128" t="s">
        <v>140</v>
      </c>
      <c r="B113" s="250" t="s">
        <v>141</v>
      </c>
      <c r="C113" s="250"/>
      <c r="D113" s="250"/>
      <c r="E113" s="250" t="s">
        <v>142</v>
      </c>
      <c r="F113" s="250"/>
      <c r="G113" s="291"/>
      <c r="H113" s="325"/>
      <c r="J113" s="128" t="s">
        <v>140</v>
      </c>
      <c r="K113" s="250" t="s">
        <v>141</v>
      </c>
      <c r="L113" s="250"/>
      <c r="M113" s="250"/>
      <c r="N113" s="250" t="s">
        <v>142</v>
      </c>
      <c r="O113" s="250"/>
      <c r="P113" s="291"/>
      <c r="Q113" s="325"/>
      <c r="S113" s="128" t="s">
        <v>140</v>
      </c>
      <c r="T113" s="250" t="s">
        <v>141</v>
      </c>
      <c r="U113" s="250"/>
      <c r="V113" s="250"/>
      <c r="W113" s="250" t="s">
        <v>142</v>
      </c>
      <c r="X113" s="250"/>
      <c r="Y113" s="291"/>
      <c r="Z113" s="325"/>
      <c r="AB113" s="128" t="s">
        <v>140</v>
      </c>
      <c r="AC113" s="250" t="s">
        <v>141</v>
      </c>
      <c r="AD113" s="250"/>
      <c r="AE113" s="250"/>
      <c r="AF113" s="250" t="s">
        <v>142</v>
      </c>
      <c r="AG113" s="250"/>
      <c r="AH113" s="291"/>
      <c r="AI113" s="325"/>
    </row>
    <row r="114" ht="19.5" spans="1:35">
      <c r="A114" s="134">
        <f>B111+E111</f>
        <v>2000</v>
      </c>
      <c r="B114" s="102" t="s">
        <v>235</v>
      </c>
      <c r="C114" s="102"/>
      <c r="D114" s="102"/>
      <c r="E114" s="102">
        <v>0</v>
      </c>
      <c r="F114" s="102"/>
      <c r="G114" s="102"/>
      <c r="H114" s="325"/>
      <c r="J114" s="134">
        <f>K111+N111</f>
        <v>1000</v>
      </c>
      <c r="K114" s="102">
        <v>239.99</v>
      </c>
      <c r="L114" s="102"/>
      <c r="M114" s="102"/>
      <c r="N114" s="102">
        <v>0</v>
      </c>
      <c r="O114" s="102"/>
      <c r="P114" s="102"/>
      <c r="Q114" s="325"/>
      <c r="S114" s="134">
        <f>T111+W111</f>
        <v>1000</v>
      </c>
      <c r="T114" s="102">
        <v>199.99</v>
      </c>
      <c r="U114" s="102"/>
      <c r="V114" s="102"/>
      <c r="W114" s="102">
        <v>0</v>
      </c>
      <c r="X114" s="102"/>
      <c r="Y114" s="102"/>
      <c r="Z114" s="325"/>
      <c r="AB114" s="134">
        <f>AC111+AF111</f>
        <v>1000</v>
      </c>
      <c r="AC114" s="102">
        <v>239.99</v>
      </c>
      <c r="AD114" s="102"/>
      <c r="AE114" s="102"/>
      <c r="AF114" s="102">
        <v>0</v>
      </c>
      <c r="AG114" s="102"/>
      <c r="AH114" s="102"/>
      <c r="AI114" s="325"/>
    </row>
    <row r="115" ht="14.25" spans="1:35">
      <c r="A115" s="328"/>
      <c r="B115" s="291"/>
      <c r="C115" s="291"/>
      <c r="D115" s="291"/>
      <c r="E115" s="291"/>
      <c r="F115" s="291"/>
      <c r="G115" s="291"/>
      <c r="H115" s="325"/>
      <c r="J115" s="328"/>
      <c r="K115" s="291"/>
      <c r="L115" s="291"/>
      <c r="M115" s="291"/>
      <c r="N115" s="291"/>
      <c r="O115" s="291"/>
      <c r="P115" s="291"/>
      <c r="Q115" s="325"/>
      <c r="S115" s="328"/>
      <c r="T115" s="291"/>
      <c r="U115" s="291"/>
      <c r="V115" s="291"/>
      <c r="W115" s="291"/>
      <c r="X115" s="291"/>
      <c r="Y115" s="291"/>
      <c r="Z115" s="325"/>
      <c r="AB115" s="328"/>
      <c r="AC115" s="291"/>
      <c r="AD115" s="291"/>
      <c r="AE115" s="291"/>
      <c r="AF115" s="291"/>
      <c r="AG115" s="291"/>
      <c r="AH115" s="291"/>
      <c r="AI115" s="325"/>
    </row>
    <row r="116" ht="14.25" spans="1:35">
      <c r="A116" s="328"/>
      <c r="B116" s="291"/>
      <c r="C116" s="291"/>
      <c r="D116" s="291"/>
      <c r="E116" s="291"/>
      <c r="F116" s="291"/>
      <c r="G116" s="291"/>
      <c r="H116" s="325"/>
      <c r="J116" s="328"/>
      <c r="K116" s="291"/>
      <c r="L116" s="291"/>
      <c r="M116" s="291"/>
      <c r="N116" s="291"/>
      <c r="O116" s="291"/>
      <c r="P116" s="291"/>
      <c r="Q116" s="325"/>
      <c r="S116" s="328"/>
      <c r="T116" s="291"/>
      <c r="U116" s="291"/>
      <c r="V116" s="291"/>
      <c r="W116" s="291"/>
      <c r="X116" s="291"/>
      <c r="Y116" s="291"/>
      <c r="Z116" s="325"/>
      <c r="AB116" s="328"/>
      <c r="AC116" s="291"/>
      <c r="AD116" s="291"/>
      <c r="AE116" s="291"/>
      <c r="AF116" s="291"/>
      <c r="AG116" s="291"/>
      <c r="AH116" s="291"/>
      <c r="AI116" s="325"/>
    </row>
    <row r="117" ht="24" spans="1:35">
      <c r="A117" s="269">
        <v>0.3</v>
      </c>
      <c r="B117" s="269"/>
      <c r="C117" s="269"/>
      <c r="D117" s="269"/>
      <c r="E117" s="269"/>
      <c r="F117" s="269"/>
      <c r="G117" s="269"/>
      <c r="H117" s="269"/>
      <c r="J117" s="269" t="s">
        <v>144</v>
      </c>
      <c r="K117" s="269"/>
      <c r="L117" s="269"/>
      <c r="M117" s="269"/>
      <c r="N117" s="269"/>
      <c r="O117" s="269"/>
      <c r="P117" s="269"/>
      <c r="Q117" s="269"/>
      <c r="S117" s="269" t="s">
        <v>144</v>
      </c>
      <c r="T117" s="269"/>
      <c r="U117" s="269"/>
      <c r="V117" s="269"/>
      <c r="W117" s="269"/>
      <c r="X117" s="269"/>
      <c r="Y117" s="269"/>
      <c r="Z117" s="269"/>
      <c r="AB117" s="269" t="s">
        <v>144</v>
      </c>
      <c r="AC117" s="269"/>
      <c r="AD117" s="269"/>
      <c r="AE117" s="269"/>
      <c r="AF117" s="269"/>
      <c r="AG117" s="269"/>
      <c r="AH117" s="269"/>
      <c r="AI117" s="269"/>
    </row>
    <row r="118" ht="15.75" spans="1:35">
      <c r="A118" s="328"/>
      <c r="B118" s="291"/>
      <c r="C118" s="291"/>
      <c r="D118" s="291"/>
      <c r="E118" s="291"/>
      <c r="F118" s="291"/>
      <c r="G118" s="291"/>
      <c r="H118" s="325"/>
      <c r="J118" s="328"/>
      <c r="K118" s="291"/>
      <c r="L118" s="291"/>
      <c r="M118" s="291"/>
      <c r="N118" s="291"/>
      <c r="O118" s="291"/>
      <c r="P118" s="291"/>
      <c r="Q118" s="325"/>
      <c r="S118" s="328"/>
      <c r="T118" s="291"/>
      <c r="U118" s="291"/>
      <c r="V118" s="291"/>
      <c r="W118" s="291"/>
      <c r="X118" s="291"/>
      <c r="Y118" s="291"/>
      <c r="Z118" s="325"/>
      <c r="AB118" s="328"/>
      <c r="AC118" s="291"/>
      <c r="AD118" s="291"/>
      <c r="AE118" s="291"/>
      <c r="AF118" s="291"/>
      <c r="AG118" s="291"/>
      <c r="AH118" s="291"/>
      <c r="AI118" s="325"/>
    </row>
    <row r="119" ht="21" spans="1:35">
      <c r="A119" s="294"/>
      <c r="B119" s="329" t="s">
        <v>145</v>
      </c>
      <c r="C119" s="329"/>
      <c r="D119" s="329" t="s">
        <v>146</v>
      </c>
      <c r="E119" s="329"/>
      <c r="F119" s="329" t="s">
        <v>147</v>
      </c>
      <c r="G119" s="329"/>
      <c r="H119" s="330" t="s">
        <v>148</v>
      </c>
      <c r="J119" s="294"/>
      <c r="K119" s="329" t="s">
        <v>145</v>
      </c>
      <c r="L119" s="329"/>
      <c r="M119" s="329" t="s">
        <v>146</v>
      </c>
      <c r="N119" s="329"/>
      <c r="O119" s="329" t="s">
        <v>147</v>
      </c>
      <c r="P119" s="329"/>
      <c r="Q119" s="330" t="s">
        <v>148</v>
      </c>
      <c r="S119" s="294"/>
      <c r="T119" s="329" t="s">
        <v>145</v>
      </c>
      <c r="U119" s="329"/>
      <c r="V119" s="329" t="s">
        <v>146</v>
      </c>
      <c r="W119" s="329"/>
      <c r="X119" s="329" t="s">
        <v>147</v>
      </c>
      <c r="Y119" s="329"/>
      <c r="Z119" s="330" t="s">
        <v>148</v>
      </c>
      <c r="AB119" s="294"/>
      <c r="AC119" s="329" t="s">
        <v>145</v>
      </c>
      <c r="AD119" s="329"/>
      <c r="AE119" s="329" t="s">
        <v>146</v>
      </c>
      <c r="AF119" s="329"/>
      <c r="AG119" s="329" t="s">
        <v>147</v>
      </c>
      <c r="AH119" s="329"/>
      <c r="AI119" s="330" t="s">
        <v>148</v>
      </c>
    </row>
    <row r="120" ht="21.75" spans="1:35">
      <c r="A120" s="242"/>
      <c r="B120" s="331" t="s">
        <v>149</v>
      </c>
      <c r="C120" s="332" t="s">
        <v>150</v>
      </c>
      <c r="D120" s="331" t="s">
        <v>149</v>
      </c>
      <c r="E120" s="333" t="s">
        <v>150</v>
      </c>
      <c r="F120" s="331" t="s">
        <v>149</v>
      </c>
      <c r="G120" s="333" t="s">
        <v>150</v>
      </c>
      <c r="H120" s="334"/>
      <c r="J120" s="242"/>
      <c r="K120" s="331" t="s">
        <v>149</v>
      </c>
      <c r="L120" s="332" t="s">
        <v>150</v>
      </c>
      <c r="M120" s="331" t="s">
        <v>149</v>
      </c>
      <c r="N120" s="333" t="s">
        <v>150</v>
      </c>
      <c r="O120" s="331" t="s">
        <v>149</v>
      </c>
      <c r="P120" s="333" t="s">
        <v>150</v>
      </c>
      <c r="Q120" s="334"/>
      <c r="S120" s="242"/>
      <c r="T120" s="331" t="s">
        <v>149</v>
      </c>
      <c r="U120" s="332" t="s">
        <v>150</v>
      </c>
      <c r="V120" s="331" t="s">
        <v>149</v>
      </c>
      <c r="W120" s="333" t="s">
        <v>150</v>
      </c>
      <c r="X120" s="331" t="s">
        <v>149</v>
      </c>
      <c r="Y120" s="333" t="s">
        <v>150</v>
      </c>
      <c r="Z120" s="334"/>
      <c r="AB120" s="242"/>
      <c r="AC120" s="331" t="s">
        <v>149</v>
      </c>
      <c r="AD120" s="332" t="s">
        <v>150</v>
      </c>
      <c r="AE120" s="331" t="s">
        <v>149</v>
      </c>
      <c r="AF120" s="333" t="s">
        <v>150</v>
      </c>
      <c r="AG120" s="331" t="s">
        <v>149</v>
      </c>
      <c r="AH120" s="333" t="s">
        <v>150</v>
      </c>
      <c r="AI120" s="334"/>
    </row>
    <row r="121" ht="19.5" spans="1:35">
      <c r="A121" s="264" t="s">
        <v>151</v>
      </c>
      <c r="B121" s="335">
        <f>B3</f>
        <v>16745</v>
      </c>
      <c r="C121" s="336">
        <f>B121</f>
        <v>16745</v>
      </c>
      <c r="D121" s="335">
        <f>D3</f>
        <v>0</v>
      </c>
      <c r="E121" s="336">
        <f>D121</f>
        <v>0</v>
      </c>
      <c r="F121" s="335">
        <f>F3</f>
        <v>0</v>
      </c>
      <c r="G121" s="336">
        <f>F121</f>
        <v>0</v>
      </c>
      <c r="H121" s="337">
        <f>H3</f>
        <v>0</v>
      </c>
      <c r="J121" s="264" t="s">
        <v>151</v>
      </c>
      <c r="K121" s="335">
        <f>B3</f>
        <v>16745</v>
      </c>
      <c r="L121" s="336">
        <v>28629.17</v>
      </c>
      <c r="M121" s="335">
        <f>D3</f>
        <v>0</v>
      </c>
      <c r="N121" s="336">
        <f>M121</f>
        <v>0</v>
      </c>
      <c r="O121" s="335">
        <f>F3</f>
        <v>0</v>
      </c>
      <c r="P121" s="336">
        <f>O121</f>
        <v>0</v>
      </c>
      <c r="Q121" s="337">
        <f>H3</f>
        <v>0</v>
      </c>
      <c r="S121" s="264" t="s">
        <v>151</v>
      </c>
      <c r="T121" s="335">
        <f>B3</f>
        <v>16745</v>
      </c>
      <c r="U121" s="336">
        <f>T121</f>
        <v>16745</v>
      </c>
      <c r="V121" s="335">
        <f>D3</f>
        <v>0</v>
      </c>
      <c r="W121" s="336">
        <f>V121</f>
        <v>0</v>
      </c>
      <c r="X121" s="335">
        <f>F3</f>
        <v>0</v>
      </c>
      <c r="Y121" s="336">
        <f>X121</f>
        <v>0</v>
      </c>
      <c r="Z121" s="337">
        <f>H3</f>
        <v>0</v>
      </c>
      <c r="AB121" s="264" t="s">
        <v>151</v>
      </c>
      <c r="AC121" s="335">
        <f>B3</f>
        <v>16745</v>
      </c>
      <c r="AD121" s="336">
        <f>AC121</f>
        <v>16745</v>
      </c>
      <c r="AE121" s="335">
        <f>D3</f>
        <v>0</v>
      </c>
      <c r="AF121" s="336">
        <f>AE121</f>
        <v>0</v>
      </c>
      <c r="AG121" s="335">
        <f>F3</f>
        <v>0</v>
      </c>
      <c r="AH121" s="336">
        <f>AG121</f>
        <v>0</v>
      </c>
      <c r="AI121" s="337">
        <f>H3</f>
        <v>0</v>
      </c>
    </row>
    <row r="122" ht="19.5" spans="1:35">
      <c r="A122" s="245" t="s">
        <v>152</v>
      </c>
      <c r="B122" s="338">
        <f>B4</f>
        <v>0</v>
      </c>
      <c r="C122" s="248">
        <v>0</v>
      </c>
      <c r="D122" s="338">
        <f>D4</f>
        <v>0</v>
      </c>
      <c r="E122" s="248">
        <v>0</v>
      </c>
      <c r="F122" s="338">
        <f>F4</f>
        <v>0</v>
      </c>
      <c r="G122" s="339">
        <v>0</v>
      </c>
      <c r="H122" s="249"/>
      <c r="J122" s="245" t="s">
        <v>152</v>
      </c>
      <c r="K122" s="338">
        <f>B4</f>
        <v>0</v>
      </c>
      <c r="L122" s="248">
        <v>0</v>
      </c>
      <c r="M122" s="338">
        <f>D4</f>
        <v>0</v>
      </c>
      <c r="N122" s="248">
        <f>M122</f>
        <v>0</v>
      </c>
      <c r="O122" s="338">
        <f>F4</f>
        <v>0</v>
      </c>
      <c r="P122" s="339">
        <f>O122</f>
        <v>0</v>
      </c>
      <c r="Q122" s="249"/>
      <c r="S122" s="245" t="s">
        <v>152</v>
      </c>
      <c r="T122" s="338">
        <f>B4</f>
        <v>0</v>
      </c>
      <c r="U122" s="248">
        <v>0.25</v>
      </c>
      <c r="V122" s="338">
        <f>D4</f>
        <v>0</v>
      </c>
      <c r="W122" s="248">
        <f>V122</f>
        <v>0</v>
      </c>
      <c r="X122" s="338">
        <f>F4</f>
        <v>0</v>
      </c>
      <c r="Y122" s="339">
        <f>X122</f>
        <v>0</v>
      </c>
      <c r="Z122" s="249"/>
      <c r="AB122" s="245" t="s">
        <v>152</v>
      </c>
      <c r="AC122" s="338">
        <f>B4</f>
        <v>0</v>
      </c>
      <c r="AD122" s="248">
        <v>0.25</v>
      </c>
      <c r="AE122" s="338">
        <f>D4</f>
        <v>0</v>
      </c>
      <c r="AF122" s="248">
        <f>AE122</f>
        <v>0</v>
      </c>
      <c r="AG122" s="338">
        <f>F4</f>
        <v>0</v>
      </c>
      <c r="AH122" s="339">
        <f>AG122</f>
        <v>0</v>
      </c>
      <c r="AI122" s="249"/>
    </row>
    <row r="123" ht="19.5" spans="1:35">
      <c r="A123" s="245" t="s">
        <v>153</v>
      </c>
      <c r="B123" s="340">
        <f>B5</f>
        <v>0</v>
      </c>
      <c r="C123" s="336">
        <v>-3544.67</v>
      </c>
      <c r="D123" s="340">
        <f>D5</f>
        <v>0</v>
      </c>
      <c r="E123" s="336">
        <v>0</v>
      </c>
      <c r="F123" s="340">
        <f>F5</f>
        <v>0</v>
      </c>
      <c r="G123" s="336">
        <v>0</v>
      </c>
      <c r="H123" s="180"/>
      <c r="J123" s="245" t="s">
        <v>153</v>
      </c>
      <c r="K123" s="340">
        <f>B5</f>
        <v>0</v>
      </c>
      <c r="L123" s="336">
        <v>0</v>
      </c>
      <c r="M123" s="340">
        <f>D5</f>
        <v>0</v>
      </c>
      <c r="N123" s="336">
        <f>M123</f>
        <v>0</v>
      </c>
      <c r="O123" s="340">
        <f>F5</f>
        <v>0</v>
      </c>
      <c r="P123" s="336">
        <f>O123</f>
        <v>0</v>
      </c>
      <c r="Q123" s="180"/>
      <c r="S123" s="245" t="s">
        <v>153</v>
      </c>
      <c r="T123" s="340">
        <f>B5</f>
        <v>0</v>
      </c>
      <c r="U123" s="336">
        <v>0</v>
      </c>
      <c r="V123" s="340">
        <f>D5</f>
        <v>0</v>
      </c>
      <c r="W123" s="336">
        <f>V123</f>
        <v>0</v>
      </c>
      <c r="X123" s="340">
        <f>F5</f>
        <v>0</v>
      </c>
      <c r="Y123" s="336">
        <f>X123</f>
        <v>0</v>
      </c>
      <c r="Z123" s="180"/>
      <c r="AB123" s="245" t="s">
        <v>153</v>
      </c>
      <c r="AC123" s="340">
        <f>B5</f>
        <v>0</v>
      </c>
      <c r="AD123" s="336">
        <v>0</v>
      </c>
      <c r="AE123" s="340">
        <f>D5</f>
        <v>0</v>
      </c>
      <c r="AF123" s="336">
        <f>AE123</f>
        <v>0</v>
      </c>
      <c r="AG123" s="340">
        <f>F5</f>
        <v>0</v>
      </c>
      <c r="AH123" s="336">
        <f>AG123</f>
        <v>0</v>
      </c>
      <c r="AI123" s="180"/>
    </row>
    <row r="124" spans="1:35">
      <c r="A124" s="245" t="s">
        <v>154</v>
      </c>
      <c r="B124" s="340">
        <f>(B121*B122)+B123</f>
        <v>0</v>
      </c>
      <c r="C124" s="95">
        <f>(C121*C122/100)+C123</f>
        <v>-3544.67</v>
      </c>
      <c r="D124" s="340">
        <f>(D121*D122)+D123</f>
        <v>0</v>
      </c>
      <c r="E124" s="95">
        <f>(E121*E122/100)+E123</f>
        <v>0</v>
      </c>
      <c r="F124" s="340">
        <f>(F121*F122)+F123</f>
        <v>0</v>
      </c>
      <c r="G124" s="95">
        <f>(G121*G122/100)+G123</f>
        <v>0</v>
      </c>
      <c r="H124" s="180"/>
      <c r="J124" s="245" t="s">
        <v>154</v>
      </c>
      <c r="K124" s="340">
        <f t="shared" ref="K124:P124" si="0">(K121*K122)+K123</f>
        <v>0</v>
      </c>
      <c r="L124" s="95">
        <f t="shared" si="0"/>
        <v>0</v>
      </c>
      <c r="M124" s="340">
        <f t="shared" si="0"/>
        <v>0</v>
      </c>
      <c r="N124" s="95">
        <f t="shared" si="0"/>
        <v>0</v>
      </c>
      <c r="O124" s="340">
        <f t="shared" si="0"/>
        <v>0</v>
      </c>
      <c r="P124" s="95">
        <f t="shared" si="0"/>
        <v>0</v>
      </c>
      <c r="Q124" s="180"/>
      <c r="S124" s="245" t="s">
        <v>154</v>
      </c>
      <c r="T124" s="340">
        <f>(T121*T122)+T123</f>
        <v>0</v>
      </c>
      <c r="U124" s="95">
        <f>(U121*U122/100)+U123</f>
        <v>41.8625</v>
      </c>
      <c r="V124" s="340">
        <f>(V121*V122)+V123</f>
        <v>0</v>
      </c>
      <c r="W124" s="95">
        <f>(W121*W122/100)+W123</f>
        <v>0</v>
      </c>
      <c r="X124" s="340">
        <f>(X121*X122)+X123</f>
        <v>0</v>
      </c>
      <c r="Y124" s="95">
        <f>(Y121*Y122/100)+Y123</f>
        <v>0</v>
      </c>
      <c r="Z124" s="180"/>
      <c r="AB124" s="245" t="s">
        <v>154</v>
      </c>
      <c r="AC124" s="340">
        <f t="shared" ref="AC124:AH124" si="1">(AC121*AC122)+AC123</f>
        <v>0</v>
      </c>
      <c r="AD124" s="95">
        <f t="shared" si="1"/>
        <v>4186.25</v>
      </c>
      <c r="AE124" s="340">
        <f t="shared" si="1"/>
        <v>0</v>
      </c>
      <c r="AF124" s="95">
        <f t="shared" si="1"/>
        <v>0</v>
      </c>
      <c r="AG124" s="340">
        <f t="shared" si="1"/>
        <v>0</v>
      </c>
      <c r="AH124" s="95">
        <f t="shared" si="1"/>
        <v>0</v>
      </c>
      <c r="AI124" s="180"/>
    </row>
    <row r="125" ht="19.5" spans="1:35">
      <c r="A125" s="275" t="s">
        <v>155</v>
      </c>
      <c r="B125" s="341">
        <f t="shared" ref="B125:G125" si="2">B121-B124</f>
        <v>16745</v>
      </c>
      <c r="C125" s="80">
        <f t="shared" si="2"/>
        <v>20289.67</v>
      </c>
      <c r="D125" s="341">
        <f t="shared" si="2"/>
        <v>0</v>
      </c>
      <c r="E125" s="80">
        <f t="shared" si="2"/>
        <v>0</v>
      </c>
      <c r="F125" s="341">
        <f t="shared" si="2"/>
        <v>0</v>
      </c>
      <c r="G125" s="80">
        <f t="shared" si="2"/>
        <v>0</v>
      </c>
      <c r="H125" s="281"/>
      <c r="J125" s="275" t="s">
        <v>155</v>
      </c>
      <c r="K125" s="341">
        <f t="shared" ref="K125:P125" si="3">K121-K124</f>
        <v>16745</v>
      </c>
      <c r="L125" s="80">
        <f t="shared" si="3"/>
        <v>28629.17</v>
      </c>
      <c r="M125" s="341">
        <f t="shared" si="3"/>
        <v>0</v>
      </c>
      <c r="N125" s="80">
        <f t="shared" si="3"/>
        <v>0</v>
      </c>
      <c r="O125" s="341">
        <f t="shared" si="3"/>
        <v>0</v>
      </c>
      <c r="P125" s="80">
        <f t="shared" si="3"/>
        <v>0</v>
      </c>
      <c r="Q125" s="281"/>
      <c r="S125" s="275" t="s">
        <v>155</v>
      </c>
      <c r="T125" s="341">
        <f t="shared" ref="T125:Y125" si="4">T121-T124</f>
        <v>16745</v>
      </c>
      <c r="U125" s="80">
        <f t="shared" si="4"/>
        <v>16703.1375</v>
      </c>
      <c r="V125" s="341">
        <f t="shared" si="4"/>
        <v>0</v>
      </c>
      <c r="W125" s="80">
        <f t="shared" si="4"/>
        <v>0</v>
      </c>
      <c r="X125" s="341">
        <f t="shared" si="4"/>
        <v>0</v>
      </c>
      <c r="Y125" s="80">
        <f t="shared" si="4"/>
        <v>0</v>
      </c>
      <c r="Z125" s="281"/>
      <c r="AB125" s="275" t="s">
        <v>155</v>
      </c>
      <c r="AC125" s="341">
        <f t="shared" ref="AC125:AH125" si="5">AC121-AC124</f>
        <v>16745</v>
      </c>
      <c r="AD125" s="80">
        <f t="shared" si="5"/>
        <v>12558.75</v>
      </c>
      <c r="AE125" s="341">
        <f t="shared" si="5"/>
        <v>0</v>
      </c>
      <c r="AF125" s="80">
        <f t="shared" si="5"/>
        <v>0</v>
      </c>
      <c r="AG125" s="341">
        <f t="shared" si="5"/>
        <v>0</v>
      </c>
      <c r="AH125" s="80">
        <f t="shared" si="5"/>
        <v>0</v>
      </c>
      <c r="AI125" s="281"/>
    </row>
    <row r="126" spans="1:35">
      <c r="A126" s="245"/>
      <c r="B126" s="250"/>
      <c r="C126" s="250"/>
      <c r="D126" s="250"/>
      <c r="E126" s="250"/>
      <c r="F126" s="250"/>
      <c r="G126" s="250"/>
      <c r="H126" s="180"/>
      <c r="J126" s="245"/>
      <c r="K126" s="250"/>
      <c r="L126" s="250"/>
      <c r="M126" s="250"/>
      <c r="N126" s="250"/>
      <c r="O126" s="250"/>
      <c r="P126" s="250"/>
      <c r="Q126" s="180"/>
      <c r="S126" s="245"/>
      <c r="T126" s="250"/>
      <c r="U126" s="250"/>
      <c r="V126" s="250"/>
      <c r="W126" s="250"/>
      <c r="X126" s="250"/>
      <c r="Y126" s="250"/>
      <c r="Z126" s="180"/>
      <c r="AB126" s="245"/>
      <c r="AC126" s="250"/>
      <c r="AD126" s="250"/>
      <c r="AE126" s="250"/>
      <c r="AF126" s="250"/>
      <c r="AG126" s="250"/>
      <c r="AH126" s="250"/>
      <c r="AI126" s="180"/>
    </row>
    <row r="127" ht="21" spans="1:35">
      <c r="A127" s="342"/>
      <c r="B127" s="343"/>
      <c r="C127" s="343"/>
      <c r="D127" s="343"/>
      <c r="E127" s="343"/>
      <c r="F127" s="343"/>
      <c r="G127" s="252" t="s">
        <v>149</v>
      </c>
      <c r="H127" s="344" t="s">
        <v>150</v>
      </c>
      <c r="J127" s="342"/>
      <c r="K127" s="343"/>
      <c r="L127" s="343"/>
      <c r="M127" s="343"/>
      <c r="N127" s="343"/>
      <c r="O127" s="343"/>
      <c r="P127" s="252" t="s">
        <v>149</v>
      </c>
      <c r="Q127" s="344" t="s">
        <v>150</v>
      </c>
      <c r="S127" s="342"/>
      <c r="T127" s="343"/>
      <c r="U127" s="343"/>
      <c r="V127" s="343"/>
      <c r="W127" s="343"/>
      <c r="X127" s="343"/>
      <c r="Y127" s="252" t="s">
        <v>149</v>
      </c>
      <c r="Z127" s="344" t="s">
        <v>150</v>
      </c>
      <c r="AB127" s="342"/>
      <c r="AC127" s="343"/>
      <c r="AD127" s="343"/>
      <c r="AE127" s="343"/>
      <c r="AF127" s="343"/>
      <c r="AG127" s="343"/>
      <c r="AH127" s="252" t="s">
        <v>149</v>
      </c>
      <c r="AI127" s="344" t="s">
        <v>150</v>
      </c>
    </row>
    <row r="128" spans="1:35">
      <c r="A128" s="345" t="s">
        <v>156</v>
      </c>
      <c r="B128" s="346"/>
      <c r="C128" s="346"/>
      <c r="D128" s="346"/>
      <c r="E128" s="346"/>
      <c r="F128" s="346"/>
      <c r="G128" s="347">
        <f>H121</f>
        <v>0</v>
      </c>
      <c r="H128" s="348">
        <f>SUM(H131:H133)</f>
        <v>0</v>
      </c>
      <c r="J128" s="345" t="s">
        <v>156</v>
      </c>
      <c r="K128" s="346"/>
      <c r="L128" s="346"/>
      <c r="M128" s="346"/>
      <c r="N128" s="346"/>
      <c r="O128" s="346"/>
      <c r="P128" s="347">
        <f>Q121</f>
        <v>0</v>
      </c>
      <c r="Q128" s="348">
        <f>SUM(Q131:Q133)</f>
        <v>0</v>
      </c>
      <c r="S128" s="345" t="s">
        <v>156</v>
      </c>
      <c r="T128" s="346"/>
      <c r="U128" s="346"/>
      <c r="V128" s="346"/>
      <c r="W128" s="346"/>
      <c r="X128" s="346"/>
      <c r="Y128" s="347">
        <f>Z121</f>
        <v>0</v>
      </c>
      <c r="Z128" s="348">
        <f>SUM(Z131:Z133)</f>
        <v>0</v>
      </c>
      <c r="AB128" s="345" t="s">
        <v>156</v>
      </c>
      <c r="AC128" s="346"/>
      <c r="AD128" s="346"/>
      <c r="AE128" s="346"/>
      <c r="AF128" s="346"/>
      <c r="AG128" s="346"/>
      <c r="AH128" s="347">
        <f>AI121</f>
        <v>0</v>
      </c>
      <c r="AI128" s="348">
        <f>SUM(AI131:AI133)</f>
        <v>0</v>
      </c>
    </row>
    <row r="129" spans="1:35">
      <c r="A129" s="245"/>
      <c r="B129" s="250"/>
      <c r="C129" s="250"/>
      <c r="D129" s="250"/>
      <c r="E129" s="250"/>
      <c r="F129" s="250"/>
      <c r="G129" s="350"/>
      <c r="H129" s="351"/>
      <c r="J129" s="245"/>
      <c r="K129" s="250"/>
      <c r="L129" s="250"/>
      <c r="M129" s="250"/>
      <c r="N129" s="250"/>
      <c r="O129" s="250"/>
      <c r="P129" s="350"/>
      <c r="Q129" s="351"/>
      <c r="S129" s="245"/>
      <c r="T129" s="250"/>
      <c r="U129" s="250"/>
      <c r="V129" s="250"/>
      <c r="W129" s="250"/>
      <c r="X129" s="250"/>
      <c r="Y129" s="350"/>
      <c r="Z129" s="351"/>
      <c r="AB129" s="245"/>
      <c r="AC129" s="250"/>
      <c r="AD129" s="250"/>
      <c r="AE129" s="250"/>
      <c r="AF129" s="250"/>
      <c r="AG129" s="250"/>
      <c r="AH129" s="350"/>
      <c r="AI129" s="351"/>
    </row>
    <row r="130" ht="19.5" spans="1:35">
      <c r="A130" s="352" t="s">
        <v>157</v>
      </c>
      <c r="B130" s="350" t="s">
        <v>158</v>
      </c>
      <c r="C130" s="350"/>
      <c r="D130" s="350" t="s">
        <v>159</v>
      </c>
      <c r="E130" s="350"/>
      <c r="F130" s="350" t="s">
        <v>153</v>
      </c>
      <c r="G130" s="350"/>
      <c r="H130" s="351" t="s">
        <v>150</v>
      </c>
      <c r="J130" s="352" t="s">
        <v>157</v>
      </c>
      <c r="K130" s="350" t="s">
        <v>158</v>
      </c>
      <c r="L130" s="350"/>
      <c r="M130" s="350" t="s">
        <v>159</v>
      </c>
      <c r="N130" s="350"/>
      <c r="O130" s="350" t="s">
        <v>153</v>
      </c>
      <c r="P130" s="350"/>
      <c r="Q130" s="351" t="s">
        <v>150</v>
      </c>
      <c r="S130" s="352" t="s">
        <v>157</v>
      </c>
      <c r="T130" s="350" t="s">
        <v>158</v>
      </c>
      <c r="U130" s="350"/>
      <c r="V130" s="350" t="s">
        <v>159</v>
      </c>
      <c r="W130" s="350"/>
      <c r="X130" s="350" t="s">
        <v>153</v>
      </c>
      <c r="Y130" s="350"/>
      <c r="Z130" s="351" t="s">
        <v>150</v>
      </c>
      <c r="AB130" s="352" t="s">
        <v>157</v>
      </c>
      <c r="AC130" s="350" t="s">
        <v>158</v>
      </c>
      <c r="AD130" s="350"/>
      <c r="AE130" s="350" t="s">
        <v>159</v>
      </c>
      <c r="AF130" s="350"/>
      <c r="AG130" s="350" t="s">
        <v>153</v>
      </c>
      <c r="AH130" s="350"/>
      <c r="AI130" s="351" t="s">
        <v>150</v>
      </c>
    </row>
    <row r="131" ht="19.5" spans="1:35">
      <c r="A131" s="245" t="s">
        <v>160</v>
      </c>
      <c r="B131" s="184">
        <f>G128</f>
        <v>0</v>
      </c>
      <c r="C131" s="184"/>
      <c r="D131" s="353">
        <v>0</v>
      </c>
      <c r="E131" s="353"/>
      <c r="F131" s="184">
        <v>0</v>
      </c>
      <c r="G131" s="184"/>
      <c r="H131" s="144">
        <f>(B131-(B131*D131))-F131</f>
        <v>0</v>
      </c>
      <c r="J131" s="245" t="s">
        <v>160</v>
      </c>
      <c r="K131" s="184">
        <f>P128</f>
        <v>0</v>
      </c>
      <c r="L131" s="184"/>
      <c r="M131" s="353">
        <v>0</v>
      </c>
      <c r="N131" s="353"/>
      <c r="O131" s="184">
        <v>0</v>
      </c>
      <c r="P131" s="184"/>
      <c r="Q131" s="144">
        <f>(K131-(K131*M131))-O131</f>
        <v>0</v>
      </c>
      <c r="S131" s="245" t="s">
        <v>160</v>
      </c>
      <c r="T131" s="184">
        <f>Y128</f>
        <v>0</v>
      </c>
      <c r="U131" s="184"/>
      <c r="V131" s="353">
        <v>0</v>
      </c>
      <c r="W131" s="353"/>
      <c r="X131" s="184">
        <v>0</v>
      </c>
      <c r="Y131" s="184"/>
      <c r="Z131" s="144">
        <f>(T131-(T131*V131))-X131</f>
        <v>0</v>
      </c>
      <c r="AB131" s="245" t="s">
        <v>160</v>
      </c>
      <c r="AC131" s="184">
        <f>AH128</f>
        <v>0</v>
      </c>
      <c r="AD131" s="184"/>
      <c r="AE131" s="353">
        <v>0</v>
      </c>
      <c r="AF131" s="353"/>
      <c r="AG131" s="184">
        <v>0</v>
      </c>
      <c r="AH131" s="184"/>
      <c r="AI131" s="144">
        <f>(AC131-(AC131*AE131))-AG131</f>
        <v>0</v>
      </c>
    </row>
    <row r="132" ht="19.5" spans="1:35">
      <c r="A132" s="245" t="s">
        <v>161</v>
      </c>
      <c r="B132" s="184">
        <v>0</v>
      </c>
      <c r="C132" s="184"/>
      <c r="D132" s="353">
        <v>0</v>
      </c>
      <c r="E132" s="353"/>
      <c r="F132" s="184">
        <v>0</v>
      </c>
      <c r="G132" s="184"/>
      <c r="H132" s="144">
        <f>(B132-(B132*D132))-F132</f>
        <v>0</v>
      </c>
      <c r="J132" s="245" t="s">
        <v>161</v>
      </c>
      <c r="K132" s="184">
        <v>0</v>
      </c>
      <c r="L132" s="184"/>
      <c r="M132" s="353">
        <v>0</v>
      </c>
      <c r="N132" s="353"/>
      <c r="O132" s="184">
        <v>0</v>
      </c>
      <c r="P132" s="184"/>
      <c r="Q132" s="144">
        <f>(K132-(K132*M132))-O132</f>
        <v>0</v>
      </c>
      <c r="S132" s="245" t="s">
        <v>161</v>
      </c>
      <c r="T132" s="184">
        <v>0</v>
      </c>
      <c r="U132" s="184"/>
      <c r="V132" s="353">
        <v>0</v>
      </c>
      <c r="W132" s="353"/>
      <c r="X132" s="184">
        <v>0</v>
      </c>
      <c r="Y132" s="184"/>
      <c r="Z132" s="144">
        <f>(T132-(T132*V132))-X132</f>
        <v>0</v>
      </c>
      <c r="AB132" s="245" t="s">
        <v>161</v>
      </c>
      <c r="AC132" s="184">
        <v>0</v>
      </c>
      <c r="AD132" s="184"/>
      <c r="AE132" s="353">
        <v>0</v>
      </c>
      <c r="AF132" s="353"/>
      <c r="AG132" s="184">
        <v>0</v>
      </c>
      <c r="AH132" s="184"/>
      <c r="AI132" s="144">
        <f>(AC132-(AC132*AE132))-AG132</f>
        <v>0</v>
      </c>
    </row>
    <row r="133" ht="19.5" spans="1:35">
      <c r="A133" s="245" t="s">
        <v>162</v>
      </c>
      <c r="B133" s="184">
        <v>0</v>
      </c>
      <c r="C133" s="184"/>
      <c r="D133" s="353">
        <v>0</v>
      </c>
      <c r="E133" s="353"/>
      <c r="F133" s="184">
        <v>0</v>
      </c>
      <c r="G133" s="184"/>
      <c r="H133" s="144">
        <f>(B133-(B133*D133))-F133</f>
        <v>0</v>
      </c>
      <c r="J133" s="245" t="s">
        <v>162</v>
      </c>
      <c r="K133" s="184">
        <v>0</v>
      </c>
      <c r="L133" s="184"/>
      <c r="M133" s="353">
        <v>0</v>
      </c>
      <c r="N133" s="353"/>
      <c r="O133" s="184">
        <v>0</v>
      </c>
      <c r="P133" s="184"/>
      <c r="Q133" s="144">
        <f>(K133-(K133*M133))-O133</f>
        <v>0</v>
      </c>
      <c r="S133" s="245" t="s">
        <v>162</v>
      </c>
      <c r="T133" s="184">
        <v>0</v>
      </c>
      <c r="U133" s="184"/>
      <c r="V133" s="353">
        <v>0</v>
      </c>
      <c r="W133" s="353"/>
      <c r="X133" s="184">
        <v>0</v>
      </c>
      <c r="Y133" s="184"/>
      <c r="Z133" s="144">
        <f>(T133-(T133*V133))-X133</f>
        <v>0</v>
      </c>
      <c r="AB133" s="245" t="s">
        <v>162</v>
      </c>
      <c r="AC133" s="184">
        <v>0</v>
      </c>
      <c r="AD133" s="184"/>
      <c r="AE133" s="353">
        <v>0</v>
      </c>
      <c r="AF133" s="353"/>
      <c r="AG133" s="184">
        <v>0</v>
      </c>
      <c r="AH133" s="184"/>
      <c r="AI133" s="144">
        <f>(AC133-(AC133*AE133))-AG133</f>
        <v>0</v>
      </c>
    </row>
    <row r="134" spans="1:35">
      <c r="A134" s="245"/>
      <c r="B134" s="250"/>
      <c r="C134" s="250"/>
      <c r="D134" s="250"/>
      <c r="E134" s="250"/>
      <c r="F134" s="250"/>
      <c r="G134" s="350"/>
      <c r="H134" s="351"/>
      <c r="J134" s="245"/>
      <c r="K134" s="250"/>
      <c r="L134" s="250"/>
      <c r="M134" s="250"/>
      <c r="N134" s="250"/>
      <c r="O134" s="250"/>
      <c r="P134" s="350"/>
      <c r="Q134" s="351"/>
      <c r="S134" s="245"/>
      <c r="T134" s="250"/>
      <c r="U134" s="250"/>
      <c r="V134" s="250"/>
      <c r="W134" s="250"/>
      <c r="X134" s="250"/>
      <c r="Y134" s="350"/>
      <c r="Z134" s="351"/>
      <c r="AB134" s="245"/>
      <c r="AC134" s="250"/>
      <c r="AD134" s="250"/>
      <c r="AE134" s="250"/>
      <c r="AF134" s="250"/>
      <c r="AG134" s="250"/>
      <c r="AH134" s="350"/>
      <c r="AI134" s="351"/>
    </row>
    <row r="135" ht="21" spans="1:35">
      <c r="A135" s="251" t="s">
        <v>163</v>
      </c>
      <c r="B135" s="251"/>
      <c r="C135" s="251"/>
      <c r="D135" s="251"/>
      <c r="E135" s="251"/>
      <c r="F135" s="251"/>
      <c r="G135" s="252">
        <f t="shared" ref="G135:G142" si="6">H9</f>
        <v>16745</v>
      </c>
      <c r="H135" s="354">
        <f>C125+E125+G125+H128</f>
        <v>20289.67</v>
      </c>
      <c r="J135" s="251" t="s">
        <v>163</v>
      </c>
      <c r="K135" s="251"/>
      <c r="L135" s="251"/>
      <c r="M135" s="251"/>
      <c r="N135" s="251"/>
      <c r="O135" s="251"/>
      <c r="P135" s="252">
        <f t="shared" ref="P135:P142" si="7">H9</f>
        <v>16745</v>
      </c>
      <c r="Q135" s="354">
        <f>L125+N125+P125+Q128</f>
        <v>28629.17</v>
      </c>
      <c r="S135" s="251" t="s">
        <v>163</v>
      </c>
      <c r="T135" s="251"/>
      <c r="U135" s="251"/>
      <c r="V135" s="251"/>
      <c r="W135" s="251"/>
      <c r="X135" s="251"/>
      <c r="Y135" s="252">
        <f t="shared" ref="Y135:Y142" si="8">H9</f>
        <v>16745</v>
      </c>
      <c r="Z135" s="354">
        <f>U125+W125+Y125+Z128</f>
        <v>16703.1375</v>
      </c>
      <c r="AB135" s="251" t="s">
        <v>163</v>
      </c>
      <c r="AC135" s="251"/>
      <c r="AD135" s="251"/>
      <c r="AE135" s="251"/>
      <c r="AF135" s="251"/>
      <c r="AG135" s="251"/>
      <c r="AH135" s="252">
        <f t="shared" ref="AH135:AH142" si="9">H9</f>
        <v>16745</v>
      </c>
      <c r="AI135" s="354">
        <f>AD125+AF125+AH125+AI128</f>
        <v>12558.75</v>
      </c>
    </row>
    <row r="136" spans="1:35">
      <c r="A136" s="254" t="s">
        <v>164</v>
      </c>
      <c r="B136" s="254"/>
      <c r="C136" s="254"/>
      <c r="D136" s="254"/>
      <c r="E136" s="254"/>
      <c r="F136" s="254"/>
      <c r="G136" s="35">
        <f t="shared" si="6"/>
        <v>695</v>
      </c>
      <c r="H136" s="180">
        <f>G136</f>
        <v>695</v>
      </c>
      <c r="J136" s="254" t="s">
        <v>164</v>
      </c>
      <c r="K136" s="254"/>
      <c r="L136" s="254"/>
      <c r="M136" s="254"/>
      <c r="N136" s="254"/>
      <c r="O136" s="254"/>
      <c r="P136" s="35">
        <f t="shared" si="7"/>
        <v>695</v>
      </c>
      <c r="Q136" s="180">
        <f>P136</f>
        <v>695</v>
      </c>
      <c r="S136" s="254" t="s">
        <v>164</v>
      </c>
      <c r="T136" s="254"/>
      <c r="U136" s="254"/>
      <c r="V136" s="254"/>
      <c r="W136" s="254"/>
      <c r="X136" s="254"/>
      <c r="Y136" s="35">
        <f t="shared" si="8"/>
        <v>695</v>
      </c>
      <c r="Z136" s="180">
        <f>Y136</f>
        <v>695</v>
      </c>
      <c r="AB136" s="254" t="s">
        <v>164</v>
      </c>
      <c r="AC136" s="254"/>
      <c r="AD136" s="254"/>
      <c r="AE136" s="254"/>
      <c r="AF136" s="254"/>
      <c r="AG136" s="254"/>
      <c r="AH136" s="35">
        <f t="shared" si="9"/>
        <v>695</v>
      </c>
      <c r="AI136" s="180">
        <f>AH136</f>
        <v>695</v>
      </c>
    </row>
    <row r="137" spans="1:35">
      <c r="A137" s="254" t="s">
        <v>165</v>
      </c>
      <c r="B137" s="254"/>
      <c r="C137" s="254"/>
      <c r="D137" s="254"/>
      <c r="E137" s="254"/>
      <c r="F137" s="254"/>
      <c r="G137" s="35">
        <f t="shared" si="6"/>
        <v>3488</v>
      </c>
      <c r="H137" s="180">
        <f>(H135+H136)*20%</f>
        <v>4196.934</v>
      </c>
      <c r="J137" s="254" t="s">
        <v>165</v>
      </c>
      <c r="K137" s="254"/>
      <c r="L137" s="254"/>
      <c r="M137" s="254"/>
      <c r="N137" s="254"/>
      <c r="O137" s="254"/>
      <c r="P137" s="35">
        <f t="shared" si="7"/>
        <v>3488</v>
      </c>
      <c r="Q137" s="180">
        <f>(Q135+Q136)*20%</f>
        <v>5864.834</v>
      </c>
      <c r="S137" s="254" t="s">
        <v>165</v>
      </c>
      <c r="T137" s="254"/>
      <c r="U137" s="254"/>
      <c r="V137" s="254"/>
      <c r="W137" s="254"/>
      <c r="X137" s="254"/>
      <c r="Y137" s="35">
        <f t="shared" si="8"/>
        <v>3488</v>
      </c>
      <c r="Z137" s="180">
        <f>(Z135+Z136)*20%</f>
        <v>3479.6275</v>
      </c>
      <c r="AB137" s="254" t="s">
        <v>165</v>
      </c>
      <c r="AC137" s="254"/>
      <c r="AD137" s="254"/>
      <c r="AE137" s="254"/>
      <c r="AF137" s="254"/>
      <c r="AG137" s="254"/>
      <c r="AH137" s="35">
        <f t="shared" si="9"/>
        <v>3488</v>
      </c>
      <c r="AI137" s="180">
        <f>(AI135+AI136)*20%</f>
        <v>2650.75</v>
      </c>
    </row>
    <row r="138" spans="1:35">
      <c r="A138" s="254" t="s">
        <v>166</v>
      </c>
      <c r="B138" s="254"/>
      <c r="C138" s="254"/>
      <c r="D138" s="254"/>
      <c r="E138" s="254"/>
      <c r="F138" s="254"/>
      <c r="G138" s="35">
        <f t="shared" si="6"/>
        <v>0</v>
      </c>
      <c r="H138" s="180">
        <f>G138</f>
        <v>0</v>
      </c>
      <c r="J138" s="254" t="s">
        <v>166</v>
      </c>
      <c r="K138" s="254"/>
      <c r="L138" s="254"/>
      <c r="M138" s="254"/>
      <c r="N138" s="254"/>
      <c r="O138" s="254"/>
      <c r="P138" s="35">
        <f t="shared" si="7"/>
        <v>0</v>
      </c>
      <c r="Q138" s="180">
        <f>P138</f>
        <v>0</v>
      </c>
      <c r="S138" s="254" t="s">
        <v>166</v>
      </c>
      <c r="T138" s="254"/>
      <c r="U138" s="254"/>
      <c r="V138" s="254"/>
      <c r="W138" s="254"/>
      <c r="X138" s="254"/>
      <c r="Y138" s="35">
        <f t="shared" si="8"/>
        <v>0</v>
      </c>
      <c r="Z138" s="180">
        <f>Y138</f>
        <v>0</v>
      </c>
      <c r="AB138" s="254" t="s">
        <v>166</v>
      </c>
      <c r="AC138" s="254"/>
      <c r="AD138" s="254"/>
      <c r="AE138" s="254"/>
      <c r="AF138" s="254"/>
      <c r="AG138" s="254"/>
      <c r="AH138" s="35">
        <f t="shared" si="9"/>
        <v>0</v>
      </c>
      <c r="AI138" s="180">
        <f>AH138</f>
        <v>0</v>
      </c>
    </row>
    <row r="139" spans="1:35">
      <c r="A139" s="254" t="s">
        <v>167</v>
      </c>
      <c r="B139" s="254"/>
      <c r="C139" s="254"/>
      <c r="D139" s="254"/>
      <c r="E139" s="254"/>
      <c r="F139" s="254"/>
      <c r="G139" s="35">
        <f t="shared" si="6"/>
        <v>275</v>
      </c>
      <c r="H139" s="180">
        <f>G139</f>
        <v>275</v>
      </c>
      <c r="J139" s="254" t="s">
        <v>167</v>
      </c>
      <c r="K139" s="254"/>
      <c r="L139" s="254"/>
      <c r="M139" s="254"/>
      <c r="N139" s="254"/>
      <c r="O139" s="254"/>
      <c r="P139" s="35">
        <f t="shared" si="7"/>
        <v>275</v>
      </c>
      <c r="Q139" s="180">
        <f>P139</f>
        <v>275</v>
      </c>
      <c r="S139" s="254" t="s">
        <v>167</v>
      </c>
      <c r="T139" s="254"/>
      <c r="U139" s="254"/>
      <c r="V139" s="254"/>
      <c r="W139" s="254"/>
      <c r="X139" s="254"/>
      <c r="Y139" s="35">
        <f t="shared" si="8"/>
        <v>275</v>
      </c>
      <c r="Z139" s="180">
        <f>Y139</f>
        <v>275</v>
      </c>
      <c r="AB139" s="254" t="s">
        <v>167</v>
      </c>
      <c r="AC139" s="254"/>
      <c r="AD139" s="254"/>
      <c r="AE139" s="254"/>
      <c r="AF139" s="254"/>
      <c r="AG139" s="254"/>
      <c r="AH139" s="35">
        <f t="shared" si="9"/>
        <v>275</v>
      </c>
      <c r="AI139" s="180">
        <f>AH139</f>
        <v>275</v>
      </c>
    </row>
    <row r="140" ht="19.5" spans="1:35">
      <c r="A140" s="254" t="s">
        <v>168</v>
      </c>
      <c r="B140" s="254"/>
      <c r="C140" s="254"/>
      <c r="D140" s="254"/>
      <c r="E140" s="254"/>
      <c r="F140" s="254"/>
      <c r="G140" s="35">
        <f t="shared" si="6"/>
        <v>65</v>
      </c>
      <c r="H140" s="180">
        <f>G140</f>
        <v>65</v>
      </c>
      <c r="J140" s="254" t="s">
        <v>168</v>
      </c>
      <c r="K140" s="254"/>
      <c r="L140" s="254"/>
      <c r="M140" s="254"/>
      <c r="N140" s="254"/>
      <c r="O140" s="254"/>
      <c r="P140" s="35">
        <f t="shared" si="7"/>
        <v>65</v>
      </c>
      <c r="Q140" s="180">
        <v>55</v>
      </c>
      <c r="S140" s="254" t="s">
        <v>168</v>
      </c>
      <c r="T140" s="254"/>
      <c r="U140" s="254"/>
      <c r="V140" s="254"/>
      <c r="W140" s="254"/>
      <c r="X140" s="254"/>
      <c r="Y140" s="35">
        <f t="shared" si="8"/>
        <v>65</v>
      </c>
      <c r="Z140" s="180">
        <v>55</v>
      </c>
      <c r="AB140" s="254" t="s">
        <v>168</v>
      </c>
      <c r="AC140" s="254"/>
      <c r="AD140" s="254"/>
      <c r="AE140" s="254"/>
      <c r="AF140" s="254"/>
      <c r="AG140" s="254"/>
      <c r="AH140" s="35">
        <f t="shared" si="9"/>
        <v>65</v>
      </c>
      <c r="AI140" s="180">
        <v>55</v>
      </c>
    </row>
    <row r="141" ht="21.75" spans="1:35">
      <c r="A141" s="254" t="s">
        <v>169</v>
      </c>
      <c r="B141" s="254"/>
      <c r="C141" s="254"/>
      <c r="D141" s="254"/>
      <c r="E141" s="254"/>
      <c r="F141" s="254"/>
      <c r="G141" s="355">
        <f t="shared" si="6"/>
        <v>21268</v>
      </c>
      <c r="H141" s="356">
        <f>(H135+H136+H139+H140+H137)-H138</f>
        <v>25521.604</v>
      </c>
      <c r="J141" s="254" t="s">
        <v>169</v>
      </c>
      <c r="K141" s="254"/>
      <c r="L141" s="254"/>
      <c r="M141" s="254"/>
      <c r="N141" s="254"/>
      <c r="O141" s="254"/>
      <c r="P141" s="355">
        <f t="shared" si="7"/>
        <v>21268</v>
      </c>
      <c r="Q141" s="356">
        <f>(Q135+Q136+Q139+Q140+Q137)-Q138</f>
        <v>35519.004</v>
      </c>
      <c r="S141" s="254" t="s">
        <v>169</v>
      </c>
      <c r="T141" s="254"/>
      <c r="U141" s="254"/>
      <c r="V141" s="254"/>
      <c r="W141" s="254"/>
      <c r="X141" s="254"/>
      <c r="Y141" s="355">
        <f t="shared" si="8"/>
        <v>21268</v>
      </c>
      <c r="Z141" s="356">
        <f>(Z135+Z136+Z139+Z140+Z137)-Z138</f>
        <v>21207.765</v>
      </c>
      <c r="AB141" s="254" t="s">
        <v>169</v>
      </c>
      <c r="AC141" s="254"/>
      <c r="AD141" s="254"/>
      <c r="AE141" s="254"/>
      <c r="AF141" s="254"/>
      <c r="AG141" s="254"/>
      <c r="AH141" s="355">
        <f t="shared" si="9"/>
        <v>21268</v>
      </c>
      <c r="AI141" s="356">
        <f>(AI135+AI136+AI139+AI140+AI137)-AI138</f>
        <v>16234.5</v>
      </c>
    </row>
    <row r="142" ht="19.5" spans="1:35">
      <c r="A142" s="254" t="s">
        <v>170</v>
      </c>
      <c r="B142" s="254"/>
      <c r="C142" s="254"/>
      <c r="D142" s="254"/>
      <c r="E142" s="254"/>
      <c r="F142" s="254"/>
      <c r="G142" s="35">
        <f t="shared" si="6"/>
        <v>0</v>
      </c>
      <c r="H142" s="268">
        <f>G142</f>
        <v>0</v>
      </c>
      <c r="J142" s="254" t="s">
        <v>170</v>
      </c>
      <c r="K142" s="254"/>
      <c r="L142" s="254"/>
      <c r="M142" s="254"/>
      <c r="N142" s="254"/>
      <c r="O142" s="254"/>
      <c r="P142" s="35">
        <f t="shared" si="7"/>
        <v>0</v>
      </c>
      <c r="Q142" s="268">
        <f>P142</f>
        <v>0</v>
      </c>
      <c r="S142" s="254" t="s">
        <v>170</v>
      </c>
      <c r="T142" s="254"/>
      <c r="U142" s="254"/>
      <c r="V142" s="254"/>
      <c r="W142" s="254"/>
      <c r="X142" s="254"/>
      <c r="Y142" s="35">
        <f t="shared" si="8"/>
        <v>0</v>
      </c>
      <c r="Z142" s="268">
        <f>Y142</f>
        <v>0</v>
      </c>
      <c r="AB142" s="254" t="s">
        <v>170</v>
      </c>
      <c r="AC142" s="254"/>
      <c r="AD142" s="254"/>
      <c r="AE142" s="254"/>
      <c r="AF142" s="254"/>
      <c r="AG142" s="254"/>
      <c r="AH142" s="35">
        <f t="shared" si="9"/>
        <v>0</v>
      </c>
      <c r="AI142" s="268">
        <f>AH142</f>
        <v>0</v>
      </c>
    </row>
    <row r="143" ht="19.5" spans="1:35">
      <c r="A143" s="134" t="s">
        <v>171</v>
      </c>
      <c r="B143" s="134"/>
      <c r="C143" s="134"/>
      <c r="D143" s="134"/>
      <c r="E143" s="134"/>
      <c r="F143" s="134"/>
      <c r="G143" s="133"/>
      <c r="H143" s="180"/>
      <c r="J143" s="134" t="s">
        <v>171</v>
      </c>
      <c r="K143" s="134"/>
      <c r="L143" s="134"/>
      <c r="M143" s="134"/>
      <c r="N143" s="134"/>
      <c r="O143" s="134"/>
      <c r="P143" s="133"/>
      <c r="Q143" s="180"/>
      <c r="S143" s="134" t="s">
        <v>171</v>
      </c>
      <c r="T143" s="134"/>
      <c r="U143" s="134"/>
      <c r="V143" s="134"/>
      <c r="W143" s="134"/>
      <c r="X143" s="134"/>
      <c r="Y143" s="133"/>
      <c r="Z143" s="180"/>
      <c r="AB143" s="134" t="s">
        <v>171</v>
      </c>
      <c r="AC143" s="134"/>
      <c r="AD143" s="134"/>
      <c r="AE143" s="134"/>
      <c r="AF143" s="134"/>
      <c r="AG143" s="134"/>
      <c r="AH143" s="133"/>
      <c r="AI143" s="180"/>
    </row>
    <row r="144" ht="19.5" spans="1:35">
      <c r="A144" s="256" t="s">
        <v>13</v>
      </c>
      <c r="B144" s="257" t="s">
        <v>172</v>
      </c>
      <c r="C144" s="257"/>
      <c r="D144" s="257"/>
      <c r="E144" s="257"/>
      <c r="F144" s="257"/>
      <c r="G144" s="35">
        <f>H18</f>
        <v>0</v>
      </c>
      <c r="H144" s="268">
        <f>G144</f>
        <v>0</v>
      </c>
      <c r="J144" s="256" t="s">
        <v>13</v>
      </c>
      <c r="K144" s="257" t="s">
        <v>172</v>
      </c>
      <c r="L144" s="257"/>
      <c r="M144" s="257"/>
      <c r="N144" s="257"/>
      <c r="O144" s="257"/>
      <c r="P144" s="35">
        <f>H18</f>
        <v>0</v>
      </c>
      <c r="Q144" s="268">
        <f>P144</f>
        <v>0</v>
      </c>
      <c r="S144" s="256" t="s">
        <v>13</v>
      </c>
      <c r="T144" s="257" t="s">
        <v>172</v>
      </c>
      <c r="U144" s="257"/>
      <c r="V144" s="257"/>
      <c r="W144" s="257"/>
      <c r="X144" s="257"/>
      <c r="Y144" s="35">
        <f>H18</f>
        <v>0</v>
      </c>
      <c r="Z144" s="268">
        <f>Y144</f>
        <v>0</v>
      </c>
      <c r="AB144" s="256" t="s">
        <v>13</v>
      </c>
      <c r="AC144" s="257" t="s">
        <v>172</v>
      </c>
      <c r="AD144" s="257"/>
      <c r="AE144" s="257"/>
      <c r="AF144" s="257"/>
      <c r="AG144" s="257"/>
      <c r="AH144" s="35">
        <f>H18</f>
        <v>0</v>
      </c>
      <c r="AI144" s="268">
        <f>AH144</f>
        <v>0</v>
      </c>
    </row>
    <row r="145" ht="19.5" spans="1:35">
      <c r="A145" s="256" t="s">
        <v>15</v>
      </c>
      <c r="B145" s="257" t="s">
        <v>172</v>
      </c>
      <c r="C145" s="257"/>
      <c r="D145" s="257"/>
      <c r="E145" s="257"/>
      <c r="F145" s="257"/>
      <c r="G145" s="35">
        <f>H19</f>
        <v>0</v>
      </c>
      <c r="H145" s="268">
        <f>G145</f>
        <v>0</v>
      </c>
      <c r="I145" s="239">
        <f>(G142+G145+G146+G144)</f>
        <v>0</v>
      </c>
      <c r="J145" s="256" t="s">
        <v>15</v>
      </c>
      <c r="K145" s="257" t="s">
        <v>172</v>
      </c>
      <c r="L145" s="257"/>
      <c r="M145" s="257"/>
      <c r="N145" s="257"/>
      <c r="O145" s="257"/>
      <c r="P145" s="35">
        <f>H19</f>
        <v>0</v>
      </c>
      <c r="Q145" s="268">
        <f>P145</f>
        <v>0</v>
      </c>
      <c r="S145" s="256" t="s">
        <v>15</v>
      </c>
      <c r="T145" s="257" t="s">
        <v>172</v>
      </c>
      <c r="U145" s="257"/>
      <c r="V145" s="257"/>
      <c r="W145" s="257"/>
      <c r="X145" s="257"/>
      <c r="Y145" s="35">
        <f>H19</f>
        <v>0</v>
      </c>
      <c r="Z145" s="268">
        <f>Y145</f>
        <v>0</v>
      </c>
      <c r="AB145" s="256" t="s">
        <v>15</v>
      </c>
      <c r="AC145" s="257" t="s">
        <v>172</v>
      </c>
      <c r="AD145" s="257"/>
      <c r="AE145" s="257"/>
      <c r="AF145" s="257"/>
      <c r="AG145" s="257"/>
      <c r="AH145" s="35">
        <f>H19</f>
        <v>0</v>
      </c>
      <c r="AI145" s="268">
        <f>AH145</f>
        <v>0</v>
      </c>
    </row>
    <row r="146" ht="19.5" spans="1:35">
      <c r="A146" s="357" t="s">
        <v>16</v>
      </c>
      <c r="B146" s="358" t="s">
        <v>172</v>
      </c>
      <c r="C146" s="358"/>
      <c r="D146" s="358"/>
      <c r="E146" s="358"/>
      <c r="F146" s="358"/>
      <c r="G146" s="35">
        <f>H20</f>
        <v>0</v>
      </c>
      <c r="H146" s="268">
        <f>G146</f>
        <v>0</v>
      </c>
      <c r="I146" s="239">
        <f>(H142+H144+H145+H146)</f>
        <v>0</v>
      </c>
      <c r="J146" s="357" t="s">
        <v>16</v>
      </c>
      <c r="K146" s="358" t="s">
        <v>172</v>
      </c>
      <c r="L146" s="358"/>
      <c r="M146" s="358"/>
      <c r="N146" s="358"/>
      <c r="O146" s="358"/>
      <c r="P146" s="35">
        <f>H20</f>
        <v>0</v>
      </c>
      <c r="Q146" s="268">
        <f>P146</f>
        <v>0</v>
      </c>
      <c r="S146" s="357" t="s">
        <v>16</v>
      </c>
      <c r="T146" s="358" t="s">
        <v>172</v>
      </c>
      <c r="U146" s="358"/>
      <c r="V146" s="358"/>
      <c r="W146" s="358"/>
      <c r="X146" s="358"/>
      <c r="Y146" s="35">
        <f>H20</f>
        <v>0</v>
      </c>
      <c r="Z146" s="268">
        <f>Y146</f>
        <v>0</v>
      </c>
      <c r="AB146" s="357" t="s">
        <v>16</v>
      </c>
      <c r="AC146" s="358" t="s">
        <v>172</v>
      </c>
      <c r="AD146" s="358"/>
      <c r="AE146" s="358"/>
      <c r="AF146" s="358"/>
      <c r="AG146" s="358"/>
      <c r="AH146" s="35">
        <f>H20</f>
        <v>0</v>
      </c>
      <c r="AI146" s="268">
        <f>AH146</f>
        <v>0</v>
      </c>
    </row>
    <row r="147" ht="21.75" spans="1:35">
      <c r="A147" s="254" t="s">
        <v>173</v>
      </c>
      <c r="B147" s="254"/>
      <c r="C147" s="254"/>
      <c r="D147" s="254"/>
      <c r="E147" s="254"/>
      <c r="F147" s="254"/>
      <c r="G147" s="355">
        <f>G141-((G144*1.2)+(G145*1.2)+(G146*1.2)+(G142*1.2))</f>
        <v>21268</v>
      </c>
      <c r="H147" s="359">
        <f>H141-((H144*1.2)+(H145*1.2)+(H146*1.2)+(H142*1.2))</f>
        <v>25521.604</v>
      </c>
      <c r="J147" s="254" t="s">
        <v>173</v>
      </c>
      <c r="K147" s="254"/>
      <c r="L147" s="254"/>
      <c r="M147" s="254"/>
      <c r="N147" s="254"/>
      <c r="O147" s="254"/>
      <c r="P147" s="355">
        <f>P141-((P144*1.2)+(P145*1.2)+(P146*1.2)+(P142*1.2))</f>
        <v>21268</v>
      </c>
      <c r="Q147" s="359">
        <f>Q141-((Q144*1.2)+(Q145*1.2)+(Q146*1.2)+(Q142*1.2))</f>
        <v>35519.004</v>
      </c>
      <c r="S147" s="254" t="s">
        <v>173</v>
      </c>
      <c r="T147" s="254"/>
      <c r="U147" s="254"/>
      <c r="V147" s="254"/>
      <c r="W147" s="254"/>
      <c r="X147" s="254"/>
      <c r="Y147" s="355">
        <f>Y141-((Y144*1.2)+(Y145*1.2)+(Y146*1.2)+(Y142*1.2))</f>
        <v>21268</v>
      </c>
      <c r="Z147" s="359">
        <f>Z141-((Z144*1.2)+(Z145*1.2)+(Z146*1.2)+(Z142*1.2))</f>
        <v>21207.765</v>
      </c>
      <c r="AB147" s="254" t="s">
        <v>173</v>
      </c>
      <c r="AC147" s="254"/>
      <c r="AD147" s="254"/>
      <c r="AE147" s="254"/>
      <c r="AF147" s="254"/>
      <c r="AG147" s="254"/>
      <c r="AH147" s="355">
        <f>AH141-((AH144*1.2)+(AH145*1.2)+(AH146*1.2)+(AH142*1.2))</f>
        <v>21268</v>
      </c>
      <c r="AI147" s="359">
        <f>AI141-((AI144*1.2)+(AI145*1.2)+(AI146*1.2)+(AI142*1.2))</f>
        <v>16234.5</v>
      </c>
    </row>
    <row r="148" ht="19.5" spans="1:35">
      <c r="A148" s="254" t="s">
        <v>174</v>
      </c>
      <c r="B148" s="254"/>
      <c r="C148" s="254"/>
      <c r="D148" s="254"/>
      <c r="E148" s="254"/>
      <c r="F148" s="254"/>
      <c r="G148" s="35"/>
      <c r="H148" s="268">
        <f>((H147-G147)-(H137-G137))+((I146-I145)*0.2)</f>
        <v>3544.67</v>
      </c>
      <c r="I148" s="239">
        <f>(H148-G81)/1.2</f>
        <v>-16230.7783333333</v>
      </c>
      <c r="J148" s="254" t="s">
        <v>174</v>
      </c>
      <c r="K148" s="254"/>
      <c r="L148" s="254"/>
      <c r="M148" s="254"/>
      <c r="N148" s="254"/>
      <c r="O148" s="254"/>
      <c r="P148" s="35"/>
      <c r="Q148" s="268">
        <f>Q147-P147</f>
        <v>14251.004</v>
      </c>
      <c r="S148" s="254" t="s">
        <v>174</v>
      </c>
      <c r="T148" s="254"/>
      <c r="U148" s="254"/>
      <c r="V148" s="254"/>
      <c r="W148" s="254"/>
      <c r="X148" s="254"/>
      <c r="Y148" s="35"/>
      <c r="Z148" s="268">
        <f>Z147-Y147</f>
        <v>-60.2350000000006</v>
      </c>
      <c r="AB148" s="254" t="s">
        <v>174</v>
      </c>
      <c r="AC148" s="254"/>
      <c r="AD148" s="254"/>
      <c r="AE148" s="254"/>
      <c r="AF148" s="254"/>
      <c r="AG148" s="254"/>
      <c r="AH148" s="35"/>
      <c r="AI148" s="268">
        <f>AI147-AH147</f>
        <v>-5033.5</v>
      </c>
    </row>
    <row r="149" spans="1:35">
      <c r="A149" s="245"/>
      <c r="B149" s="250"/>
      <c r="C149" s="250"/>
      <c r="D149" s="250"/>
      <c r="E149" s="262"/>
      <c r="F149" s="262"/>
      <c r="G149" s="262"/>
      <c r="H149" s="180"/>
      <c r="J149" s="245"/>
      <c r="K149" s="250"/>
      <c r="L149" s="250"/>
      <c r="M149" s="250"/>
      <c r="N149" s="262"/>
      <c r="O149" s="262"/>
      <c r="P149" s="262"/>
      <c r="Q149" s="180"/>
      <c r="S149" s="245"/>
      <c r="T149" s="250"/>
      <c r="U149" s="250"/>
      <c r="V149" s="250"/>
      <c r="W149" s="262"/>
      <c r="X149" s="262"/>
      <c r="Y149" s="262"/>
      <c r="Z149" s="180"/>
      <c r="AB149" s="245"/>
      <c r="AC149" s="250"/>
      <c r="AD149" s="250"/>
      <c r="AE149" s="250"/>
      <c r="AF149" s="262"/>
      <c r="AG149" s="262"/>
      <c r="AH149" s="262"/>
      <c r="AI149" s="180"/>
    </row>
    <row r="150" ht="24" spans="1:35">
      <c r="A150" s="269" t="s">
        <v>175</v>
      </c>
      <c r="B150" s="269"/>
      <c r="C150" s="269"/>
      <c r="D150" s="269"/>
      <c r="E150" s="269"/>
      <c r="F150" s="269"/>
      <c r="G150" s="269"/>
      <c r="H150" s="269"/>
      <c r="J150" s="269" t="s">
        <v>175</v>
      </c>
      <c r="K150" s="269"/>
      <c r="L150" s="269"/>
      <c r="M150" s="269"/>
      <c r="N150" s="269"/>
      <c r="O150" s="269"/>
      <c r="P150" s="269"/>
      <c r="Q150" s="269"/>
      <c r="S150" s="269" t="s">
        <v>175</v>
      </c>
      <c r="T150" s="269"/>
      <c r="U150" s="269"/>
      <c r="V150" s="269"/>
      <c r="W150" s="269"/>
      <c r="X150" s="269"/>
      <c r="Y150" s="269"/>
      <c r="Z150" s="269"/>
      <c r="AB150" s="269" t="s">
        <v>175</v>
      </c>
      <c r="AC150" s="269"/>
      <c r="AD150" s="269"/>
      <c r="AE150" s="269"/>
      <c r="AF150" s="269"/>
      <c r="AG150" s="269"/>
      <c r="AH150" s="269"/>
      <c r="AI150" s="269"/>
    </row>
    <row r="151" ht="20.25" spans="1:35">
      <c r="A151" s="245"/>
      <c r="B151" s="250"/>
      <c r="C151" s="250"/>
      <c r="D151" s="250"/>
      <c r="E151" s="262"/>
      <c r="F151" s="262"/>
      <c r="G151" s="262"/>
      <c r="H151" s="180"/>
      <c r="J151" s="245"/>
      <c r="K151" s="250"/>
      <c r="L151" s="250"/>
      <c r="M151" s="250"/>
      <c r="N151" s="262"/>
      <c r="O151" s="262"/>
      <c r="P151" s="262"/>
      <c r="Q151" s="180"/>
      <c r="S151" s="245"/>
      <c r="T151" s="250"/>
      <c r="U151" s="250"/>
      <c r="V151" s="250"/>
      <c r="W151" s="262"/>
      <c r="X151" s="262"/>
      <c r="Y151" s="262"/>
      <c r="Z151" s="180"/>
      <c r="AB151" s="245"/>
      <c r="AC151" s="250"/>
      <c r="AD151" s="250"/>
      <c r="AE151" s="250"/>
      <c r="AF151" s="262"/>
      <c r="AG151" s="262"/>
      <c r="AH151" s="262"/>
      <c r="AI151" s="180"/>
    </row>
    <row r="152" ht="19.5" spans="1:35">
      <c r="A152" s="245" t="s">
        <v>176</v>
      </c>
      <c r="B152" s="250"/>
      <c r="C152" s="250"/>
      <c r="D152" s="262"/>
      <c r="E152" s="102">
        <v>0</v>
      </c>
      <c r="F152" s="102"/>
      <c r="G152" s="102">
        <v>1000</v>
      </c>
      <c r="H152" s="102"/>
      <c r="J152" s="245" t="s">
        <v>176</v>
      </c>
      <c r="K152" s="250"/>
      <c r="L152" s="250"/>
      <c r="M152" s="262"/>
      <c r="N152" s="102">
        <v>10000</v>
      </c>
      <c r="O152" s="102"/>
      <c r="P152" s="102">
        <v>5000</v>
      </c>
      <c r="Q152" s="102"/>
      <c r="S152" s="245" t="s">
        <v>176</v>
      </c>
      <c r="T152" s="250"/>
      <c r="U152" s="250"/>
      <c r="V152" s="262"/>
      <c r="W152" s="102">
        <v>10000</v>
      </c>
      <c r="X152" s="102"/>
      <c r="Y152" s="102">
        <v>5000</v>
      </c>
      <c r="Z152" s="102"/>
      <c r="AB152" s="245" t="s">
        <v>176</v>
      </c>
      <c r="AC152" s="250"/>
      <c r="AD152" s="250"/>
      <c r="AE152" s="262"/>
      <c r="AF152" s="102">
        <v>10000</v>
      </c>
      <c r="AG152" s="102"/>
      <c r="AH152" s="102">
        <v>5000</v>
      </c>
      <c r="AI152" s="102"/>
    </row>
    <row r="153" ht="19.5" spans="1:35">
      <c r="A153" s="245" t="s">
        <v>177</v>
      </c>
      <c r="B153" s="250"/>
      <c r="C153" s="250"/>
      <c r="D153" s="262"/>
      <c r="E153" s="105">
        <f>G153</f>
        <v>500</v>
      </c>
      <c r="F153" s="105"/>
      <c r="G153" s="102">
        <v>500</v>
      </c>
      <c r="H153" s="102"/>
      <c r="J153" s="245" t="s">
        <v>177</v>
      </c>
      <c r="K153" s="250"/>
      <c r="L153" s="250"/>
      <c r="M153" s="262"/>
      <c r="N153" s="105">
        <f>P153</f>
        <v>7000</v>
      </c>
      <c r="O153" s="105"/>
      <c r="P153" s="102">
        <v>7000</v>
      </c>
      <c r="Q153" s="102"/>
      <c r="S153" s="245" t="s">
        <v>177</v>
      </c>
      <c r="T153" s="250"/>
      <c r="U153" s="250"/>
      <c r="V153" s="262"/>
      <c r="W153" s="105">
        <f>Y153</f>
        <v>7000</v>
      </c>
      <c r="X153" s="105"/>
      <c r="Y153" s="102">
        <v>7000</v>
      </c>
      <c r="Z153" s="102"/>
      <c r="AB153" s="245" t="s">
        <v>177</v>
      </c>
      <c r="AC153" s="250"/>
      <c r="AD153" s="250"/>
      <c r="AE153" s="262"/>
      <c r="AF153" s="105">
        <f>AH153</f>
        <v>7000</v>
      </c>
      <c r="AG153" s="105"/>
      <c r="AH153" s="102">
        <v>7000</v>
      </c>
      <c r="AI153" s="102"/>
    </row>
    <row r="154" spans="1:35">
      <c r="A154" s="245" t="s">
        <v>178</v>
      </c>
      <c r="B154" s="250"/>
      <c r="C154" s="250"/>
      <c r="D154" s="262"/>
      <c r="E154" s="105">
        <f>E152-E153</f>
        <v>-500</v>
      </c>
      <c r="F154" s="105"/>
      <c r="G154" s="106">
        <f>G152-G153</f>
        <v>500</v>
      </c>
      <c r="H154" s="106"/>
      <c r="J154" s="245" t="s">
        <v>178</v>
      </c>
      <c r="K154" s="250"/>
      <c r="L154" s="250"/>
      <c r="M154" s="262"/>
      <c r="N154" s="105">
        <f>N152-N153</f>
        <v>3000</v>
      </c>
      <c r="O154" s="105"/>
      <c r="P154" s="106">
        <f>P152-P153</f>
        <v>-2000</v>
      </c>
      <c r="Q154" s="106"/>
      <c r="S154" s="245" t="s">
        <v>178</v>
      </c>
      <c r="T154" s="250"/>
      <c r="U154" s="250"/>
      <c r="V154" s="262"/>
      <c r="W154" s="105">
        <f>W152-W153</f>
        <v>3000</v>
      </c>
      <c r="X154" s="105"/>
      <c r="Y154" s="106">
        <f>Y152-Y153</f>
        <v>-2000</v>
      </c>
      <c r="Z154" s="106"/>
      <c r="AB154" s="245" t="s">
        <v>178</v>
      </c>
      <c r="AC154" s="250"/>
      <c r="AD154" s="250"/>
      <c r="AE154" s="262"/>
      <c r="AF154" s="105">
        <f>AF152-AF153</f>
        <v>3000</v>
      </c>
      <c r="AG154" s="105"/>
      <c r="AH154" s="106">
        <f>AH152-AH153</f>
        <v>-2000</v>
      </c>
      <c r="AI154" s="106"/>
    </row>
    <row r="155" spans="1:35">
      <c r="A155" s="245" t="s">
        <v>179</v>
      </c>
      <c r="B155" s="250"/>
      <c r="C155" s="250"/>
      <c r="D155" s="262"/>
      <c r="E155" s="105">
        <f>E154-G154</f>
        <v>-1000</v>
      </c>
      <c r="F155" s="105"/>
      <c r="G155" s="262"/>
      <c r="H155" s="180"/>
      <c r="J155" s="245" t="s">
        <v>179</v>
      </c>
      <c r="K155" s="250"/>
      <c r="L155" s="250"/>
      <c r="M155" s="262"/>
      <c r="N155" s="105">
        <f>N154-P154</f>
        <v>5000</v>
      </c>
      <c r="O155" s="105"/>
      <c r="P155" s="262"/>
      <c r="Q155" s="180"/>
      <c r="S155" s="245" t="s">
        <v>179</v>
      </c>
      <c r="T155" s="250"/>
      <c r="U155" s="250"/>
      <c r="V155" s="262"/>
      <c r="W155" s="105">
        <f>W154-Y154</f>
        <v>5000</v>
      </c>
      <c r="X155" s="105"/>
      <c r="Y155" s="262"/>
      <c r="Z155" s="180"/>
      <c r="AB155" s="245" t="s">
        <v>179</v>
      </c>
      <c r="AC155" s="250"/>
      <c r="AD155" s="250"/>
      <c r="AE155" s="262"/>
      <c r="AF155" s="105">
        <f>AF154-AH154</f>
        <v>5000</v>
      </c>
      <c r="AG155" s="105"/>
      <c r="AH155" s="262"/>
      <c r="AI155" s="180"/>
    </row>
    <row r="156" ht="19.5" spans="1:35">
      <c r="A156" s="245"/>
      <c r="B156" s="250"/>
      <c r="C156" s="250"/>
      <c r="D156" s="262"/>
      <c r="E156" s="250"/>
      <c r="F156" s="262"/>
      <c r="G156" s="262"/>
      <c r="H156" s="180"/>
      <c r="J156" s="245"/>
      <c r="K156" s="250"/>
      <c r="L156" s="250"/>
      <c r="M156" s="262"/>
      <c r="N156" s="250"/>
      <c r="O156" s="262"/>
      <c r="P156" s="262"/>
      <c r="Q156" s="180"/>
      <c r="S156" s="245"/>
      <c r="T156" s="250"/>
      <c r="U156" s="250"/>
      <c r="V156" s="262"/>
      <c r="W156" s="250"/>
      <c r="X156" s="262"/>
      <c r="Y156" s="262"/>
      <c r="Z156" s="180"/>
      <c r="AB156" s="245"/>
      <c r="AC156" s="250"/>
      <c r="AD156" s="250"/>
      <c r="AE156" s="262"/>
      <c r="AF156" s="250"/>
      <c r="AG156" s="262"/>
      <c r="AH156" s="262"/>
      <c r="AI156" s="180"/>
    </row>
    <row r="157" spans="1:35">
      <c r="A157" s="264" t="s">
        <v>180</v>
      </c>
      <c r="B157" s="265"/>
      <c r="C157" s="265"/>
      <c r="D157" s="290"/>
      <c r="E157" s="265"/>
      <c r="F157" s="290"/>
      <c r="G157" s="360">
        <f>A114</f>
        <v>2000</v>
      </c>
      <c r="H157" s="360"/>
      <c r="J157" s="264" t="s">
        <v>180</v>
      </c>
      <c r="K157" s="265"/>
      <c r="L157" s="265"/>
      <c r="M157" s="290"/>
      <c r="N157" s="265"/>
      <c r="O157" s="290"/>
      <c r="P157" s="360">
        <f>J114</f>
        <v>1000</v>
      </c>
      <c r="Q157" s="360"/>
      <c r="S157" s="264" t="s">
        <v>180</v>
      </c>
      <c r="T157" s="265"/>
      <c r="U157" s="265"/>
      <c r="V157" s="290"/>
      <c r="W157" s="265"/>
      <c r="X157" s="290"/>
      <c r="Y157" s="360">
        <f>S114</f>
        <v>1000</v>
      </c>
      <c r="Z157" s="360"/>
      <c r="AB157" s="264" t="s">
        <v>180</v>
      </c>
      <c r="AC157" s="265"/>
      <c r="AD157" s="265"/>
      <c r="AE157" s="290"/>
      <c r="AF157" s="265"/>
      <c r="AG157" s="290"/>
      <c r="AH157" s="360">
        <f>AB114</f>
        <v>1000</v>
      </c>
      <c r="AI157" s="360"/>
    </row>
    <row r="158" ht="21" spans="1:35">
      <c r="A158" s="361" t="s">
        <v>181</v>
      </c>
      <c r="B158" s="250"/>
      <c r="C158" s="250"/>
      <c r="D158" s="291"/>
      <c r="E158" s="250"/>
      <c r="F158" s="291"/>
      <c r="G158" s="362">
        <f>H147-G154-G157</f>
        <v>23021.604</v>
      </c>
      <c r="H158" s="362"/>
      <c r="J158" s="361" t="s">
        <v>181</v>
      </c>
      <c r="K158" s="250"/>
      <c r="L158" s="250"/>
      <c r="M158" s="291"/>
      <c r="N158" s="250"/>
      <c r="O158" s="291"/>
      <c r="P158" s="362">
        <f>Q147-P154-P157</f>
        <v>36519.004</v>
      </c>
      <c r="Q158" s="362"/>
      <c r="S158" s="361" t="s">
        <v>181</v>
      </c>
      <c r="T158" s="250"/>
      <c r="U158" s="250"/>
      <c r="V158" s="291"/>
      <c r="W158" s="250"/>
      <c r="X158" s="291"/>
      <c r="Y158" s="362">
        <f>Z147-Y154-Y157</f>
        <v>22207.765</v>
      </c>
      <c r="Z158" s="362"/>
      <c r="AB158" s="361" t="s">
        <v>181</v>
      </c>
      <c r="AC158" s="250"/>
      <c r="AD158" s="250"/>
      <c r="AE158" s="291"/>
      <c r="AF158" s="250"/>
      <c r="AG158" s="291"/>
      <c r="AH158" s="362">
        <f>AI147-AH154-AH157</f>
        <v>17234.5</v>
      </c>
      <c r="AI158" s="362"/>
    </row>
    <row r="159" ht="19.5" spans="1:35">
      <c r="A159" s="275" t="s">
        <v>53</v>
      </c>
      <c r="B159" s="276"/>
      <c r="C159" s="276"/>
      <c r="D159" s="323"/>
      <c r="E159" s="276"/>
      <c r="F159" s="323"/>
      <c r="G159" s="363" t="str">
        <f>B114</f>
        <v>199.99</v>
      </c>
      <c r="H159" s="363"/>
      <c r="J159" s="275" t="s">
        <v>53</v>
      </c>
      <c r="K159" s="276"/>
      <c r="L159" s="276"/>
      <c r="M159" s="323"/>
      <c r="N159" s="276"/>
      <c r="O159" s="323"/>
      <c r="P159" s="363">
        <f>K114</f>
        <v>239.99</v>
      </c>
      <c r="Q159" s="363"/>
      <c r="S159" s="275" t="s">
        <v>53</v>
      </c>
      <c r="T159" s="276"/>
      <c r="U159" s="276"/>
      <c r="V159" s="323"/>
      <c r="W159" s="276"/>
      <c r="X159" s="323"/>
      <c r="Y159" s="363">
        <f>T114</f>
        <v>199.99</v>
      </c>
      <c r="Z159" s="363"/>
      <c r="AB159" s="275" t="s">
        <v>53</v>
      </c>
      <c r="AC159" s="276"/>
      <c r="AD159" s="276"/>
      <c r="AE159" s="323"/>
      <c r="AF159" s="276"/>
      <c r="AG159" s="323"/>
      <c r="AH159" s="363">
        <f>AC114</f>
        <v>239.99</v>
      </c>
      <c r="AI159" s="363"/>
    </row>
    <row r="160" spans="1:35">
      <c r="A160" s="245"/>
      <c r="B160" s="250"/>
      <c r="C160" s="250"/>
      <c r="D160" s="250"/>
      <c r="E160" s="262"/>
      <c r="F160" s="262"/>
      <c r="G160" s="262"/>
      <c r="H160" s="180"/>
      <c r="J160" s="245"/>
      <c r="K160" s="250"/>
      <c r="L160" s="250"/>
      <c r="M160" s="250"/>
      <c r="N160" s="262"/>
      <c r="O160" s="262"/>
      <c r="P160" s="262"/>
      <c r="Q160" s="180"/>
      <c r="S160" s="245"/>
      <c r="T160" s="250"/>
      <c r="U160" s="250"/>
      <c r="V160" s="250"/>
      <c r="W160" s="262"/>
      <c r="X160" s="262"/>
      <c r="Y160" s="262"/>
      <c r="Z160" s="180"/>
      <c r="AB160" s="245"/>
      <c r="AC160" s="250"/>
      <c r="AD160" s="250"/>
      <c r="AE160" s="250"/>
      <c r="AF160" s="262"/>
      <c r="AG160" s="262"/>
      <c r="AH160" s="262"/>
      <c r="AI160" s="180"/>
    </row>
    <row r="161" spans="1:35">
      <c r="A161" s="245"/>
      <c r="B161" s="250"/>
      <c r="C161" s="250"/>
      <c r="D161" s="250"/>
      <c r="E161" s="262"/>
      <c r="F161" s="262"/>
      <c r="G161" s="262"/>
      <c r="H161" s="180"/>
      <c r="J161" s="245"/>
      <c r="K161" s="250"/>
      <c r="L161" s="250"/>
      <c r="M161" s="250"/>
      <c r="N161" s="262"/>
      <c r="O161" s="262"/>
      <c r="P161" s="262"/>
      <c r="Q161" s="180"/>
      <c r="S161" s="245"/>
      <c r="T161" s="250"/>
      <c r="U161" s="250"/>
      <c r="V161" s="250"/>
      <c r="W161" s="262"/>
      <c r="X161" s="262"/>
      <c r="Y161" s="262"/>
      <c r="Z161" s="180"/>
      <c r="AB161" s="245"/>
      <c r="AC161" s="250"/>
      <c r="AD161" s="250"/>
      <c r="AE161" s="250"/>
      <c r="AF161" s="262"/>
      <c r="AG161" s="262"/>
      <c r="AH161" s="262"/>
      <c r="AI161" s="180"/>
    </row>
    <row r="162" ht="24" spans="1:35">
      <c r="A162" s="269" t="s">
        <v>182</v>
      </c>
      <c r="B162" s="269"/>
      <c r="C162" s="269"/>
      <c r="D162" s="269"/>
      <c r="E162" s="269"/>
      <c r="F162" s="269"/>
      <c r="G162" s="269"/>
      <c r="H162" s="269"/>
      <c r="J162" s="269" t="s">
        <v>182</v>
      </c>
      <c r="K162" s="269"/>
      <c r="L162" s="269"/>
      <c r="M162" s="269"/>
      <c r="N162" s="269"/>
      <c r="O162" s="269"/>
      <c r="P162" s="269"/>
      <c r="Q162" s="269"/>
      <c r="S162" s="269" t="s">
        <v>182</v>
      </c>
      <c r="T162" s="269"/>
      <c r="U162" s="269"/>
      <c r="V162" s="269"/>
      <c r="W162" s="269"/>
      <c r="X162" s="269"/>
      <c r="Y162" s="269"/>
      <c r="Z162" s="269"/>
      <c r="AB162" s="269" t="s">
        <v>182</v>
      </c>
      <c r="AC162" s="269"/>
      <c r="AD162" s="269"/>
      <c r="AE162" s="269"/>
      <c r="AF162" s="269"/>
      <c r="AG162" s="269"/>
      <c r="AH162" s="269"/>
      <c r="AI162" s="269"/>
    </row>
    <row r="163" ht="19.5" spans="1:35">
      <c r="A163" s="245"/>
      <c r="B163" s="250"/>
      <c r="C163" s="250"/>
      <c r="D163" s="250"/>
      <c r="E163" s="262"/>
      <c r="F163" s="262"/>
      <c r="G163" s="262"/>
      <c r="H163" s="180"/>
      <c r="J163" s="245"/>
      <c r="K163" s="250"/>
      <c r="L163" s="250"/>
      <c r="M163" s="250"/>
      <c r="N163" s="262"/>
      <c r="O163" s="262"/>
      <c r="P163" s="262"/>
      <c r="Q163" s="180"/>
      <c r="S163" s="245"/>
      <c r="T163" s="250"/>
      <c r="U163" s="250"/>
      <c r="V163" s="250"/>
      <c r="W163" s="262"/>
      <c r="X163" s="262"/>
      <c r="Y163" s="262"/>
      <c r="Z163" s="180"/>
      <c r="AB163" s="245"/>
      <c r="AC163" s="250"/>
      <c r="AD163" s="250"/>
      <c r="AE163" s="250"/>
      <c r="AF163" s="262"/>
      <c r="AG163" s="262"/>
      <c r="AH163" s="262"/>
      <c r="AI163" s="180"/>
    </row>
    <row r="164" spans="1:35">
      <c r="A164" s="245" t="s">
        <v>183</v>
      </c>
      <c r="B164" s="115">
        <v>0</v>
      </c>
      <c r="C164" s="115"/>
      <c r="D164" s="250"/>
      <c r="E164" s="262"/>
      <c r="F164" s="262"/>
      <c r="G164" s="262"/>
      <c r="H164" s="180"/>
      <c r="J164" s="245" t="s">
        <v>183</v>
      </c>
      <c r="K164" s="115">
        <v>0</v>
      </c>
      <c r="L164" s="115"/>
      <c r="M164" s="250"/>
      <c r="N164" s="262"/>
      <c r="O164" s="262"/>
      <c r="P164" s="262"/>
      <c r="Q164" s="180"/>
      <c r="S164" s="245" t="s">
        <v>183</v>
      </c>
      <c r="T164" s="115">
        <v>0</v>
      </c>
      <c r="U164" s="115"/>
      <c r="V164" s="250"/>
      <c r="W164" s="262"/>
      <c r="X164" s="262"/>
      <c r="Y164" s="262"/>
      <c r="Z164" s="180"/>
      <c r="AB164" s="245" t="s">
        <v>183</v>
      </c>
      <c r="AC164" s="115">
        <v>0</v>
      </c>
      <c r="AD164" s="115"/>
      <c r="AE164" s="250"/>
      <c r="AF164" s="262"/>
      <c r="AG164" s="262"/>
      <c r="AH164" s="262"/>
      <c r="AI164" s="180"/>
    </row>
    <row r="165" spans="1:35">
      <c r="A165" s="245"/>
      <c r="B165" s="250"/>
      <c r="C165" s="250"/>
      <c r="D165" s="250"/>
      <c r="E165" s="262"/>
      <c r="F165" s="262"/>
      <c r="G165" s="262"/>
      <c r="H165" s="180"/>
      <c r="J165" s="245"/>
      <c r="K165" s="250"/>
      <c r="L165" s="250"/>
      <c r="M165" s="250"/>
      <c r="N165" s="262"/>
      <c r="O165" s="262"/>
      <c r="P165" s="262"/>
      <c r="Q165" s="180"/>
      <c r="S165" s="245"/>
      <c r="T165" s="250"/>
      <c r="U165" s="250"/>
      <c r="V165" s="250"/>
      <c r="W165" s="262"/>
      <c r="X165" s="262"/>
      <c r="Y165" s="262"/>
      <c r="Z165" s="180"/>
      <c r="AB165" s="245"/>
      <c r="AC165" s="250"/>
      <c r="AD165" s="250"/>
      <c r="AE165" s="250"/>
      <c r="AF165" s="262"/>
      <c r="AG165" s="262"/>
      <c r="AH165" s="262"/>
      <c r="AI165" s="180"/>
    </row>
    <row r="166" spans="1:35">
      <c r="A166" s="364" t="s">
        <v>184</v>
      </c>
      <c r="B166" s="365" t="s">
        <v>185</v>
      </c>
      <c r="C166" s="365"/>
      <c r="D166" s="365"/>
      <c r="E166" s="365" t="s">
        <v>186</v>
      </c>
      <c r="F166" s="262"/>
      <c r="G166" s="262" t="s">
        <v>187</v>
      </c>
      <c r="H166" s="180"/>
      <c r="J166" s="364" t="s">
        <v>184</v>
      </c>
      <c r="K166" s="365" t="s">
        <v>185</v>
      </c>
      <c r="L166" s="365"/>
      <c r="M166" s="365"/>
      <c r="N166" s="365" t="s">
        <v>186</v>
      </c>
      <c r="O166" s="262"/>
      <c r="P166" s="262"/>
      <c r="Q166" s="180"/>
      <c r="S166" s="364" t="s">
        <v>184</v>
      </c>
      <c r="T166" s="365" t="s">
        <v>185</v>
      </c>
      <c r="U166" s="365"/>
      <c r="V166" s="365"/>
      <c r="W166" s="365" t="s">
        <v>186</v>
      </c>
      <c r="X166" s="262"/>
      <c r="Y166" s="262"/>
      <c r="Z166" s="180"/>
      <c r="AB166" s="364" t="s">
        <v>184</v>
      </c>
      <c r="AC166" s="365" t="s">
        <v>185</v>
      </c>
      <c r="AD166" s="365"/>
      <c r="AE166" s="365"/>
      <c r="AF166" s="365" t="s">
        <v>186</v>
      </c>
      <c r="AG166" s="262"/>
      <c r="AH166" s="262"/>
      <c r="AI166" s="180"/>
    </row>
    <row r="167" spans="1:35">
      <c r="A167" s="366">
        <f>B95</f>
        <v>639.417321141164</v>
      </c>
      <c r="B167" s="126">
        <f>B94</f>
        <v>64.7170588235294</v>
      </c>
      <c r="C167" s="365"/>
      <c r="D167" s="365"/>
      <c r="E167" s="126">
        <f>B96</f>
        <v>704.134379964694</v>
      </c>
      <c r="F167" s="262"/>
      <c r="G167" s="262">
        <f>ROUND(G95,2)</f>
        <v>609.32</v>
      </c>
      <c r="H167" s="180"/>
      <c r="J167" s="366">
        <f>K95</f>
        <v>1460.84083744584</v>
      </c>
      <c r="K167" s="126">
        <f>K94</f>
        <v>81.7284</v>
      </c>
      <c r="L167" s="365"/>
      <c r="M167" s="365"/>
      <c r="N167" s="126">
        <f>K96</f>
        <v>1542.56923744584</v>
      </c>
      <c r="O167" s="262"/>
      <c r="P167" s="262"/>
      <c r="Q167" s="180"/>
      <c r="S167" s="366">
        <f>T95</f>
        <v>664.221324460908</v>
      </c>
      <c r="T167" s="126">
        <f>T94</f>
        <v>64.7170588235294</v>
      </c>
      <c r="U167" s="365"/>
      <c r="V167" s="365"/>
      <c r="W167" s="126">
        <f>T96</f>
        <v>728.938383284438</v>
      </c>
      <c r="X167" s="262"/>
      <c r="Y167" s="262"/>
      <c r="Z167" s="180"/>
      <c r="AB167" s="366">
        <f>AC95</f>
        <v>488.33974246853</v>
      </c>
      <c r="AC167" s="126">
        <f>AC94</f>
        <v>77.6604705882353</v>
      </c>
      <c r="AD167" s="365"/>
      <c r="AE167" s="365"/>
      <c r="AF167" s="126">
        <f>AC96</f>
        <v>566.000213056765</v>
      </c>
      <c r="AG167" s="262"/>
      <c r="AH167" s="262"/>
      <c r="AI167" s="180"/>
    </row>
    <row r="168" spans="1:35">
      <c r="A168" s="245"/>
      <c r="B168" s="250"/>
      <c r="C168" s="250"/>
      <c r="D168" s="250"/>
      <c r="E168" s="262"/>
      <c r="F168" s="262"/>
      <c r="G168" s="262"/>
      <c r="H168" s="180"/>
      <c r="J168" s="245"/>
      <c r="K168" s="250"/>
      <c r="L168" s="250"/>
      <c r="M168" s="250"/>
      <c r="N168" s="262"/>
      <c r="O168" s="262"/>
      <c r="P168" s="262"/>
      <c r="Q168" s="180"/>
      <c r="S168" s="245"/>
      <c r="T168" s="250"/>
      <c r="U168" s="250"/>
      <c r="V168" s="250"/>
      <c r="W168" s="262"/>
      <c r="X168" s="262"/>
      <c r="Y168" s="262"/>
      <c r="Z168" s="180"/>
      <c r="AB168" s="245"/>
      <c r="AC168" s="250"/>
      <c r="AD168" s="250"/>
      <c r="AE168" s="250"/>
      <c r="AF168" s="262"/>
      <c r="AG168" s="262"/>
      <c r="AH168" s="262"/>
      <c r="AI168" s="180"/>
    </row>
    <row r="169" spans="1:35">
      <c r="A169" s="245" t="s">
        <v>83</v>
      </c>
      <c r="B169" s="250" t="s">
        <v>84</v>
      </c>
      <c r="C169" s="250"/>
      <c r="D169" s="262"/>
      <c r="E169" s="250" t="s">
        <v>188</v>
      </c>
      <c r="F169" s="262"/>
      <c r="G169" s="262"/>
      <c r="H169" s="180"/>
      <c r="J169" s="245" t="s">
        <v>83</v>
      </c>
      <c r="K169" s="250" t="s">
        <v>84</v>
      </c>
      <c r="L169" s="250"/>
      <c r="M169" s="262"/>
      <c r="N169" s="250" t="s">
        <v>188</v>
      </c>
      <c r="O169" s="262"/>
      <c r="P169" s="262"/>
      <c r="Q169" s="180"/>
      <c r="S169" s="245" t="s">
        <v>83</v>
      </c>
      <c r="T169" s="250" t="s">
        <v>84</v>
      </c>
      <c r="U169" s="250"/>
      <c r="V169" s="262"/>
      <c r="W169" s="250" t="s">
        <v>188</v>
      </c>
      <c r="X169" s="262"/>
      <c r="Y169" s="262"/>
      <c r="Z169" s="180"/>
      <c r="AB169" s="245" t="s">
        <v>83</v>
      </c>
      <c r="AC169" s="250" t="s">
        <v>84</v>
      </c>
      <c r="AD169" s="250"/>
      <c r="AE169" s="262"/>
      <c r="AF169" s="250" t="s">
        <v>188</v>
      </c>
      <c r="AG169" s="262"/>
      <c r="AH169" s="262"/>
      <c r="AI169" s="180"/>
    </row>
    <row r="170" spans="1:35">
      <c r="A170" s="270">
        <f>K29</f>
        <v>35</v>
      </c>
      <c r="B170" s="42">
        <f>K30</f>
        <v>35000</v>
      </c>
      <c r="C170" s="367"/>
      <c r="D170" s="262"/>
      <c r="E170" s="274">
        <f>IF(A111="YES",A40,0)</f>
        <v>5010</v>
      </c>
      <c r="F170" s="262"/>
      <c r="G170" s="262"/>
      <c r="H170" s="180"/>
      <c r="J170" s="270">
        <f>K29</f>
        <v>35</v>
      </c>
      <c r="K170" s="42">
        <f>K30</f>
        <v>35000</v>
      </c>
      <c r="L170" s="367"/>
      <c r="M170" s="262"/>
      <c r="N170" s="274">
        <f>IF(A111="YES",A40,0)</f>
        <v>5010</v>
      </c>
      <c r="O170" s="262"/>
      <c r="P170" s="262"/>
      <c r="Q170" s="180"/>
      <c r="S170" s="270">
        <f>K29</f>
        <v>35</v>
      </c>
      <c r="T170" s="42">
        <f>K30</f>
        <v>35000</v>
      </c>
      <c r="U170" s="367"/>
      <c r="V170" s="262"/>
      <c r="W170" s="274">
        <f>IF(A111="YES",A40,0)</f>
        <v>5010</v>
      </c>
      <c r="X170" s="262"/>
      <c r="Y170" s="262"/>
      <c r="Z170" s="180"/>
      <c r="AB170" s="270">
        <f>K29</f>
        <v>35</v>
      </c>
      <c r="AC170" s="42">
        <f>K30</f>
        <v>35000</v>
      </c>
      <c r="AD170" s="367"/>
      <c r="AE170" s="262"/>
      <c r="AF170" s="274">
        <f>IF(A111="YES",A40,0)</f>
        <v>5010</v>
      </c>
      <c r="AG170" s="262"/>
      <c r="AH170" s="262"/>
      <c r="AI170" s="180"/>
    </row>
    <row r="171" spans="1:35">
      <c r="A171" s="245"/>
      <c r="B171" s="250"/>
      <c r="C171" s="250"/>
      <c r="D171" s="262"/>
      <c r="E171" s="250"/>
      <c r="F171" s="262"/>
      <c r="G171" s="262"/>
      <c r="H171" s="180"/>
      <c r="J171" s="245"/>
      <c r="K171" s="250"/>
      <c r="L171" s="250"/>
      <c r="M171" s="262"/>
      <c r="N171" s="250"/>
      <c r="O171" s="262"/>
      <c r="P171" s="262"/>
      <c r="Q171" s="180"/>
      <c r="S171" s="245"/>
      <c r="T171" s="250"/>
      <c r="U171" s="250"/>
      <c r="V171" s="262"/>
      <c r="W171" s="250"/>
      <c r="X171" s="262"/>
      <c r="Y171" s="262"/>
      <c r="Z171" s="180"/>
      <c r="AB171" s="245"/>
      <c r="AC171" s="250"/>
      <c r="AD171" s="250"/>
      <c r="AE171" s="262"/>
      <c r="AF171" s="250"/>
      <c r="AG171" s="262"/>
      <c r="AH171" s="262"/>
      <c r="AI171" s="180"/>
    </row>
    <row r="172" spans="1:35">
      <c r="A172" s="245" t="s">
        <v>189</v>
      </c>
      <c r="B172" s="250" t="s">
        <v>190</v>
      </c>
      <c r="C172" s="250"/>
      <c r="D172" s="262"/>
      <c r="E172" s="250" t="s">
        <v>191</v>
      </c>
      <c r="F172" s="262"/>
      <c r="G172" s="262"/>
      <c r="H172" s="180"/>
      <c r="J172" s="245" t="s">
        <v>189</v>
      </c>
      <c r="K172" s="250" t="s">
        <v>190</v>
      </c>
      <c r="L172" s="250"/>
      <c r="M172" s="262"/>
      <c r="N172" s="250" t="s">
        <v>191</v>
      </c>
      <c r="O172" s="262"/>
      <c r="P172" s="262"/>
      <c r="Q172" s="180"/>
      <c r="S172" s="245" t="s">
        <v>189</v>
      </c>
      <c r="T172" s="250" t="s">
        <v>190</v>
      </c>
      <c r="U172" s="250"/>
      <c r="V172" s="262"/>
      <c r="W172" s="250" t="s">
        <v>191</v>
      </c>
      <c r="X172" s="262"/>
      <c r="Y172" s="262"/>
      <c r="Z172" s="180"/>
      <c r="AB172" s="245" t="s">
        <v>189</v>
      </c>
      <c r="AC172" s="250" t="s">
        <v>190</v>
      </c>
      <c r="AD172" s="250"/>
      <c r="AE172" s="262"/>
      <c r="AF172" s="250" t="s">
        <v>191</v>
      </c>
      <c r="AG172" s="262"/>
      <c r="AH172" s="262"/>
      <c r="AI172" s="180"/>
    </row>
    <row r="173" spans="1:35">
      <c r="A173" s="132">
        <f>H141-H137-H139-H140</f>
        <v>20984.67</v>
      </c>
      <c r="B173" s="133">
        <f>H137</f>
        <v>4196.934</v>
      </c>
      <c r="C173" s="272"/>
      <c r="D173" s="262"/>
      <c r="E173" s="274">
        <f>H139+H140</f>
        <v>340</v>
      </c>
      <c r="F173" s="262"/>
      <c r="G173" s="262"/>
      <c r="H173" s="180"/>
      <c r="J173" s="132">
        <f>Q141-Q137-Q139-Q140</f>
        <v>29324.17</v>
      </c>
      <c r="K173" s="133">
        <f>Q137</f>
        <v>5864.834</v>
      </c>
      <c r="L173" s="272"/>
      <c r="M173" s="262"/>
      <c r="N173" s="274">
        <f>Q139+Q140</f>
        <v>330</v>
      </c>
      <c r="O173" s="262"/>
      <c r="P173" s="262"/>
      <c r="Q173" s="180"/>
      <c r="S173" s="132">
        <f>Z141-Z137-Z139-Z140</f>
        <v>17398.1375</v>
      </c>
      <c r="T173" s="133">
        <f>Z137</f>
        <v>3479.6275</v>
      </c>
      <c r="U173" s="272"/>
      <c r="V173" s="262"/>
      <c r="W173" s="274">
        <f>Z139+Z140</f>
        <v>330</v>
      </c>
      <c r="X173" s="262"/>
      <c r="Y173" s="262"/>
      <c r="Z173" s="180"/>
      <c r="AB173" s="132">
        <f>AI141-AI137-AI139-AI140</f>
        <v>13253.75</v>
      </c>
      <c r="AC173" s="133">
        <f>AI137</f>
        <v>2650.75</v>
      </c>
      <c r="AD173" s="272"/>
      <c r="AE173" s="262"/>
      <c r="AF173" s="274">
        <f>AI139+AI140</f>
        <v>330</v>
      </c>
      <c r="AG173" s="262"/>
      <c r="AH173" s="262"/>
      <c r="AI173" s="180"/>
    </row>
    <row r="174" spans="1:35">
      <c r="A174" s="245"/>
      <c r="B174" s="250"/>
      <c r="C174" s="250"/>
      <c r="D174" s="262"/>
      <c r="E174" s="250"/>
      <c r="F174" s="262"/>
      <c r="G174" s="262"/>
      <c r="H174" s="180"/>
      <c r="J174" s="245"/>
      <c r="K174" s="250"/>
      <c r="L174" s="250"/>
      <c r="M174" s="262"/>
      <c r="N174" s="250"/>
      <c r="O174" s="262"/>
      <c r="P174" s="262"/>
      <c r="Q174" s="180"/>
      <c r="S174" s="245"/>
      <c r="T174" s="250"/>
      <c r="U174" s="250"/>
      <c r="V174" s="262"/>
      <c r="W174" s="250"/>
      <c r="X174" s="262"/>
      <c r="Y174" s="262"/>
      <c r="Z174" s="180"/>
      <c r="AB174" s="245"/>
      <c r="AC174" s="250"/>
      <c r="AD174" s="250"/>
      <c r="AE174" s="262"/>
      <c r="AF174" s="250"/>
      <c r="AG174" s="262"/>
      <c r="AH174" s="262"/>
      <c r="AI174" s="180"/>
    </row>
    <row r="175" spans="1:35">
      <c r="A175" s="245" t="s">
        <v>192</v>
      </c>
      <c r="B175" s="250" t="s">
        <v>138</v>
      </c>
      <c r="C175" s="250"/>
      <c r="D175" s="262"/>
      <c r="E175" s="250" t="s">
        <v>139</v>
      </c>
      <c r="F175" s="262"/>
      <c r="G175" s="262"/>
      <c r="H175" s="180"/>
      <c r="J175" s="245" t="s">
        <v>192</v>
      </c>
      <c r="K175" s="250" t="s">
        <v>138</v>
      </c>
      <c r="L175" s="250"/>
      <c r="M175" s="262"/>
      <c r="N175" s="250" t="s">
        <v>139</v>
      </c>
      <c r="O175" s="262"/>
      <c r="P175" s="262"/>
      <c r="Q175" s="180"/>
      <c r="S175" s="245" t="s">
        <v>192</v>
      </c>
      <c r="T175" s="250" t="s">
        <v>138</v>
      </c>
      <c r="U175" s="250"/>
      <c r="V175" s="262"/>
      <c r="W175" s="250" t="s">
        <v>139</v>
      </c>
      <c r="X175" s="262"/>
      <c r="Y175" s="262"/>
      <c r="Z175" s="180"/>
      <c r="AB175" s="245" t="s">
        <v>192</v>
      </c>
      <c r="AC175" s="250" t="s">
        <v>138</v>
      </c>
      <c r="AD175" s="250"/>
      <c r="AE175" s="262"/>
      <c r="AF175" s="250" t="s">
        <v>139</v>
      </c>
      <c r="AG175" s="262"/>
      <c r="AH175" s="262"/>
      <c r="AI175" s="180"/>
    </row>
    <row r="176" spans="1:35">
      <c r="A176" s="132">
        <f>H141</f>
        <v>25521.604</v>
      </c>
      <c r="B176" s="133">
        <f>B111</f>
        <v>1000</v>
      </c>
      <c r="C176" s="133"/>
      <c r="D176" s="262"/>
      <c r="E176" s="133">
        <f>E111</f>
        <v>1000</v>
      </c>
      <c r="F176" s="262"/>
      <c r="G176" s="262"/>
      <c r="H176" s="141"/>
      <c r="J176" s="132">
        <f>Q141</f>
        <v>35519.004</v>
      </c>
      <c r="K176" s="133">
        <f>K111</f>
        <v>1000</v>
      </c>
      <c r="L176" s="133"/>
      <c r="M176" s="262"/>
      <c r="N176" s="133">
        <f>N111</f>
        <v>0</v>
      </c>
      <c r="O176" s="262"/>
      <c r="P176" s="262"/>
      <c r="Q176" s="141"/>
      <c r="S176" s="132">
        <f>Z141</f>
        <v>21207.765</v>
      </c>
      <c r="T176" s="133">
        <f>T111</f>
        <v>1000</v>
      </c>
      <c r="U176" s="133"/>
      <c r="V176" s="262"/>
      <c r="W176" s="133">
        <f>W111</f>
        <v>0</v>
      </c>
      <c r="X176" s="262"/>
      <c r="Y176" s="262"/>
      <c r="Z176" s="141"/>
      <c r="AB176" s="132">
        <f>AI141</f>
        <v>16234.5</v>
      </c>
      <c r="AC176" s="133">
        <f>AC111</f>
        <v>1000</v>
      </c>
      <c r="AD176" s="133"/>
      <c r="AE176" s="262"/>
      <c r="AF176" s="133">
        <f>AF111</f>
        <v>0</v>
      </c>
      <c r="AG176" s="262"/>
      <c r="AH176" s="262"/>
      <c r="AI176" s="141"/>
    </row>
    <row r="177" spans="1:35">
      <c r="A177" s="245"/>
      <c r="B177" s="250"/>
      <c r="C177" s="250"/>
      <c r="D177" s="262"/>
      <c r="E177" s="250"/>
      <c r="F177" s="262"/>
      <c r="G177" s="262"/>
      <c r="H177" s="180"/>
      <c r="J177" s="245"/>
      <c r="K177" s="250"/>
      <c r="L177" s="250"/>
      <c r="M177" s="262"/>
      <c r="N177" s="250"/>
      <c r="O177" s="262"/>
      <c r="P177" s="262"/>
      <c r="Q177" s="180"/>
      <c r="S177" s="245"/>
      <c r="T177" s="250"/>
      <c r="U177" s="250"/>
      <c r="V177" s="262"/>
      <c r="W177" s="250"/>
      <c r="X177" s="262"/>
      <c r="Y177" s="262"/>
      <c r="Z177" s="180"/>
      <c r="AB177" s="245"/>
      <c r="AC177" s="250"/>
      <c r="AD177" s="250"/>
      <c r="AE177" s="262"/>
      <c r="AF177" s="250"/>
      <c r="AG177" s="262"/>
      <c r="AH177" s="262"/>
      <c r="AI177" s="180"/>
    </row>
    <row r="178" spans="1:35">
      <c r="A178" s="245" t="s">
        <v>140</v>
      </c>
      <c r="B178" s="250" t="s">
        <v>176</v>
      </c>
      <c r="C178" s="250"/>
      <c r="D178" s="262"/>
      <c r="E178" s="250" t="s">
        <v>181</v>
      </c>
      <c r="F178" s="262"/>
      <c r="G178" s="262"/>
      <c r="H178" s="180"/>
      <c r="J178" s="245" t="s">
        <v>140</v>
      </c>
      <c r="K178" s="250" t="s">
        <v>176</v>
      </c>
      <c r="L178" s="250"/>
      <c r="M178" s="262"/>
      <c r="N178" s="250" t="s">
        <v>181</v>
      </c>
      <c r="O178" s="262"/>
      <c r="P178" s="262"/>
      <c r="Q178" s="180"/>
      <c r="S178" s="245" t="s">
        <v>140</v>
      </c>
      <c r="T178" s="250" t="s">
        <v>176</v>
      </c>
      <c r="U178" s="250"/>
      <c r="V178" s="262"/>
      <c r="W178" s="250" t="s">
        <v>181</v>
      </c>
      <c r="X178" s="262"/>
      <c r="Y178" s="262"/>
      <c r="Z178" s="180"/>
      <c r="AB178" s="245" t="s">
        <v>140</v>
      </c>
      <c r="AC178" s="250" t="s">
        <v>176</v>
      </c>
      <c r="AD178" s="250"/>
      <c r="AE178" s="262"/>
      <c r="AF178" s="250" t="s">
        <v>181</v>
      </c>
      <c r="AG178" s="262"/>
      <c r="AH178" s="262"/>
      <c r="AI178" s="180"/>
    </row>
    <row r="179" spans="1:35">
      <c r="A179" s="134">
        <f>B176+E176</f>
        <v>2000</v>
      </c>
      <c r="B179" s="133">
        <f>G154</f>
        <v>500</v>
      </c>
      <c r="C179" s="133"/>
      <c r="D179" s="262"/>
      <c r="E179" s="133">
        <f>A176-A179-B179</f>
        <v>23021.604</v>
      </c>
      <c r="F179" s="262"/>
      <c r="G179" s="262"/>
      <c r="H179" s="141"/>
      <c r="J179" s="134">
        <f>K176+N176</f>
        <v>1000</v>
      </c>
      <c r="K179" s="133">
        <f>P154</f>
        <v>-2000</v>
      </c>
      <c r="L179" s="133"/>
      <c r="M179" s="262"/>
      <c r="N179" s="133">
        <f>J176-J179-K179</f>
        <v>36519.004</v>
      </c>
      <c r="O179" s="262"/>
      <c r="P179" s="262"/>
      <c r="Q179" s="141"/>
      <c r="S179" s="134">
        <f>T176+W176</f>
        <v>1000</v>
      </c>
      <c r="T179" s="133">
        <f>Y154</f>
        <v>-2000</v>
      </c>
      <c r="U179" s="133"/>
      <c r="V179" s="262"/>
      <c r="W179" s="133">
        <f>S176-S179-T179</f>
        <v>22207.765</v>
      </c>
      <c r="X179" s="262"/>
      <c r="Y179" s="262"/>
      <c r="Z179" s="141"/>
      <c r="AB179" s="134">
        <f>AC176+AF176</f>
        <v>1000</v>
      </c>
      <c r="AC179" s="133">
        <f>AH154</f>
        <v>-2000</v>
      </c>
      <c r="AD179" s="133"/>
      <c r="AE179" s="262"/>
      <c r="AF179" s="133">
        <f>AB176-AB179-AC179</f>
        <v>17234.5</v>
      </c>
      <c r="AG179" s="262"/>
      <c r="AH179" s="262"/>
      <c r="AI179" s="141"/>
    </row>
    <row r="180" spans="1:35">
      <c r="A180" s="245"/>
      <c r="B180" s="250"/>
      <c r="C180" s="250"/>
      <c r="D180" s="262"/>
      <c r="E180" s="250"/>
      <c r="F180" s="262"/>
      <c r="G180" s="262"/>
      <c r="H180" s="180"/>
      <c r="J180" s="245"/>
      <c r="K180" s="250"/>
      <c r="L180" s="250"/>
      <c r="M180" s="262"/>
      <c r="N180" s="250"/>
      <c r="O180" s="262"/>
      <c r="P180" s="262"/>
      <c r="Q180" s="180"/>
      <c r="S180" s="245"/>
      <c r="T180" s="250"/>
      <c r="U180" s="250"/>
      <c r="V180" s="262"/>
      <c r="W180" s="250"/>
      <c r="X180" s="262"/>
      <c r="Y180" s="262"/>
      <c r="Z180" s="180"/>
      <c r="AB180" s="245"/>
      <c r="AC180" s="250"/>
      <c r="AD180" s="250"/>
      <c r="AE180" s="262"/>
      <c r="AF180" s="250"/>
      <c r="AG180" s="262"/>
      <c r="AH180" s="262"/>
      <c r="AI180" s="180"/>
    </row>
    <row r="181" spans="1:35">
      <c r="A181" s="245" t="s">
        <v>193</v>
      </c>
      <c r="B181" s="250" t="s">
        <v>53</v>
      </c>
      <c r="C181" s="250"/>
      <c r="D181" s="262"/>
      <c r="E181" s="250" t="s">
        <v>194</v>
      </c>
      <c r="F181" s="262"/>
      <c r="G181" s="262"/>
      <c r="H181" s="180"/>
      <c r="J181" s="245" t="s">
        <v>193</v>
      </c>
      <c r="K181" s="250" t="s">
        <v>53</v>
      </c>
      <c r="L181" s="250"/>
      <c r="M181" s="262"/>
      <c r="N181" s="250" t="s">
        <v>194</v>
      </c>
      <c r="O181" s="262"/>
      <c r="P181" s="262"/>
      <c r="Q181" s="180"/>
      <c r="S181" s="245" t="s">
        <v>193</v>
      </c>
      <c r="T181" s="250" t="s">
        <v>53</v>
      </c>
      <c r="U181" s="250"/>
      <c r="V181" s="262"/>
      <c r="W181" s="250" t="s">
        <v>194</v>
      </c>
      <c r="X181" s="262"/>
      <c r="Y181" s="262"/>
      <c r="Z181" s="180"/>
      <c r="AB181" s="245" t="s">
        <v>193</v>
      </c>
      <c r="AC181" s="250" t="s">
        <v>53</v>
      </c>
      <c r="AD181" s="250"/>
      <c r="AE181" s="262"/>
      <c r="AF181" s="250" t="s">
        <v>194</v>
      </c>
      <c r="AG181" s="262"/>
      <c r="AH181" s="262"/>
      <c r="AI181" s="180"/>
    </row>
    <row r="182" spans="1:35">
      <c r="A182" s="134">
        <f>(A167*B59)+E185-E179-A185</f>
        <v>3728.58491879959</v>
      </c>
      <c r="B182" s="133" t="str">
        <f>B114</f>
        <v>199.99</v>
      </c>
      <c r="C182" s="133"/>
      <c r="D182" s="262"/>
      <c r="E182" s="133">
        <f>E179+A182+(B182*1.2)+A185</f>
        <v>27000.1769187996</v>
      </c>
      <c r="F182" s="262"/>
      <c r="G182" s="262"/>
      <c r="H182" s="141"/>
      <c r="J182" s="134">
        <f>(J167*K59)+N185-N179-J185</f>
        <v>18159.5844731586</v>
      </c>
      <c r="K182" s="133">
        <f>K114</f>
        <v>239.99</v>
      </c>
      <c r="L182" s="133"/>
      <c r="M182" s="262"/>
      <c r="N182" s="133">
        <f>N179+J182+K182+J185</f>
        <v>54938.5784731586</v>
      </c>
      <c r="O182" s="262"/>
      <c r="P182" s="262"/>
      <c r="Q182" s="141"/>
      <c r="S182" s="134">
        <f>(S167*T59)+W185-W179-S185</f>
        <v>5385.76003167088</v>
      </c>
      <c r="T182" s="133">
        <f>T114</f>
        <v>199.99</v>
      </c>
      <c r="U182" s="133"/>
      <c r="V182" s="262"/>
      <c r="W182" s="133">
        <f>W179+S182+T182+S185</f>
        <v>27803.5150316709</v>
      </c>
      <c r="X182" s="262"/>
      <c r="Y182" s="262"/>
      <c r="Z182" s="141"/>
      <c r="AB182" s="134">
        <f>(AB167*AC59)+AF185-AF179-AB185</f>
        <v>4379.05124393002</v>
      </c>
      <c r="AC182" s="133">
        <f>AC114</f>
        <v>239.99</v>
      </c>
      <c r="AD182" s="133"/>
      <c r="AE182" s="262"/>
      <c r="AF182" s="133">
        <f>AF179+AB182+AC182+AB185</f>
        <v>21863.54124393</v>
      </c>
      <c r="AG182" s="262"/>
      <c r="AH182" s="262"/>
      <c r="AI182" s="141"/>
    </row>
    <row r="183" spans="1:35">
      <c r="A183" s="245"/>
      <c r="B183" s="250"/>
      <c r="C183" s="250"/>
      <c r="D183" s="262"/>
      <c r="E183" s="250"/>
      <c r="F183" s="262"/>
      <c r="G183" s="262"/>
      <c r="H183" s="180"/>
      <c r="J183" s="245"/>
      <c r="K183" s="250"/>
      <c r="L183" s="250"/>
      <c r="M183" s="262"/>
      <c r="N183" s="250"/>
      <c r="O183" s="262"/>
      <c r="P183" s="262"/>
      <c r="Q183" s="180"/>
      <c r="S183" s="245"/>
      <c r="T183" s="250"/>
      <c r="U183" s="250"/>
      <c r="V183" s="262"/>
      <c r="W183" s="250"/>
      <c r="X183" s="262"/>
      <c r="Y183" s="262"/>
      <c r="Z183" s="180"/>
      <c r="AB183" s="245"/>
      <c r="AC183" s="250"/>
      <c r="AD183" s="250"/>
      <c r="AE183" s="262"/>
      <c r="AF183" s="250"/>
      <c r="AG183" s="262"/>
      <c r="AH183" s="262"/>
      <c r="AI183" s="180"/>
    </row>
    <row r="184" spans="1:35">
      <c r="A184" s="245" t="s">
        <v>195</v>
      </c>
      <c r="B184" s="250" t="s">
        <v>196</v>
      </c>
      <c r="C184" s="250"/>
      <c r="D184" s="262"/>
      <c r="E184" s="250" t="s">
        <v>197</v>
      </c>
      <c r="F184" s="262"/>
      <c r="G184" s="262"/>
      <c r="H184" s="180"/>
      <c r="J184" s="245" t="s">
        <v>195</v>
      </c>
      <c r="K184" s="250" t="s">
        <v>196</v>
      </c>
      <c r="L184" s="250"/>
      <c r="M184" s="262"/>
      <c r="N184" s="250" t="s">
        <v>197</v>
      </c>
      <c r="O184" s="262"/>
      <c r="P184" s="262"/>
      <c r="Q184" s="180"/>
      <c r="S184" s="245" t="s">
        <v>195</v>
      </c>
      <c r="T184" s="250" t="s">
        <v>196</v>
      </c>
      <c r="U184" s="250"/>
      <c r="V184" s="262"/>
      <c r="W184" s="250" t="s">
        <v>197</v>
      </c>
      <c r="X184" s="262"/>
      <c r="Y184" s="262"/>
      <c r="Z184" s="180"/>
      <c r="AB184" s="245" t="s">
        <v>195</v>
      </c>
      <c r="AC184" s="250" t="s">
        <v>196</v>
      </c>
      <c r="AD184" s="250"/>
      <c r="AE184" s="262"/>
      <c r="AF184" s="250" t="s">
        <v>197</v>
      </c>
      <c r="AG184" s="262"/>
      <c r="AH184" s="262"/>
      <c r="AI184" s="180"/>
    </row>
    <row r="185" spans="1:35">
      <c r="A185" s="134">
        <f>B60</f>
        <v>10</v>
      </c>
      <c r="B185" s="133">
        <f>A179+B182*1.2</f>
        <v>2239.988</v>
      </c>
      <c r="C185" s="133"/>
      <c r="D185" s="262"/>
      <c r="E185" s="133">
        <f>IF(A40=0,(E167),(E170+A185))</f>
        <v>5020</v>
      </c>
      <c r="F185" s="262"/>
      <c r="G185" s="262"/>
      <c r="H185" s="141"/>
      <c r="J185" s="134">
        <f>K60</f>
        <v>20</v>
      </c>
      <c r="K185" s="133">
        <f>J179+K182</f>
        <v>1239.99</v>
      </c>
      <c r="L185" s="133"/>
      <c r="M185" s="262"/>
      <c r="N185" s="133">
        <f>N170+J185</f>
        <v>5030</v>
      </c>
      <c r="O185" s="262"/>
      <c r="P185" s="262"/>
      <c r="Q185" s="141"/>
      <c r="S185" s="134">
        <f>T60</f>
        <v>10</v>
      </c>
      <c r="T185" s="133">
        <f>S179+T182</f>
        <v>1199.99</v>
      </c>
      <c r="U185" s="133"/>
      <c r="V185" s="262"/>
      <c r="W185" s="133">
        <f>W170+S185</f>
        <v>5020</v>
      </c>
      <c r="X185" s="262"/>
      <c r="Y185" s="262"/>
      <c r="Z185" s="141"/>
      <c r="AB185" s="134">
        <f>AC60</f>
        <v>10</v>
      </c>
      <c r="AC185" s="133">
        <f>AB179+AC182</f>
        <v>1239.99</v>
      </c>
      <c r="AD185" s="133"/>
      <c r="AE185" s="262"/>
      <c r="AF185" s="133">
        <f>AF170+AB185</f>
        <v>5020</v>
      </c>
      <c r="AG185" s="262"/>
      <c r="AH185" s="262"/>
      <c r="AI185" s="141"/>
    </row>
    <row r="186" spans="1:35">
      <c r="A186" s="245"/>
      <c r="B186" s="250"/>
      <c r="C186" s="250"/>
      <c r="D186" s="250"/>
      <c r="E186" s="262"/>
      <c r="F186" s="262"/>
      <c r="G186" s="262"/>
      <c r="H186" s="180"/>
      <c r="J186" s="245"/>
      <c r="K186" s="250"/>
      <c r="L186" s="250"/>
      <c r="M186" s="250"/>
      <c r="N186" s="262"/>
      <c r="O186" s="262"/>
      <c r="P186" s="262"/>
      <c r="Q186" s="180"/>
      <c r="S186" s="245"/>
      <c r="T186" s="250"/>
      <c r="U186" s="250"/>
      <c r="V186" s="250"/>
      <c r="W186" s="262"/>
      <c r="X186" s="368"/>
      <c r="Y186" s="368"/>
      <c r="Z186" s="180"/>
      <c r="AB186" s="245"/>
      <c r="AC186" s="250"/>
      <c r="AD186" s="250"/>
      <c r="AE186" s="250"/>
      <c r="AF186" s="262"/>
      <c r="AG186" s="262"/>
      <c r="AH186" s="262"/>
      <c r="AI186" s="180"/>
    </row>
    <row r="187" spans="1:35">
      <c r="A187" s="245" t="s">
        <v>198</v>
      </c>
      <c r="B187" s="250" t="s">
        <v>199</v>
      </c>
      <c r="C187" s="250"/>
      <c r="D187" s="250"/>
      <c r="E187" s="105" t="s">
        <v>200</v>
      </c>
      <c r="F187" s="262"/>
      <c r="G187" s="262"/>
      <c r="H187" s="180"/>
      <c r="J187" s="245" t="s">
        <v>198</v>
      </c>
      <c r="K187" s="250" t="s">
        <v>199</v>
      </c>
      <c r="L187" s="250"/>
      <c r="M187" s="250"/>
      <c r="N187" s="105" t="s">
        <v>200</v>
      </c>
      <c r="O187" s="262"/>
      <c r="P187" s="262"/>
      <c r="Q187" s="180"/>
      <c r="S187" s="245" t="s">
        <v>198</v>
      </c>
      <c r="T187" s="250" t="s">
        <v>199</v>
      </c>
      <c r="U187" s="250"/>
      <c r="V187" s="250"/>
      <c r="W187" s="105" t="s">
        <v>200</v>
      </c>
      <c r="X187" s="368"/>
      <c r="Y187" s="368"/>
      <c r="Z187" s="180"/>
      <c r="AB187" s="245" t="s">
        <v>198</v>
      </c>
      <c r="AC187" s="250" t="s">
        <v>199</v>
      </c>
      <c r="AD187" s="250"/>
      <c r="AE187" s="250"/>
      <c r="AF187" s="105" t="s">
        <v>200</v>
      </c>
      <c r="AG187" s="368"/>
      <c r="AH187" s="368"/>
      <c r="AI187" s="180"/>
    </row>
    <row r="188" spans="1:35">
      <c r="A188" s="134">
        <f>IF(E105="YES",J18*0.000002,0)*100</f>
        <v>4.1856</v>
      </c>
      <c r="B188" s="133">
        <f>(G158*B67)/1.2</f>
        <v>187.84989375</v>
      </c>
      <c r="C188" s="250"/>
      <c r="D188" s="250"/>
      <c r="E188" s="133">
        <f>(E40*A108)*0.1*(C45/100)</f>
        <v>36.673</v>
      </c>
      <c r="F188" s="262"/>
      <c r="G188" s="262"/>
      <c r="H188" s="180"/>
      <c r="J188" s="134">
        <f>IF(N105="YES",H15*0.000002,0)</f>
        <v>0.042536</v>
      </c>
      <c r="K188" s="133">
        <f>(P158*K67)/1.2</f>
        <v>2250.73722569444</v>
      </c>
      <c r="L188" s="250"/>
      <c r="M188" s="250"/>
      <c r="N188" s="133">
        <f>(E40*J108)*0.1</f>
        <v>55.0095</v>
      </c>
      <c r="O188" s="262"/>
      <c r="P188" s="262"/>
      <c r="Q188" s="180"/>
      <c r="S188" s="134">
        <f>IF(W105="YES",Z15*0.000002,0)</f>
        <v>0</v>
      </c>
      <c r="T188" s="133">
        <f>(Y158*T67)/1.2</f>
        <v>181.209193576389</v>
      </c>
      <c r="U188" s="250"/>
      <c r="V188" s="250"/>
      <c r="W188" s="133">
        <f>(E40*S108)*0.1</f>
        <v>36.673</v>
      </c>
      <c r="X188" s="368"/>
      <c r="Y188" s="368"/>
      <c r="Z188" s="180"/>
      <c r="AB188" s="134">
        <f>IF(AF105="YES",AI15*0.000002,0)</f>
        <v>0</v>
      </c>
      <c r="AC188" s="133">
        <f>(AH158*AC67)/1.2</f>
        <v>140.628732638889</v>
      </c>
      <c r="AD188" s="250"/>
      <c r="AE188" s="250"/>
      <c r="AF188" s="133">
        <f>(E40*AB108)*0.1</f>
        <v>36.673</v>
      </c>
      <c r="AG188" s="368"/>
      <c r="AH188" s="368"/>
      <c r="AI188" s="180"/>
    </row>
    <row r="189" spans="1:35">
      <c r="A189" s="134"/>
      <c r="B189" s="133"/>
      <c r="C189" s="250"/>
      <c r="D189" s="250"/>
      <c r="E189" s="262"/>
      <c r="F189" s="262"/>
      <c r="G189" s="262"/>
      <c r="H189" s="180"/>
      <c r="J189" s="134"/>
      <c r="K189" s="133"/>
      <c r="L189" s="250"/>
      <c r="M189" s="250"/>
      <c r="N189" s="262"/>
      <c r="O189" s="262"/>
      <c r="P189" s="262"/>
      <c r="Q189" s="180"/>
      <c r="S189" s="134"/>
      <c r="T189" s="133"/>
      <c r="U189" s="250"/>
      <c r="V189" s="250"/>
      <c r="W189" s="262"/>
      <c r="X189" s="368"/>
      <c r="Y189" s="368"/>
      <c r="Z189" s="180"/>
      <c r="AB189" s="134"/>
      <c r="AC189" s="133"/>
      <c r="AD189" s="250"/>
      <c r="AE189" s="250"/>
      <c r="AF189" s="262"/>
      <c r="AG189" s="368"/>
      <c r="AH189" s="368"/>
      <c r="AI189" s="180"/>
    </row>
    <row r="190" spans="1:35">
      <c r="A190" s="137" t="s">
        <v>201</v>
      </c>
      <c r="B190" s="105" t="s">
        <v>202</v>
      </c>
      <c r="C190" s="250"/>
      <c r="D190" s="250"/>
      <c r="E190" s="105" t="s">
        <v>203</v>
      </c>
      <c r="F190" s="262"/>
      <c r="G190" s="262"/>
      <c r="H190" s="180"/>
      <c r="J190" s="137" t="s">
        <v>201</v>
      </c>
      <c r="K190" s="105" t="s">
        <v>202</v>
      </c>
      <c r="L190" s="250"/>
      <c r="M190" s="250"/>
      <c r="N190" s="105" t="s">
        <v>203</v>
      </c>
      <c r="O190" s="262"/>
      <c r="P190" s="262"/>
      <c r="Q190" s="180"/>
      <c r="S190" s="137" t="s">
        <v>201</v>
      </c>
      <c r="T190" s="105" t="s">
        <v>202</v>
      </c>
      <c r="U190" s="250"/>
      <c r="V190" s="250"/>
      <c r="W190" s="105" t="s">
        <v>203</v>
      </c>
      <c r="X190" s="368"/>
      <c r="Y190" s="368"/>
      <c r="Z190" s="180"/>
      <c r="AB190" s="137" t="s">
        <v>201</v>
      </c>
      <c r="AC190" s="105" t="s">
        <v>202</v>
      </c>
      <c r="AD190" s="250"/>
      <c r="AE190" s="250"/>
      <c r="AF190" s="105" t="s">
        <v>203</v>
      </c>
      <c r="AG190" s="368"/>
      <c r="AH190" s="368"/>
      <c r="AI190" s="180"/>
    </row>
    <row r="191" spans="1:35">
      <c r="A191" s="134">
        <f>B182-100</f>
        <v>99.99</v>
      </c>
      <c r="B191" s="133">
        <f>B188+E188+A191</f>
        <v>324.51289375</v>
      </c>
      <c r="C191" s="250"/>
      <c r="D191" s="250"/>
      <c r="E191" s="133">
        <f>H148</f>
        <v>3544.67</v>
      </c>
      <c r="F191" s="262"/>
      <c r="G191" s="262"/>
      <c r="H191" s="180"/>
      <c r="J191" s="134">
        <f>K185-100</f>
        <v>1139.99</v>
      </c>
      <c r="K191" s="133">
        <f>K188+N188+J191</f>
        <v>3445.73672569444</v>
      </c>
      <c r="L191" s="250"/>
      <c r="M191" s="250"/>
      <c r="N191" s="133">
        <f>Q148</f>
        <v>14251.004</v>
      </c>
      <c r="O191" s="262"/>
      <c r="P191" s="262"/>
      <c r="Q191" s="180"/>
      <c r="S191" s="134">
        <f>T185-100</f>
        <v>1099.99</v>
      </c>
      <c r="T191" s="133">
        <f>T188+W188+S191</f>
        <v>1317.87219357639</v>
      </c>
      <c r="U191" s="250"/>
      <c r="V191" s="250"/>
      <c r="W191" s="133">
        <f>Z148</f>
        <v>-60.2350000000006</v>
      </c>
      <c r="X191" s="368"/>
      <c r="Y191" s="368"/>
      <c r="Z191" s="180"/>
      <c r="AB191" s="134">
        <f>AC185-100</f>
        <v>1139.99</v>
      </c>
      <c r="AC191" s="133">
        <f>AC188+AF188+AB191</f>
        <v>1317.29173263889</v>
      </c>
      <c r="AD191" s="250"/>
      <c r="AE191" s="250"/>
      <c r="AF191" s="133">
        <f>AI148</f>
        <v>-5033.5</v>
      </c>
      <c r="AG191" s="368"/>
      <c r="AH191" s="368"/>
      <c r="AI191" s="180"/>
    </row>
    <row r="192" spans="1:35">
      <c r="A192" s="245"/>
      <c r="B192" s="250"/>
      <c r="C192" s="250"/>
      <c r="D192" s="250"/>
      <c r="E192" s="262"/>
      <c r="F192" s="262"/>
      <c r="G192" s="262"/>
      <c r="H192" s="180"/>
      <c r="J192" s="245"/>
      <c r="K192" s="250"/>
      <c r="L192" s="250"/>
      <c r="M192" s="250"/>
      <c r="N192" s="262"/>
      <c r="O192" s="262"/>
      <c r="P192" s="262"/>
      <c r="Q192" s="180"/>
      <c r="S192" s="245"/>
      <c r="T192" s="250"/>
      <c r="U192" s="250"/>
      <c r="V192" s="250"/>
      <c r="W192" s="262"/>
      <c r="X192" s="262"/>
      <c r="Y192" s="262"/>
      <c r="Z192" s="180"/>
      <c r="AB192" s="245"/>
      <c r="AC192" s="250"/>
      <c r="AD192" s="250"/>
      <c r="AE192" s="250"/>
      <c r="AF192" s="262"/>
      <c r="AG192" s="262"/>
      <c r="AH192" s="262"/>
      <c r="AI192" s="180"/>
    </row>
    <row r="193" spans="1:35">
      <c r="A193" s="282" t="s">
        <v>204</v>
      </c>
      <c r="B193" s="250"/>
      <c r="C193" s="250"/>
      <c r="D193" s="283"/>
      <c r="E193" s="283"/>
      <c r="F193" s="283"/>
      <c r="G193" s="283"/>
      <c r="H193" s="284"/>
      <c r="J193" s="282" t="s">
        <v>204</v>
      </c>
      <c r="K193" s="250"/>
      <c r="L193" s="250"/>
      <c r="M193" s="283"/>
      <c r="N193" s="283"/>
      <c r="O193" s="283"/>
      <c r="P193" s="283"/>
      <c r="Q193" s="284"/>
      <c r="S193" s="282" t="s">
        <v>204</v>
      </c>
      <c r="T193" s="250"/>
      <c r="U193" s="250"/>
      <c r="V193" s="283"/>
      <c r="W193" s="283"/>
      <c r="X193" s="283"/>
      <c r="Y193" s="283"/>
      <c r="Z193" s="284"/>
      <c r="AB193" s="282" t="s">
        <v>204</v>
      </c>
      <c r="AC193" s="250"/>
      <c r="AD193" s="250"/>
      <c r="AE193" s="283"/>
      <c r="AF193" s="283"/>
      <c r="AG193" s="283"/>
      <c r="AH193" s="283"/>
      <c r="AI193" s="284"/>
    </row>
    <row r="194" spans="1:35">
      <c r="A194" s="245"/>
      <c r="B194" s="285"/>
      <c r="C194" s="285"/>
      <c r="D194" s="250"/>
      <c r="E194" s="262"/>
      <c r="F194" s="262"/>
      <c r="G194" s="262"/>
      <c r="H194" s="180"/>
      <c r="J194" s="245"/>
      <c r="K194" s="285"/>
      <c r="L194" s="285"/>
      <c r="M194" s="250"/>
      <c r="N194" s="262"/>
      <c r="O194" s="262"/>
      <c r="P194" s="262"/>
      <c r="Q194" s="180"/>
      <c r="S194" s="245"/>
      <c r="T194" s="285"/>
      <c r="U194" s="285"/>
      <c r="V194" s="250"/>
      <c r="W194" s="262"/>
      <c r="X194" s="262"/>
      <c r="Y194" s="262"/>
      <c r="Z194" s="180"/>
      <c r="AB194" s="245"/>
      <c r="AC194" s="285"/>
      <c r="AD194" s="285"/>
      <c r="AE194" s="250"/>
      <c r="AF194" s="262"/>
      <c r="AG194" s="262"/>
      <c r="AH194" s="262"/>
      <c r="AI194" s="180"/>
    </row>
    <row r="195" ht="21" spans="1:35">
      <c r="A195" s="286" t="s">
        <v>83</v>
      </c>
      <c r="B195" s="287" t="s">
        <v>84</v>
      </c>
      <c r="C195" s="287"/>
      <c r="D195" s="287"/>
      <c r="E195" s="262"/>
      <c r="F195" s="262"/>
      <c r="G195" s="262"/>
      <c r="H195" s="180"/>
      <c r="J195" s="286" t="s">
        <v>83</v>
      </c>
      <c r="K195" s="287" t="s">
        <v>84</v>
      </c>
      <c r="L195" s="287"/>
      <c r="M195" s="287"/>
      <c r="N195" s="262"/>
      <c r="O195" s="262"/>
      <c r="P195" s="262"/>
      <c r="Q195" s="180"/>
      <c r="S195" s="286" t="s">
        <v>83</v>
      </c>
      <c r="T195" s="287" t="s">
        <v>84</v>
      </c>
      <c r="U195" s="287"/>
      <c r="V195" s="287"/>
      <c r="W195" s="262"/>
      <c r="X195" s="262"/>
      <c r="Y195" s="262"/>
      <c r="Z195" s="180"/>
      <c r="AB195" s="286" t="s">
        <v>83</v>
      </c>
      <c r="AC195" s="287" t="s">
        <v>84</v>
      </c>
      <c r="AD195" s="287"/>
      <c r="AE195" s="287"/>
      <c r="AF195" s="262"/>
      <c r="AG195" s="262"/>
      <c r="AH195" s="262"/>
      <c r="AI195" s="180"/>
    </row>
    <row r="196" ht="19.5" customHeight="1" spans="1:35">
      <c r="A196" s="286"/>
      <c r="B196" s="288">
        <f>K30</f>
        <v>35000</v>
      </c>
      <c r="C196" s="288"/>
      <c r="D196" s="288"/>
      <c r="E196" s="262"/>
      <c r="F196" s="262"/>
      <c r="G196" s="262"/>
      <c r="H196" s="180"/>
      <c r="J196" s="286"/>
      <c r="K196" s="288">
        <f>K30</f>
        <v>35000</v>
      </c>
      <c r="L196" s="288"/>
      <c r="M196" s="288"/>
      <c r="N196" s="262"/>
      <c r="O196" s="262"/>
      <c r="P196" s="262"/>
      <c r="Q196" s="180"/>
      <c r="S196" s="286"/>
      <c r="T196" s="288">
        <f>K30</f>
        <v>35000</v>
      </c>
      <c r="U196" s="288"/>
      <c r="V196" s="288"/>
      <c r="W196" s="262"/>
      <c r="X196" s="262"/>
      <c r="Y196" s="262"/>
      <c r="Z196" s="180"/>
      <c r="AB196" s="286"/>
      <c r="AC196" s="288">
        <f>K30</f>
        <v>35000</v>
      </c>
      <c r="AD196" s="288"/>
      <c r="AE196" s="288"/>
      <c r="AF196" s="262"/>
      <c r="AG196" s="262"/>
      <c r="AH196" s="262"/>
      <c r="AI196" s="180"/>
    </row>
    <row r="197" ht="19.5" spans="1:35">
      <c r="A197" s="289">
        <f>K29</f>
        <v>35</v>
      </c>
      <c r="B197" s="71">
        <f>B96</f>
        <v>704.134379964694</v>
      </c>
      <c r="C197" s="71"/>
      <c r="D197" s="71"/>
      <c r="E197" s="262"/>
      <c r="F197" s="262"/>
      <c r="G197" s="262"/>
      <c r="H197" s="180"/>
      <c r="J197" s="289">
        <f>K29</f>
        <v>35</v>
      </c>
      <c r="K197" s="71">
        <f>K96</f>
        <v>1542.56923744584</v>
      </c>
      <c r="L197" s="71"/>
      <c r="M197" s="71"/>
      <c r="N197" s="262"/>
      <c r="O197" s="262"/>
      <c r="P197" s="262"/>
      <c r="Q197" s="180"/>
      <c r="S197" s="289">
        <f>K29</f>
        <v>35</v>
      </c>
      <c r="T197" s="71">
        <f>T96</f>
        <v>728.938383284438</v>
      </c>
      <c r="U197" s="71"/>
      <c r="V197" s="71"/>
      <c r="W197" s="262"/>
      <c r="X197" s="262"/>
      <c r="Y197" s="262"/>
      <c r="Z197" s="180"/>
      <c r="AB197" s="289">
        <f>K29</f>
        <v>35</v>
      </c>
      <c r="AC197" s="71">
        <f>AC96</f>
        <v>566.000213056765</v>
      </c>
      <c r="AD197" s="71"/>
      <c r="AE197" s="71"/>
      <c r="AF197" s="262"/>
      <c r="AG197" s="262"/>
      <c r="AH197" s="262"/>
      <c r="AI197" s="180"/>
    </row>
    <row r="198" spans="1:35">
      <c r="A198" s="245"/>
      <c r="B198" s="250"/>
      <c r="C198" s="250"/>
      <c r="D198" s="250"/>
      <c r="E198" s="262"/>
      <c r="F198" s="262"/>
      <c r="G198" s="262"/>
      <c r="H198" s="180"/>
      <c r="J198" s="245"/>
      <c r="K198" s="250"/>
      <c r="L198" s="250"/>
      <c r="M198" s="250"/>
      <c r="N198" s="262"/>
      <c r="O198" s="262"/>
      <c r="P198" s="262"/>
      <c r="Q198" s="180"/>
      <c r="S198" s="245"/>
      <c r="T198" s="250"/>
      <c r="U198" s="250"/>
      <c r="V198" s="250"/>
      <c r="W198" s="262"/>
      <c r="X198" s="262"/>
      <c r="Y198" s="262"/>
      <c r="Z198" s="180"/>
      <c r="AB198" s="245"/>
      <c r="AC198" s="250"/>
      <c r="AD198" s="250"/>
      <c r="AE198" s="250"/>
      <c r="AF198" s="262"/>
      <c r="AG198" s="262"/>
      <c r="AH198" s="262"/>
      <c r="AI198" s="180"/>
    </row>
    <row r="199" spans="1:35">
      <c r="A199" s="245"/>
      <c r="B199" s="250"/>
      <c r="C199" s="250"/>
      <c r="D199" s="250"/>
      <c r="E199" s="262"/>
      <c r="F199" s="262"/>
      <c r="G199" s="262"/>
      <c r="H199" s="180"/>
      <c r="J199" s="245"/>
      <c r="K199" s="250"/>
      <c r="L199" s="250"/>
      <c r="M199" s="250"/>
      <c r="N199" s="262"/>
      <c r="O199" s="262"/>
      <c r="P199" s="262"/>
      <c r="Q199" s="180"/>
      <c r="S199" s="245"/>
      <c r="T199" s="250"/>
      <c r="U199" s="250"/>
      <c r="V199" s="250"/>
      <c r="W199" s="262"/>
      <c r="X199" s="262"/>
      <c r="Y199" s="262"/>
      <c r="Z199" s="180"/>
      <c r="AB199" s="245"/>
      <c r="AC199" s="250"/>
      <c r="AD199" s="250"/>
      <c r="AE199" s="250"/>
      <c r="AF199" s="262"/>
      <c r="AG199" s="262"/>
      <c r="AH199" s="262"/>
      <c r="AI199" s="180"/>
    </row>
    <row r="200" spans="1:35">
      <c r="A200" s="245" t="s">
        <v>205</v>
      </c>
      <c r="B200" s="250" t="s">
        <v>206</v>
      </c>
      <c r="C200" s="250"/>
      <c r="D200" s="250"/>
      <c r="E200" s="262"/>
      <c r="F200" s="262"/>
      <c r="G200" s="262"/>
      <c r="H200" s="180"/>
      <c r="J200" s="245"/>
      <c r="K200" s="250"/>
      <c r="L200" s="250"/>
      <c r="M200" s="250"/>
      <c r="N200" s="262"/>
      <c r="O200" s="262"/>
      <c r="P200" s="262"/>
      <c r="Q200" s="180"/>
      <c r="S200" s="245"/>
      <c r="T200" s="250"/>
      <c r="U200" s="250"/>
      <c r="V200" s="250"/>
      <c r="W200" s="262"/>
      <c r="X200" s="262"/>
      <c r="Y200" s="262"/>
      <c r="Z200" s="180"/>
      <c r="AB200" s="245"/>
      <c r="AC200" s="250"/>
      <c r="AD200" s="250"/>
      <c r="AE200" s="250"/>
      <c r="AF200" s="262"/>
      <c r="AG200" s="262"/>
      <c r="AH200" s="262"/>
      <c r="AI200" s="180"/>
    </row>
    <row r="201" spans="1:35">
      <c r="A201" s="267">
        <f>IF(A40=0,((G167*(B59+1))-E179),((G167*B59)+E185-E179-A185))</f>
        <v>2705.276</v>
      </c>
      <c r="B201" s="272">
        <f>E179+A201+(B182*1.2)+A185</f>
        <v>25976.868</v>
      </c>
      <c r="C201" s="250"/>
      <c r="D201" s="250"/>
      <c r="E201" s="262"/>
      <c r="F201" s="262"/>
      <c r="G201" s="262"/>
      <c r="H201" s="180"/>
      <c r="J201" s="245"/>
      <c r="K201" s="250"/>
      <c r="L201" s="250"/>
      <c r="M201" s="250"/>
      <c r="N201" s="262"/>
      <c r="O201" s="262"/>
      <c r="P201" s="262"/>
      <c r="Q201" s="180"/>
      <c r="S201" s="245"/>
      <c r="T201" s="250"/>
      <c r="U201" s="250"/>
      <c r="V201" s="250"/>
      <c r="W201" s="262"/>
      <c r="X201" s="262"/>
      <c r="Y201" s="262"/>
      <c r="Z201" s="180"/>
      <c r="AB201" s="245"/>
      <c r="AC201" s="250"/>
      <c r="AD201" s="250"/>
      <c r="AE201" s="250"/>
      <c r="AF201" s="262"/>
      <c r="AG201" s="262"/>
      <c r="AH201" s="262"/>
      <c r="AI201" s="180"/>
    </row>
    <row r="202" ht="19.5" spans="1:35">
      <c r="A202" s="275"/>
      <c r="B202" s="276"/>
      <c r="C202" s="276"/>
      <c r="D202" s="276"/>
      <c r="E202" s="276"/>
      <c r="F202" s="276"/>
      <c r="G202" s="276"/>
      <c r="H202" s="281"/>
      <c r="J202" s="275"/>
      <c r="K202" s="276"/>
      <c r="L202" s="276"/>
      <c r="M202" s="276"/>
      <c r="N202" s="276"/>
      <c r="O202" s="276"/>
      <c r="P202" s="276"/>
      <c r="Q202" s="281"/>
      <c r="S202" s="275"/>
      <c r="T202" s="276"/>
      <c r="U202" s="276"/>
      <c r="V202" s="276"/>
      <c r="W202" s="276"/>
      <c r="X202" s="276"/>
      <c r="Y202" s="276"/>
      <c r="Z202" s="281"/>
      <c r="AB202" s="275"/>
      <c r="AC202" s="276"/>
      <c r="AD202" s="276"/>
      <c r="AE202" s="276"/>
      <c r="AF202" s="276"/>
      <c r="AG202" s="276"/>
      <c r="AH202" s="276"/>
      <c r="AI202" s="281"/>
    </row>
    <row r="206" ht="24" spans="1:8">
      <c r="A206" s="369" t="s">
        <v>182</v>
      </c>
      <c r="B206" s="369"/>
      <c r="C206" s="369"/>
      <c r="D206" s="369"/>
      <c r="E206" s="369"/>
      <c r="F206" s="369"/>
      <c r="G206" s="369"/>
      <c r="H206" s="369"/>
    </row>
    <row r="207" ht="19.5" spans="1:8">
      <c r="A207" s="245"/>
      <c r="B207" s="250"/>
      <c r="C207" s="250"/>
      <c r="D207" s="250"/>
      <c r="E207" s="291"/>
      <c r="F207" s="291"/>
      <c r="G207" s="291"/>
      <c r="H207" s="180"/>
    </row>
    <row r="208" spans="1:8">
      <c r="A208" s="370" t="s">
        <v>127</v>
      </c>
      <c r="B208" s="371" t="s">
        <v>39</v>
      </c>
      <c r="C208" s="371"/>
      <c r="D208" s="371"/>
      <c r="E208" s="371" t="s">
        <v>40</v>
      </c>
      <c r="F208" s="372"/>
      <c r="G208" s="291"/>
      <c r="H208" s="180"/>
    </row>
    <row r="209" spans="1:8">
      <c r="A209" s="373" t="s">
        <v>207</v>
      </c>
      <c r="B209" s="365">
        <f>A197</f>
        <v>35</v>
      </c>
      <c r="C209" s="365"/>
      <c r="D209" s="365"/>
      <c r="E209" s="365">
        <f>B196</f>
        <v>35000</v>
      </c>
      <c r="F209" s="372"/>
      <c r="G209" s="291"/>
      <c r="H209" s="180"/>
    </row>
    <row r="210" spans="1:8">
      <c r="A210" s="245"/>
      <c r="B210" s="250"/>
      <c r="C210" s="250"/>
      <c r="D210" s="250"/>
      <c r="E210" s="291"/>
      <c r="F210" s="291"/>
      <c r="G210" s="291"/>
      <c r="H210" s="180"/>
    </row>
    <row r="211" spans="1:8">
      <c r="A211" s="370" t="s">
        <v>184</v>
      </c>
      <c r="B211" s="371" t="s">
        <v>185</v>
      </c>
      <c r="C211" s="371"/>
      <c r="D211" s="371"/>
      <c r="E211" s="371" t="s">
        <v>186</v>
      </c>
      <c r="F211" s="291"/>
      <c r="G211" s="291"/>
      <c r="H211" s="180"/>
    </row>
    <row r="212" spans="1:8">
      <c r="A212" s="366">
        <f>A167</f>
        <v>639.417321141164</v>
      </c>
      <c r="B212" s="126">
        <f>B167</f>
        <v>64.7170588235294</v>
      </c>
      <c r="C212" s="365"/>
      <c r="D212" s="365"/>
      <c r="E212" s="126">
        <f>E167</f>
        <v>704.134379964694</v>
      </c>
      <c r="F212" s="291"/>
      <c r="G212" s="291"/>
      <c r="H212" s="180"/>
    </row>
    <row r="213" spans="1:8">
      <c r="A213" s="245"/>
      <c r="B213" s="250"/>
      <c r="C213" s="250"/>
      <c r="D213" s="250"/>
      <c r="E213" s="291"/>
      <c r="F213" s="291"/>
      <c r="G213" s="291"/>
      <c r="H213" s="180"/>
    </row>
    <row r="214" spans="1:8">
      <c r="A214" s="245" t="s">
        <v>189</v>
      </c>
      <c r="B214" s="250" t="s">
        <v>190</v>
      </c>
      <c r="C214" s="250"/>
      <c r="D214" s="291"/>
      <c r="E214" s="250" t="s">
        <v>191</v>
      </c>
      <c r="F214" s="291"/>
      <c r="G214" s="291"/>
      <c r="H214" s="180"/>
    </row>
    <row r="215" spans="1:8">
      <c r="A215" s="132">
        <f>A173</f>
        <v>20984.67</v>
      </c>
      <c r="B215" s="133">
        <f>B173</f>
        <v>4196.934</v>
      </c>
      <c r="C215" s="272"/>
      <c r="D215" s="291"/>
      <c r="E215" s="274">
        <f>E173</f>
        <v>340</v>
      </c>
      <c r="F215" s="291"/>
      <c r="G215" s="291"/>
      <c r="H215" s="180"/>
    </row>
    <row r="216" spans="1:8">
      <c r="A216" s="245"/>
      <c r="B216" s="250"/>
      <c r="C216" s="250"/>
      <c r="D216" s="291"/>
      <c r="E216" s="250"/>
      <c r="F216" s="291"/>
      <c r="G216" s="291"/>
      <c r="H216" s="180"/>
    </row>
    <row r="217" spans="1:8">
      <c r="A217" s="245" t="s">
        <v>192</v>
      </c>
      <c r="B217" s="250" t="s">
        <v>138</v>
      </c>
      <c r="C217" s="250"/>
      <c r="D217" s="291"/>
      <c r="E217" s="250" t="s">
        <v>139</v>
      </c>
      <c r="F217" s="291"/>
      <c r="G217" s="291"/>
      <c r="H217" s="180"/>
    </row>
    <row r="218" spans="1:8">
      <c r="A218" s="132">
        <f>A176</f>
        <v>25521.604</v>
      </c>
      <c r="B218" s="133">
        <f>B176</f>
        <v>1000</v>
      </c>
      <c r="C218" s="133"/>
      <c r="D218" s="291"/>
      <c r="E218" s="133">
        <f>E176</f>
        <v>1000</v>
      </c>
      <c r="F218" s="291"/>
      <c r="G218" s="291"/>
      <c r="H218" s="141"/>
    </row>
    <row r="219" spans="1:8">
      <c r="A219" s="245"/>
      <c r="B219" s="250"/>
      <c r="C219" s="250"/>
      <c r="D219" s="291"/>
      <c r="E219" s="250"/>
      <c r="F219" s="291"/>
      <c r="G219" s="291"/>
      <c r="H219" s="180"/>
    </row>
    <row r="220" spans="1:8">
      <c r="A220" s="245" t="s">
        <v>140</v>
      </c>
      <c r="B220" s="250" t="s">
        <v>176</v>
      </c>
      <c r="C220" s="250"/>
      <c r="D220" s="291"/>
      <c r="E220" s="250" t="s">
        <v>181</v>
      </c>
      <c r="F220" s="291"/>
      <c r="G220" s="291"/>
      <c r="H220" s="180"/>
    </row>
    <row r="221" spans="1:8">
      <c r="A221" s="134">
        <f>A179</f>
        <v>2000</v>
      </c>
      <c r="B221" s="133">
        <f>B179</f>
        <v>500</v>
      </c>
      <c r="C221" s="133"/>
      <c r="D221" s="291"/>
      <c r="E221" s="133">
        <f>E179</f>
        <v>23021.604</v>
      </c>
      <c r="F221" s="291"/>
      <c r="G221" s="291"/>
      <c r="H221" s="141"/>
    </row>
    <row r="222" spans="1:8">
      <c r="A222" s="245"/>
      <c r="B222" s="250"/>
      <c r="C222" s="250"/>
      <c r="D222" s="291"/>
      <c r="E222" s="250"/>
      <c r="F222" s="291"/>
      <c r="G222" s="291"/>
      <c r="H222" s="180"/>
    </row>
    <row r="223" spans="1:8">
      <c r="A223" s="245" t="s">
        <v>193</v>
      </c>
      <c r="B223" s="250" t="s">
        <v>53</v>
      </c>
      <c r="C223" s="250"/>
      <c r="D223" s="291"/>
      <c r="E223" s="250" t="s">
        <v>194</v>
      </c>
      <c r="F223" s="291"/>
      <c r="G223" s="291"/>
      <c r="H223" s="180"/>
    </row>
    <row r="224" spans="1:8">
      <c r="A224" s="134">
        <f>A182</f>
        <v>3728.58491879959</v>
      </c>
      <c r="B224" s="133" t="str">
        <f>B182</f>
        <v>199.99</v>
      </c>
      <c r="C224" s="133"/>
      <c r="D224" s="291"/>
      <c r="E224" s="133">
        <f>E182</f>
        <v>27000.1769187996</v>
      </c>
      <c r="F224" s="291"/>
      <c r="G224" s="291"/>
      <c r="H224" s="141"/>
    </row>
    <row r="225" spans="1:8">
      <c r="A225" s="245"/>
      <c r="B225" s="250"/>
      <c r="C225" s="250"/>
      <c r="D225" s="291"/>
      <c r="E225" s="250"/>
      <c r="F225" s="291"/>
      <c r="G225" s="291"/>
      <c r="H225" s="180"/>
    </row>
    <row r="226" spans="1:8">
      <c r="A226" s="245" t="s">
        <v>195</v>
      </c>
      <c r="B226" s="250" t="s">
        <v>196</v>
      </c>
      <c r="C226" s="250"/>
      <c r="D226" s="291"/>
      <c r="E226" s="250" t="s">
        <v>208</v>
      </c>
      <c r="F226" s="291"/>
      <c r="G226" s="291"/>
      <c r="H226" s="180"/>
    </row>
    <row r="227" spans="1:8">
      <c r="A227" s="134">
        <f>A185</f>
        <v>10</v>
      </c>
      <c r="B227" s="133">
        <f>B185</f>
        <v>2239.988</v>
      </c>
      <c r="C227" s="133"/>
      <c r="D227" s="291"/>
      <c r="E227" s="133">
        <f>B59</f>
        <v>34</v>
      </c>
      <c r="F227" s="291"/>
      <c r="G227" s="291"/>
      <c r="H227" s="141"/>
    </row>
    <row r="228" spans="1:8">
      <c r="A228" s="245"/>
      <c r="B228" s="250"/>
      <c r="C228" s="250"/>
      <c r="D228" s="250"/>
      <c r="E228" s="291"/>
      <c r="F228" s="291"/>
      <c r="G228" s="291"/>
      <c r="H228" s="180"/>
    </row>
    <row r="229" spans="1:8">
      <c r="A229" s="245" t="s">
        <v>184</v>
      </c>
      <c r="B229" s="250" t="s">
        <v>185</v>
      </c>
      <c r="C229" s="250"/>
      <c r="D229" s="250"/>
      <c r="E229" s="250" t="s">
        <v>186</v>
      </c>
      <c r="F229" s="291"/>
      <c r="G229" s="291"/>
      <c r="H229" s="180"/>
    </row>
    <row r="230" spans="1:8">
      <c r="A230" s="134">
        <f>A167</f>
        <v>639.417321141164</v>
      </c>
      <c r="B230" s="133">
        <f>B167</f>
        <v>64.7170588235294</v>
      </c>
      <c r="C230" s="272"/>
      <c r="D230" s="272"/>
      <c r="E230" s="133">
        <f>E167</f>
        <v>704.134379964694</v>
      </c>
      <c r="F230" s="291"/>
      <c r="G230" s="291"/>
      <c r="H230" s="180"/>
    </row>
    <row r="231" spans="1:8">
      <c r="A231" s="245"/>
      <c r="B231" s="250"/>
      <c r="C231" s="250"/>
      <c r="D231" s="250"/>
      <c r="E231" s="291"/>
      <c r="F231" s="291"/>
      <c r="G231" s="291"/>
      <c r="H231" s="180"/>
    </row>
    <row r="232" spans="1:8">
      <c r="A232" s="245" t="s">
        <v>209</v>
      </c>
      <c r="B232" s="250" t="s">
        <v>210</v>
      </c>
      <c r="C232" s="250"/>
      <c r="D232" s="250"/>
      <c r="E232" s="250" t="s">
        <v>67</v>
      </c>
      <c r="F232" s="291"/>
      <c r="G232" s="291"/>
      <c r="H232" s="180"/>
    </row>
    <row r="233" spans="1:8">
      <c r="A233" s="134">
        <f>E170</f>
        <v>5010</v>
      </c>
      <c r="B233" s="133">
        <f>E185</f>
        <v>5020</v>
      </c>
      <c r="C233" s="250"/>
      <c r="D233" s="250"/>
      <c r="E233" s="133">
        <f>J18*0.000006*100</f>
        <v>12.5568</v>
      </c>
      <c r="F233" s="291"/>
      <c r="G233" s="291"/>
      <c r="H233" s="180"/>
    </row>
    <row r="234" spans="1:8">
      <c r="A234" s="134"/>
      <c r="B234" s="133"/>
      <c r="C234" s="250"/>
      <c r="D234" s="250"/>
      <c r="E234" s="133"/>
      <c r="F234" s="291"/>
      <c r="G234" s="291"/>
      <c r="H234" s="180"/>
    </row>
    <row r="235" spans="1:8">
      <c r="A235" s="137" t="s">
        <v>211</v>
      </c>
      <c r="B235" s="105" t="s">
        <v>73</v>
      </c>
      <c r="C235" s="250"/>
      <c r="D235" s="250"/>
      <c r="E235" s="105" t="s">
        <v>132</v>
      </c>
      <c r="F235" s="291"/>
      <c r="G235" s="291"/>
      <c r="H235" s="180"/>
    </row>
    <row r="236" spans="1:8">
      <c r="A236" s="134">
        <f>IF(E105="YES",J18*0.000002,0)*100</f>
        <v>4.1856</v>
      </c>
      <c r="B236" s="133">
        <f>E233+A236</f>
        <v>16.7424</v>
      </c>
      <c r="C236" s="250"/>
      <c r="D236" s="250"/>
      <c r="E236" s="133"/>
      <c r="F236" s="291"/>
      <c r="G236" s="291"/>
      <c r="H236" s="180"/>
    </row>
    <row r="237" spans="1:8">
      <c r="A237" s="134"/>
      <c r="B237" s="133"/>
      <c r="C237" s="250"/>
      <c r="D237" s="250"/>
      <c r="E237" s="133"/>
      <c r="F237" s="291"/>
      <c r="G237" s="291"/>
      <c r="H237" s="180"/>
    </row>
    <row r="238" ht="24" spans="1:8">
      <c r="A238" s="374" t="s">
        <v>212</v>
      </c>
      <c r="B238" s="374"/>
      <c r="C238" s="374"/>
      <c r="D238" s="374"/>
      <c r="E238" s="374"/>
      <c r="F238" s="374"/>
      <c r="G238" s="374"/>
      <c r="H238" s="374"/>
    </row>
    <row r="239" spans="1:8">
      <c r="A239" s="245" t="s">
        <v>213</v>
      </c>
      <c r="B239" s="250" t="s">
        <v>199</v>
      </c>
      <c r="C239" s="250"/>
      <c r="D239" s="250"/>
      <c r="E239" s="105" t="s">
        <v>200</v>
      </c>
      <c r="F239" s="291"/>
      <c r="G239" s="291"/>
      <c r="H239" s="180"/>
    </row>
    <row r="240" spans="1:8">
      <c r="A240" s="134">
        <f>H148</f>
        <v>3544.67</v>
      </c>
      <c r="B240" s="133">
        <f>B68</f>
        <v>187.84989375</v>
      </c>
      <c r="C240" s="250"/>
      <c r="D240" s="250"/>
      <c r="E240" s="133">
        <f>E188</f>
        <v>36.673</v>
      </c>
      <c r="F240" s="291"/>
      <c r="G240" s="291"/>
      <c r="H240" s="180"/>
    </row>
    <row r="241" spans="1:8">
      <c r="A241" s="134"/>
      <c r="B241" s="133"/>
      <c r="C241" s="250"/>
      <c r="D241" s="250"/>
      <c r="E241" s="291"/>
      <c r="F241" s="291"/>
      <c r="G241" s="291"/>
      <c r="H241" s="180"/>
    </row>
    <row r="242" spans="1:8">
      <c r="A242" s="137" t="s">
        <v>201</v>
      </c>
      <c r="B242" s="105" t="s">
        <v>202</v>
      </c>
      <c r="C242" s="250"/>
      <c r="D242" s="250"/>
      <c r="E242" s="105"/>
      <c r="F242" s="291"/>
      <c r="G242" s="291"/>
      <c r="H242" s="180"/>
    </row>
    <row r="243" spans="1:8">
      <c r="A243" s="134">
        <f>A191</f>
        <v>99.99</v>
      </c>
      <c r="B243" s="133">
        <f>B240+E240+A243+A240</f>
        <v>3869.18289375</v>
      </c>
      <c r="C243" s="250"/>
      <c r="D243" s="250"/>
      <c r="E243" s="133"/>
      <c r="F243" s="291"/>
      <c r="G243" s="291"/>
      <c r="H243" s="180"/>
    </row>
    <row r="244" spans="1:8">
      <c r="A244" s="245"/>
      <c r="B244" s="250"/>
      <c r="C244" s="250"/>
      <c r="D244" s="250"/>
      <c r="E244" s="291"/>
      <c r="F244" s="291"/>
      <c r="G244" s="291"/>
      <c r="H244" s="180"/>
    </row>
    <row r="245" ht="19.5" spans="1:8">
      <c r="A245" s="275"/>
      <c r="B245" s="276"/>
      <c r="C245" s="276"/>
      <c r="D245" s="276"/>
      <c r="E245" s="276"/>
      <c r="F245" s="276"/>
      <c r="G245" s="276"/>
      <c r="H245" s="281"/>
    </row>
    <row r="251" ht="24" spans="1:8">
      <c r="A251" s="369" t="s">
        <v>214</v>
      </c>
      <c r="B251" s="369"/>
      <c r="C251" s="369"/>
      <c r="D251" s="369"/>
      <c r="E251" s="369"/>
      <c r="F251" s="369"/>
      <c r="G251" s="369"/>
      <c r="H251" s="369"/>
    </row>
    <row r="252" ht="19.5" spans="1:8">
      <c r="A252" s="245"/>
      <c r="B252" s="368"/>
      <c r="C252" s="368"/>
      <c r="D252" s="368"/>
      <c r="E252" s="262"/>
      <c r="F252" s="262"/>
      <c r="G252" s="262"/>
      <c r="H252" s="180"/>
    </row>
    <row r="253" spans="1:8">
      <c r="A253" s="370" t="s">
        <v>215</v>
      </c>
      <c r="B253" s="375">
        <f>K35</f>
        <v>0.065</v>
      </c>
      <c r="C253" s="376"/>
      <c r="D253" s="377" t="s">
        <v>216</v>
      </c>
      <c r="E253" s="377"/>
      <c r="F253" s="375">
        <f>B83</f>
        <v>0.089</v>
      </c>
      <c r="G253" s="262"/>
      <c r="H253" s="180"/>
    </row>
    <row r="254" spans="1:8">
      <c r="A254" s="370" t="s">
        <v>217</v>
      </c>
      <c r="B254" s="378">
        <f>(E182-B182)-(B201-B182-A185)</f>
        <v>1033.3089187996</v>
      </c>
      <c r="C254" s="376"/>
      <c r="D254" s="377" t="s">
        <v>218</v>
      </c>
      <c r="E254" s="377"/>
      <c r="F254" s="378">
        <f>F261+F267+F269+B270+B271</f>
        <v>225.4198725</v>
      </c>
      <c r="G254" s="262"/>
      <c r="H254" s="180"/>
    </row>
    <row r="255" spans="1:8">
      <c r="A255" s="370" t="s">
        <v>219</v>
      </c>
      <c r="B255" s="378">
        <f>F262+B263</f>
        <v>466.72</v>
      </c>
      <c r="C255" s="376"/>
      <c r="D255" s="377" t="s">
        <v>220</v>
      </c>
      <c r="E255" s="377"/>
      <c r="F255" s="378">
        <f>(B254-F254)+B255</f>
        <v>1274.6090462996</v>
      </c>
      <c r="G255" s="262"/>
      <c r="H255" s="180"/>
    </row>
    <row r="256" ht="19.5" spans="1:8">
      <c r="A256" s="379"/>
      <c r="B256" s="377"/>
      <c r="C256" s="380"/>
      <c r="D256" s="380"/>
      <c r="E256" s="380"/>
      <c r="F256" s="380"/>
      <c r="G256" s="381"/>
      <c r="H256" s="382"/>
    </row>
    <row r="257" ht="19.5" spans="1:8">
      <c r="A257" s="245" t="s">
        <v>215</v>
      </c>
      <c r="B257" s="383">
        <f>B253</f>
        <v>0.065</v>
      </c>
      <c r="C257" s="376"/>
      <c r="D257" s="376"/>
      <c r="E257" s="376"/>
      <c r="F257" s="376"/>
      <c r="G257" s="262"/>
      <c r="H257" s="180"/>
    </row>
    <row r="258" ht="19.5" spans="1:8">
      <c r="A258" s="384"/>
      <c r="B258" s="385"/>
      <c r="C258" s="386"/>
      <c r="D258" s="386"/>
      <c r="E258" s="381"/>
      <c r="F258" s="381"/>
      <c r="G258" s="381"/>
      <c r="H258" s="382"/>
    </row>
    <row r="259" ht="19.5" spans="1:8">
      <c r="A259" s="245" t="s">
        <v>221</v>
      </c>
      <c r="B259" s="383">
        <f>B64</f>
        <v>0.024</v>
      </c>
      <c r="C259" s="368"/>
      <c r="D259" s="105" t="s">
        <v>222</v>
      </c>
      <c r="E259" s="105"/>
      <c r="F259" s="383">
        <v>0</v>
      </c>
      <c r="G259" s="262"/>
      <c r="H259" s="180"/>
    </row>
    <row r="260" ht="19.5" spans="1:8">
      <c r="A260" s="128" t="s">
        <v>216</v>
      </c>
      <c r="B260" s="387">
        <f>B83</f>
        <v>0.089</v>
      </c>
      <c r="C260" s="388"/>
      <c r="D260" s="105" t="s">
        <v>217</v>
      </c>
      <c r="E260" s="105"/>
      <c r="F260" s="389">
        <f>B254</f>
        <v>1033.3089187996</v>
      </c>
      <c r="G260" s="262"/>
      <c r="H260" s="180"/>
    </row>
    <row r="261" ht="19.5" spans="1:8">
      <c r="A261" s="245" t="s">
        <v>223</v>
      </c>
      <c r="B261" s="387">
        <f>B67</f>
        <v>0.00979166666666667</v>
      </c>
      <c r="C261" s="368"/>
      <c r="D261" s="105" t="s">
        <v>223</v>
      </c>
      <c r="E261" s="105"/>
      <c r="F261" s="144">
        <f>B68*1.2</f>
        <v>225.4198725</v>
      </c>
      <c r="G261" s="262"/>
      <c r="H261" s="180"/>
    </row>
    <row r="262" ht="19.5" spans="1:8">
      <c r="A262" s="245" t="s">
        <v>224</v>
      </c>
      <c r="B262" s="383">
        <f>A108</f>
        <v>0.2</v>
      </c>
      <c r="C262" s="368"/>
      <c r="D262" s="105" t="s">
        <v>224</v>
      </c>
      <c r="E262" s="105"/>
      <c r="F262" s="389">
        <f>E240*10</f>
        <v>366.73</v>
      </c>
      <c r="G262" s="262"/>
      <c r="H262" s="180"/>
    </row>
    <row r="263" spans="1:8">
      <c r="A263" s="245" t="s">
        <v>225</v>
      </c>
      <c r="B263" s="389">
        <f>A243</f>
        <v>99.99</v>
      </c>
      <c r="C263" s="368"/>
      <c r="D263" s="129" t="s">
        <v>220</v>
      </c>
      <c r="E263" s="129"/>
      <c r="F263" s="389">
        <f>(B254-F254)+B255</f>
        <v>1274.6090462996</v>
      </c>
      <c r="G263" s="262"/>
      <c r="H263" s="180"/>
    </row>
    <row r="264" spans="1:8">
      <c r="A264" s="134"/>
      <c r="B264" s="127"/>
      <c r="C264" s="368"/>
      <c r="D264" s="368"/>
      <c r="E264" s="127"/>
      <c r="F264" s="262"/>
      <c r="G264" s="262"/>
      <c r="H264" s="180"/>
    </row>
    <row r="265" ht="24" spans="1:8">
      <c r="A265" s="374" t="s">
        <v>226</v>
      </c>
      <c r="B265" s="374"/>
      <c r="C265" s="374"/>
      <c r="D265" s="374"/>
      <c r="E265" s="374"/>
      <c r="F265" s="374"/>
      <c r="G265" s="374"/>
      <c r="H265" s="374"/>
    </row>
    <row r="266" ht="19.5" spans="1:8">
      <c r="A266" s="245" t="s">
        <v>227</v>
      </c>
      <c r="B266" s="144">
        <v>0</v>
      </c>
      <c r="C266" s="368"/>
      <c r="D266" s="390" t="s">
        <v>228</v>
      </c>
      <c r="E266" s="390"/>
      <c r="F266" s="144">
        <v>0</v>
      </c>
      <c r="G266" s="262"/>
      <c r="H266" s="180"/>
    </row>
    <row r="267" spans="1:8">
      <c r="A267" s="134"/>
      <c r="B267" s="389"/>
      <c r="C267" s="368"/>
      <c r="D267" s="105" t="s">
        <v>229</v>
      </c>
      <c r="E267" s="105"/>
      <c r="F267" s="389">
        <f>B266+F266*B209</f>
        <v>0</v>
      </c>
      <c r="G267" s="262"/>
      <c r="H267" s="180"/>
    </row>
    <row r="268" spans="1:8">
      <c r="A268" s="137" t="s">
        <v>230</v>
      </c>
      <c r="B268" s="391" t="s">
        <v>4</v>
      </c>
      <c r="C268" s="368"/>
      <c r="D268" s="105" t="s">
        <v>231</v>
      </c>
      <c r="E268" s="105"/>
      <c r="F268" s="391">
        <f>B70</f>
        <v>0</v>
      </c>
      <c r="G268" s="262"/>
      <c r="H268" s="180"/>
    </row>
    <row r="269" ht="19.5" spans="1:8">
      <c r="A269" s="137"/>
      <c r="B269" s="392"/>
      <c r="C269" s="368"/>
      <c r="D269" s="105" t="s">
        <v>232</v>
      </c>
      <c r="E269" s="105"/>
      <c r="F269" s="389">
        <f>B91</f>
        <v>0</v>
      </c>
      <c r="G269" s="262"/>
      <c r="H269" s="180"/>
    </row>
    <row r="270" ht="19.5" spans="1:8">
      <c r="A270" s="137" t="s">
        <v>233</v>
      </c>
      <c r="B270" s="144">
        <v>0</v>
      </c>
      <c r="C270" s="368"/>
      <c r="D270" s="368"/>
      <c r="E270" s="127"/>
      <c r="F270" s="262"/>
      <c r="G270" s="262"/>
      <c r="H270" s="180"/>
    </row>
    <row r="271" ht="19.5" spans="1:8">
      <c r="A271" s="245" t="s">
        <v>234</v>
      </c>
      <c r="B271" s="144">
        <v>0</v>
      </c>
      <c r="C271" s="368"/>
      <c r="D271" s="368"/>
      <c r="E271" s="262"/>
      <c r="F271" s="262"/>
      <c r="G271" s="262"/>
      <c r="H271" s="180"/>
    </row>
    <row r="272" ht="19.5" spans="1:8">
      <c r="A272" s="275"/>
      <c r="B272" s="276"/>
      <c r="C272" s="276"/>
      <c r="D272" s="276"/>
      <c r="E272" s="276"/>
      <c r="F272" s="276"/>
      <c r="G272" s="276"/>
      <c r="H272" s="281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B195:D195"/>
    <mergeCell ref="K195:M195"/>
    <mergeCell ref="T195:V195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  <mergeCell ref="A50:A51"/>
    <mergeCell ref="A195:A196"/>
    <mergeCell ref="J195:J196"/>
    <mergeCell ref="S195:S196"/>
    <mergeCell ref="AB195:AB196"/>
  </mergeCells>
  <dataValidations count="2">
    <dataValidation type="list" allowBlank="1" showInputMessage="1" showErrorMessage="1" sqref="B26 E105">
      <formula1>ContractPurchase!$Z$19:$Z$20</formula1>
    </dataValidation>
    <dataValidation type="list" allowBlank="1" showInputMessage="1" showErrorMessage="1" sqref="B105 K105 N105 T105 W105 AC105 AF105 B108:D108 K108:M108 T108:V108 AC108:AE108 A111 J111 S111 AB111 A18:A20 A144:A146 J144:J146 S144:S146 AB144:AB146">
      <formula1>#REF!</formula1>
    </dataValidation>
  </dataValidations>
  <pageMargins left="0.7875" right="0.7875" top="1.05277777777778" bottom="1.05277777777778" header="0.7875" footer="0.7875"/>
  <pageSetup paperSize="1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0"/>
  <sheetViews>
    <sheetView zoomScale="85" zoomScaleNormal="85" topLeftCell="A89" workbookViewId="0">
      <selection activeCell="E119" sqref="E119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 t="s">
        <v>18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207" t="n">
        <v>46854.17</v>
      </c>
      <c r="C3" s="7" t="n">
        <v>0.0</v>
      </c>
      <c r="D3" s="207" t="n">
        <v>833.33</v>
      </c>
      <c r="E3" s="8">
        <v>0</v>
      </c>
      <c r="F3" s="2"/>
      <c r="G3" s="2">
        <v>25000</v>
      </c>
      <c r="H3" s="2"/>
      <c r="I3" s="2" t="s">
        <v>19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t="n" s="0">
        <v>0.0</v>
      </c>
      <c r="C4" t="n" s="0">
        <v>0.0</v>
      </c>
      <c r="D4" t="n" s="0">
        <v>0.0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 t="n">
        <v>0.0</v>
      </c>
      <c r="C5" s="7" t="n">
        <v>0.0</v>
      </c>
      <c r="D5" s="7" t="n">
        <v>0.0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09">
        <f>G9*100/B3</f>
        <v>-809.375933114363</v>
      </c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210">
        <f>(B7+C7+D7+E3)</f>
        <v>16745</v>
      </c>
      <c r="F9" s="2"/>
      <c r="G9" s="208">
        <f>E9-G11</f>
        <v>-135530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 t="n">
        <v>550.0</v>
      </c>
      <c r="F10" s="2"/>
      <c r="G10" s="208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(E9+E10)*0.2</f>
        <v>3488</v>
      </c>
      <c r="F11" s="2"/>
      <c r="G11" s="208">
        <f>G13/1.2</f>
        <v>152275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 t="n">
        <v>585.0</v>
      </c>
      <c r="F13" s="2"/>
      <c r="G13" s="208">
        <f>G15-E14-E13-E12</f>
        <v>182730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 t="n">
        <v>65.0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211">
        <f>(E9+E10+E13+E14+E11)-E12</f>
        <v>21268</v>
      </c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 t="n">
        <v>0.0</v>
      </c>
      <c r="F16" s="2"/>
      <c r="G16" s="212">
        <f>(B3+C3+E10)*1.2</f>
        <v>20928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 t="n">
        <v>150.0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 t="n">
        <v>22.0</v>
      </c>
      <c r="I29" s="2"/>
      <c r="J29" s="2"/>
      <c r="K29" s="2">
        <v>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 t="n">
        <v>22000.0</v>
      </c>
      <c r="I30" s="2"/>
      <c r="J30" s="2"/>
      <c r="K30" s="2">
        <v>10000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 t="n">
        <v>10575.0</v>
      </c>
      <c r="I31" s="50">
        <f>IF(C107="YES",H31,0)</f>
        <v>8340</v>
      </c>
      <c r="J31" s="2"/>
      <c r="K31" s="2">
        <v>20000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 t="n">
        <v>2218.2599999999998</v>
      </c>
      <c r="J32" s="2"/>
      <c r="K32" s="2">
        <v>2160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22</v>
      </c>
      <c r="B33" s="40">
        <v>10000</v>
      </c>
      <c r="C33" s="41"/>
      <c r="D33" s="216">
        <f>H48</f>
        <v>614.21985193172</v>
      </c>
      <c r="E33" s="14"/>
      <c r="F33" s="2"/>
      <c r="G33" s="29" t="s">
        <v>355</v>
      </c>
      <c r="H33" s="217">
        <f>E21-E11+((E16*20%)+(E19*20%)+(E20*20%))</f>
        <v>17780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22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 t="n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562.76985193172</v>
      </c>
      <c r="B36" s="133">
        <f>IF(B26="YES",H42,"")</f>
        <v>51.45</v>
      </c>
      <c r="C36" s="31"/>
      <c r="D36" s="53">
        <f>I31</f>
        <v>8340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17780</v>
      </c>
      <c r="I39" s="50">
        <f>(I48*H46)+H44</f>
        <v>34035.4440684217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8340</v>
      </c>
      <c r="B40" s="102">
        <f>IF(B26="YES",H42,"0")</f>
        <v>51.45</v>
      </c>
      <c r="C40" s="102"/>
      <c r="D40" s="53">
        <f>I32</f>
        <v>1131.9</v>
      </c>
      <c r="E40" s="14"/>
      <c r="F40" s="2"/>
      <c r="G40" s="2" t="s">
        <v>107</v>
      </c>
      <c r="H40" s="50">
        <f>A40/1.2</f>
        <v>6950</v>
      </c>
      <c r="I40" s="50">
        <f>H39-I39</f>
        <v>-16255.4440684217</v>
      </c>
      <c r="J40" s="2" t="n">
        <v>8812.5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51.45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6137.97280707696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 t="n">
        <v>100.0</v>
      </c>
      <c r="B45" s="13"/>
      <c r="C45" s="220" t="n">
        <v>100.0</v>
      </c>
      <c r="D45" s="220"/>
      <c r="E45" s="14"/>
      <c r="F45" s="2"/>
      <c r="G45" s="2" t="s">
        <v>373</v>
      </c>
      <c r="H45" s="50">
        <f>(H39-H44)</f>
        <v>11642.027192923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20.6870129111599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562.76985193172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614.21985193172</v>
      </c>
      <c r="I48" s="50">
        <f>I49-H42</f>
        <v>1348.55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22000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22</v>
      </c>
      <c r="B52" s="71">
        <f>H48</f>
        <v>614.21985193172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21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21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21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/>
      <c r="B60" s="13"/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20928</v>
      </c>
      <c r="C61" s="13"/>
      <c r="D61" s="13"/>
      <c r="E61" s="14"/>
      <c r="F61" s="2"/>
      <c r="G61" s="6" t="s">
        <v>14</v>
      </c>
      <c r="H61" s="12">
        <f>G18</f>
        <v>20928</v>
      </c>
      <c r="I61" s="13"/>
      <c r="J61" s="13"/>
      <c r="K61" s="14"/>
      <c r="L61" s="2"/>
      <c r="M61" s="6" t="s">
        <v>14</v>
      </c>
      <c r="N61" s="12">
        <f>G18</f>
        <v>20928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 t="n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0.0845833333333333</v>
      </c>
      <c r="C63" s="13"/>
      <c r="D63" s="13"/>
      <c r="E63" s="14"/>
      <c r="F63" s="2"/>
      <c r="G63" s="6" t="s">
        <v>278</v>
      </c>
      <c r="H63" s="10">
        <f>H62+(H62*0.25*(H29/12-1))</f>
        <v>0.0845833333333333</v>
      </c>
      <c r="I63" s="13"/>
      <c r="J63" s="13"/>
      <c r="K63" s="14"/>
      <c r="L63" s="2"/>
      <c r="M63" s="6" t="s">
        <v>278</v>
      </c>
      <c r="N63" s="10">
        <f>N62+(N62*0.25*(H29/12-1))</f>
        <v>0.0845833333333333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B61*B63</f>
        <v>1770.16</v>
      </c>
      <c r="C64" s="13" t="n">
        <v>10000.0</v>
      </c>
      <c r="D64" s="12">
        <f>B64-A143</f>
        <v>1770.16</v>
      </c>
      <c r="E64" s="14"/>
      <c r="F64" s="2"/>
      <c r="G64" s="72" t="s">
        <v>91</v>
      </c>
      <c r="H64" s="80">
        <f>H61*H63</f>
        <v>1770.16</v>
      </c>
      <c r="I64" s="13"/>
      <c r="J64" s="12">
        <f>H64-G145</f>
        <v>1770.16</v>
      </c>
      <c r="K64" s="14"/>
      <c r="L64" s="2"/>
      <c r="M64" s="72" t="s">
        <v>91</v>
      </c>
      <c r="N64" s="80">
        <f>N61*N63</f>
        <v>1770.16</v>
      </c>
      <c r="O64" s="13"/>
      <c r="P64" s="12">
        <f>N64-M145</f>
        <v>1770.16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 t="n">
        <v>0.01</v>
      </c>
      <c r="C65" s="13"/>
      <c r="D65" s="13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0.0141666666666667</v>
      </c>
      <c r="C66" s="13"/>
      <c r="D66" s="13"/>
      <c r="E66" s="14"/>
      <c r="F66" s="2"/>
      <c r="G66" s="6" t="s">
        <v>93</v>
      </c>
      <c r="H66" s="10">
        <f>H65+(H65*0.5*(H29/12-1))</f>
        <v>0.0141666666666667</v>
      </c>
      <c r="I66" s="13"/>
      <c r="J66" s="13"/>
      <c r="K66" s="14"/>
      <c r="L66" s="2"/>
      <c r="M66" s="6" t="s">
        <v>93</v>
      </c>
      <c r="N66" s="10">
        <f>N65+(N65*0.5*(H29/12-1))</f>
        <v>0.0141666666666667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B61*B66</f>
        <v>296.48</v>
      </c>
      <c r="C67" s="13"/>
      <c r="D67" s="12"/>
      <c r="E67" s="14"/>
      <c r="F67" s="2"/>
      <c r="G67" s="72" t="s">
        <v>94</v>
      </c>
      <c r="H67" s="80">
        <f>(H61*H66)/1.2</f>
        <v>247.066666666667</v>
      </c>
      <c r="I67" s="13"/>
      <c r="J67" s="12"/>
      <c r="K67" s="14"/>
      <c r="L67" s="2"/>
      <c r="M67" s="72" t="s">
        <v>94</v>
      </c>
      <c r="N67" s="80">
        <f>(N61*N66)/1.2</f>
        <v>247.066666666667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 t="n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 t="n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23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 t="n">
        <v>200.0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 t="n">
        <v>5.0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110</v>
      </c>
      <c r="C73" s="13"/>
      <c r="D73" s="12">
        <f>B73+B71</f>
        <v>310</v>
      </c>
      <c r="E73" s="14"/>
      <c r="F73" s="2"/>
      <c r="G73" s="72" t="s">
        <v>100</v>
      </c>
      <c r="H73" s="80">
        <f>H72*H29</f>
        <v>99</v>
      </c>
      <c r="I73" s="13"/>
      <c r="J73" s="12">
        <f>H73+H71</f>
        <v>259</v>
      </c>
      <c r="K73" s="14"/>
      <c r="L73" s="2"/>
      <c r="M73" s="72" t="s">
        <v>100</v>
      </c>
      <c r="N73" s="80">
        <f>N72*H29</f>
        <v>99</v>
      </c>
      <c r="O73" s="13"/>
      <c r="P73" s="12">
        <f>N73+N71</f>
        <v>259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198" t="s">
        <v>279</v>
      </c>
      <c r="B74" s="199" t="n">
        <v>0.0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200" t="s">
        <v>280</v>
      </c>
      <c r="B75" s="201" t="n">
        <v>0.0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202" t="s">
        <v>281</v>
      </c>
      <c r="B76" s="203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151.25</v>
      </c>
      <c r="I76" s="13"/>
      <c r="J76" s="12">
        <f>H76</f>
        <v>151.25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95">
        <f>B102/(1-0.1)</f>
        <v>0</v>
      </c>
      <c r="C77" s="13"/>
      <c r="D77" s="12">
        <f>B77</f>
        <v>0</v>
      </c>
      <c r="E77" s="14"/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13"/>
      <c r="D78" s="12">
        <f>B78</f>
        <v>0</v>
      </c>
      <c r="E78" s="14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 t="n">
        <v>200.0</v>
      </c>
      <c r="C79" s="13"/>
      <c r="D79" s="12">
        <f>B79</f>
        <v>200</v>
      </c>
      <c r="E79" s="14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 t="n">
        <v>200.0</v>
      </c>
      <c r="C80" s="13"/>
      <c r="D80" s="12">
        <f>B80</f>
        <v>200</v>
      </c>
      <c r="E80" s="14"/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2480.16</v>
      </c>
      <c r="C81" s="13"/>
      <c r="D81" s="13"/>
      <c r="E81" s="14"/>
      <c r="F81" s="2"/>
      <c r="G81" s="91" t="s">
        <v>103</v>
      </c>
      <c r="H81" s="92">
        <f>SUM(J64:J80)</f>
        <v>2580.41</v>
      </c>
      <c r="I81" s="13"/>
      <c r="J81" s="13"/>
      <c r="K81" s="14"/>
      <c r="L81" s="2"/>
      <c r="M81" s="91" t="s">
        <v>103</v>
      </c>
      <c r="N81" s="92">
        <f>SUM(P64:P80)</f>
        <v>2429.16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112.734545454545</v>
      </c>
      <c r="C82" s="13"/>
      <c r="D82" s="13"/>
      <c r="E82" s="14"/>
      <c r="F82" s="2"/>
      <c r="G82" s="6" t="s">
        <v>104</v>
      </c>
      <c r="H82" s="11">
        <f>H81/H29</f>
        <v>117.291363636364</v>
      </c>
      <c r="I82" s="13"/>
      <c r="J82" s="13"/>
      <c r="K82" s="14"/>
      <c r="L82" s="2"/>
      <c r="M82" s="6" t="s">
        <v>104</v>
      </c>
      <c r="N82" s="11">
        <f>N81/H29</f>
        <v>110.416363636364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562.76985193172</v>
      </c>
      <c r="C83" s="13"/>
      <c r="D83" s="13"/>
      <c r="E83" s="14"/>
      <c r="F83" s="2"/>
      <c r="G83" s="93" t="s">
        <v>105</v>
      </c>
      <c r="H83" s="94">
        <f>H47</f>
        <v>562.76985193172</v>
      </c>
      <c r="I83" s="13"/>
      <c r="J83" s="13"/>
      <c r="K83" s="14"/>
      <c r="L83" s="2"/>
      <c r="M83" s="93" t="s">
        <v>105</v>
      </c>
      <c r="N83" s="94">
        <f>H47</f>
        <v>562.76985193172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14861.0967424978</v>
      </c>
      <c r="C85" s="13"/>
      <c r="D85" s="13"/>
      <c r="E85" s="14"/>
      <c r="F85" s="2"/>
      <c r="G85" s="75" t="s">
        <v>115</v>
      </c>
      <c r="H85" s="95">
        <f>((H83*H29)+H81)*1.2</f>
        <v>17953.6160909974</v>
      </c>
      <c r="I85" s="13"/>
      <c r="J85" s="13"/>
      <c r="K85" s="14"/>
      <c r="L85" s="2"/>
      <c r="M85" s="75" t="s">
        <v>115</v>
      </c>
      <c r="N85" s="95">
        <f>((N83*H29)+N81)</f>
        <v>14810.0967424978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(B85/(1-B70))*B70</f>
        <v>125.890694470534</v>
      </c>
      <c r="C86" s="13"/>
      <c r="D86" s="13"/>
      <c r="E86" s="14"/>
      <c r="F86" s="2"/>
      <c r="G86" s="6" t="s">
        <v>116</v>
      </c>
      <c r="H86" s="11">
        <f>((((H83*H29)+H81))/(1-H70))*H70</f>
        <v>126.739928032454</v>
      </c>
      <c r="I86" s="13"/>
      <c r="J86" s="13"/>
      <c r="K86" s="14"/>
      <c r="L86" s="2"/>
      <c r="M86" s="6" t="s">
        <v>116</v>
      </c>
      <c r="N86" s="11">
        <f>(N85/(1-N70))*N70</f>
        <v>125.458665426565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IF(B110="YES",((B85+B86)-E114),(B85+B86))</f>
        <v>14986.9874369684</v>
      </c>
      <c r="C87" s="13"/>
      <c r="D87" s="13"/>
      <c r="E87" s="14"/>
      <c r="F87" s="2"/>
      <c r="G87" s="72" t="s">
        <v>117</v>
      </c>
      <c r="H87" s="80">
        <f>IF(H110="YES",((H85+H86)-K114),(H85+H86))</f>
        <v>18080.3560190299</v>
      </c>
      <c r="I87" s="13"/>
      <c r="J87" s="13"/>
      <c r="K87" s="14"/>
      <c r="L87" s="2"/>
      <c r="M87" s="72" t="s">
        <v>117</v>
      </c>
      <c r="N87" s="80">
        <f>IF(N110="YES",((N85+N86)-Q114),(N85+N86))</f>
        <v>14935.5554079244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IF(B99=Y98,(D40+(D40*B105))/(B58),(D40+(D40*B105))/(B57+B58))*(C45/100)</f>
        <v>61.74</v>
      </c>
      <c r="C89" s="13"/>
      <c r="D89" s="13"/>
      <c r="E89" s="14"/>
      <c r="F89" s="2"/>
      <c r="G89" s="91" t="s">
        <v>118</v>
      </c>
      <c r="H89" s="92">
        <f>IF(H99=Y98,(D40+(D40*H105))/(H58),(D40+(D40*H105))/(H57+H58))*1.2</f>
        <v>60.368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50.3066666666667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681.226701680381</v>
      </c>
      <c r="C90" s="13"/>
      <c r="D90" s="13"/>
      <c r="E90" s="14"/>
      <c r="F90" s="2"/>
      <c r="G90" s="97" t="s">
        <v>119</v>
      </c>
      <c r="H90" s="98">
        <f>IF(H99=Y98,(H87-J105)/(H58),H87/(H57+H58))</f>
        <v>669.642815519624</v>
      </c>
      <c r="I90" s="13"/>
      <c r="J90" s="13"/>
      <c r="K90" s="14"/>
      <c r="L90" s="2"/>
      <c r="M90" s="97" t="s">
        <v>119</v>
      </c>
      <c r="N90" s="98">
        <f>IF(N99=Y98,(N87-P105)/(N58),N87/(N57+N58))</f>
        <v>553.168718812015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742.966701680381</v>
      </c>
      <c r="C91" s="13"/>
      <c r="D91" s="13"/>
      <c r="E91" s="14"/>
      <c r="F91" s="2"/>
      <c r="G91" s="99" t="s">
        <v>120</v>
      </c>
      <c r="H91" s="100">
        <f>IF(G105="YES",H90+H89,H90)</f>
        <v>730.010815519624</v>
      </c>
      <c r="I91" s="13"/>
      <c r="J91" s="13"/>
      <c r="K91" s="14"/>
      <c r="L91" s="2"/>
      <c r="M91" s="99" t="s">
        <v>120</v>
      </c>
      <c r="N91" s="100">
        <f>IF(M105="YES",N90+N89,N90)</f>
        <v>603.475385478682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341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 t="n">
        <v>199.99</v>
      </c>
      <c r="B102" s="102" t="n">
        <v>400.0</v>
      </c>
      <c r="C102" s="102"/>
      <c r="D102" s="102" t="n">
        <v>200.0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 t="n">
        <v>0.3</v>
      </c>
      <c r="C105" s="104"/>
      <c r="D105" s="102" t="n">
        <v>200.0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 t="s">
        <v>342</v>
      </c>
      <c r="C107" s="32" t="s">
        <v>18</v>
      </c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 t="s">
        <v>290</v>
      </c>
      <c r="B108" s="27"/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18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 t="n">
        <v>0.0</v>
      </c>
      <c r="E112" s="102" t="n">
        <v>6000.0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 t="n">
        <v>2000.0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(E118*1.2)+E117-E114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 t="n">
        <v>0.0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22</v>
      </c>
      <c r="C125" s="118"/>
      <c r="D125" s="117">
        <f>B160</f>
        <v>22000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669.642815519624</v>
      </c>
      <c r="H127" s="126">
        <f>IF(G105="YES",H89*H57,0)</f>
        <v>362.208</v>
      </c>
      <c r="I127" s="126"/>
      <c r="J127" s="167">
        <f>H91</f>
        <v>730.010815519624</v>
      </c>
      <c r="K127" s="14"/>
      <c r="L127" s="2"/>
      <c r="M127" s="125">
        <f>N90</f>
        <v>553.168718812015</v>
      </c>
      <c r="N127" s="126">
        <f>IF(M105="YES",N89*N57,0)</f>
        <v>301.84</v>
      </c>
      <c r="O127" s="126"/>
      <c r="P127" s="126">
        <f>N91</f>
        <v>603.475385478682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681.226701680381</v>
      </c>
      <c r="B128" s="113">
        <f>IF(A105="YES",B89,0)</f>
        <v>61.74</v>
      </c>
      <c r="C128" s="118"/>
      <c r="D128" s="113">
        <f>B91</f>
        <v>742.966701680381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22</v>
      </c>
      <c r="H130" s="40">
        <f>B151</f>
        <v>0</v>
      </c>
      <c r="I130" s="41"/>
      <c r="J130" s="40">
        <f>B58</f>
        <v>21</v>
      </c>
      <c r="K130" s="14"/>
      <c r="L130" s="2"/>
      <c r="M130" s="39">
        <f>M155</f>
        <v>22</v>
      </c>
      <c r="N130" s="40">
        <f>B151</f>
        <v>0</v>
      </c>
      <c r="O130" s="41"/>
      <c r="P130" s="40">
        <f>B58</f>
        <v>21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681.226701680381</v>
      </c>
      <c r="C131" s="109"/>
      <c r="D131" s="127">
        <f>IF(A105="YES",B89*B57,0)</f>
        <v>61.74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4017.85689311775</v>
      </c>
      <c r="H133" s="133">
        <f>IF(G105="YES",H89*H57,0)</f>
        <v>362.208</v>
      </c>
      <c r="I133" s="31"/>
      <c r="J133" s="53">
        <f>H91*H57</f>
        <v>4380.06489311775</v>
      </c>
      <c r="K133" s="14"/>
      <c r="L133" s="2"/>
      <c r="M133" s="132">
        <f>N90*N57</f>
        <v>3319.01231287209</v>
      </c>
      <c r="N133" s="133">
        <f>IF(M105="YES",N89*N57,0)</f>
        <v>301.84</v>
      </c>
      <c r="O133" s="31"/>
      <c r="P133" s="53">
        <f>N91*N57</f>
        <v>3620.85231287209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742.966701680381</v>
      </c>
      <c r="B134" s="127">
        <f>E114</f>
        <v>4000</v>
      </c>
      <c r="C134" s="109"/>
      <c r="D134" s="135">
        <f>B58</f>
        <v>21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0.127608</v>
      </c>
      <c r="H136" s="133">
        <f>IF(G105="YES",E15*0.000002,0)</f>
        <v>0.042536</v>
      </c>
      <c r="I136" s="133"/>
      <c r="J136" s="133">
        <f>G136+H136</f>
        <v>0.170144</v>
      </c>
      <c r="K136" s="141"/>
      <c r="L136" s="2"/>
      <c r="M136" s="134">
        <f>E15*0.000006</f>
        <v>0.127608</v>
      </c>
      <c r="N136" s="133">
        <f>IF(M105="YES",E15*0.000002,0)</f>
        <v>0.042536</v>
      </c>
      <c r="O136" s="133"/>
      <c r="P136" s="133">
        <f>M136+N136</f>
        <v>0.170144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681.226701680381</v>
      </c>
      <c r="B137" s="127">
        <f>IF(A105="YES",B89,0)</f>
        <v>61.74</v>
      </c>
      <c r="C137" s="109"/>
      <c r="D137" s="127">
        <f>B91</f>
        <v>742.966701680381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247.066666666667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247.066666666667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15.06816</v>
      </c>
      <c r="B140" s="143">
        <f>IF(A105="YES",G18*0.000002,0)*1.2*100</f>
        <v>5.02272</v>
      </c>
      <c r="C140" s="109"/>
      <c r="D140" s="143">
        <f>A140+B140</f>
        <v>20.09088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22.638</v>
      </c>
      <c r="H142" s="133">
        <f>G102-100</f>
        <v>99.99</v>
      </c>
      <c r="I142" s="133"/>
      <c r="J142" s="133">
        <f>(H139+J139+G142+H142)-H145</f>
        <v>369.694666666667</v>
      </c>
      <c r="K142" s="141"/>
      <c r="L142" s="2"/>
      <c r="M142" s="134">
        <f>IF(M105="YES",((B36*N105)*0.1)*(M130),0)</f>
        <v>22.638</v>
      </c>
      <c r="N142" s="133">
        <f>M102-100</f>
        <v>99.99</v>
      </c>
      <c r="O142" s="133"/>
      <c r="P142" s="133">
        <f>(N139+P139+M142+N142)-N145</f>
        <v>369.694666666667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>
        <f>(H139+J139+G142+H142)*(G145/H64)</f>
        <v>0</v>
      </c>
      <c r="I145" s="13"/>
      <c r="J145" s="13"/>
      <c r="K145" s="14"/>
      <c r="L145" s="2"/>
      <c r="M145" s="134">
        <v>0</v>
      </c>
      <c r="N145" s="133">
        <f>(N139+P139+M142+N142)*(M145/N64)</f>
        <v>0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296.48</v>
      </c>
      <c r="B148" s="127">
        <f>B102</f>
        <v>0</v>
      </c>
      <c r="C148" s="127"/>
      <c r="D148" s="127">
        <f>IF(A105="YES",(B40*B105)*B125,0)*0.1</f>
        <v>22.638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419.108</v>
      </c>
      <c r="E151" s="141"/>
      <c r="F151" s="2"/>
      <c r="G151" s="67"/>
      <c r="H151" s="69">
        <f>B51</f>
        <v>22000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22</v>
      </c>
      <c r="H152" s="71">
        <f>H91</f>
        <v>730.010815519624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22000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22</v>
      </c>
      <c r="N155" s="71">
        <f>N91</f>
        <v>603.475385478682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22000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22</v>
      </c>
      <c r="B161" s="71">
        <f>B91</f>
        <v>742.966701680381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22</v>
      </c>
      <c r="C174" s="158"/>
      <c r="D174" s="117">
        <f>D125</f>
        <v>22000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681.226701680381</v>
      </c>
      <c r="B177" s="156">
        <f>IF(A105="YES",B89,0)</f>
        <v>61.74</v>
      </c>
      <c r="C177" s="158"/>
      <c r="D177" s="156">
        <f>B91</f>
        <v>742.966701680381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681.226701680381</v>
      </c>
      <c r="C180" s="154"/>
      <c r="D180" s="133">
        <f>IF(A105="YES",B89*B57,0)</f>
        <v>61.74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742.966701680381</v>
      </c>
      <c r="B183" s="133">
        <f>E114</f>
        <v>4000</v>
      </c>
      <c r="C183" s="154"/>
      <c r="D183" s="162">
        <f>B58</f>
        <v>21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681.226701680381</v>
      </c>
      <c r="B186" s="133">
        <f>IF(A105="YES",B89,0)</f>
        <v>61.74</v>
      </c>
      <c r="C186" s="154"/>
      <c r="D186" s="133">
        <f>B91</f>
        <v>742.966701680381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IF(A105="YES",G18*0.000002,0)*1.2*100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296.48</v>
      </c>
      <c r="B197" s="133">
        <f>B102</f>
        <v>0</v>
      </c>
      <c r="C197" s="133"/>
      <c r="D197" s="133">
        <f>IF(A105="YES",(B40*B105)*B125,0)*0.1</f>
        <v>22.638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419.108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1770.16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296.48</v>
      </c>
      <c r="C211" s="112" t="s">
        <v>219</v>
      </c>
      <c r="D211" s="173">
        <f>B225+E221+B221+B223</f>
        <v>326.37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1800.05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1770.16</v>
      </c>
      <c r="C217" s="177" t="s">
        <v>223</v>
      </c>
      <c r="D217" s="109"/>
      <c r="E217" s="178">
        <f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296.48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1800.05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226.38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125.890694470534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</mergeCells>
  <dataValidations count="4">
    <dataValidation type="list" allowBlank="1" showErrorMessage="1" sqref="B26 A105 B110">
      <formula1>'Formula1-FL'!$I$2:$I$3</formula1>
    </dataValidation>
    <dataValidation type="list" allowBlank="1" showErrorMessage="1" sqref="B99">
      <formula1>'Formula1-FL'!$Y$97:$Y$105</formula1>
    </dataValidation>
    <dataValidation type="list" allowBlank="1" showErrorMessage="1" sqref="H99 N99 G105 M105 O107 H110 N110 A18:A20">
      <formula1>#REF!</formula1>
    </dataValidation>
    <dataValidation type="list" allowBlank="1" showErrorMessage="1" sqref="C107">
      <formula1>"YES,NO"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0"/>
  <sheetViews>
    <sheetView zoomScale="85" zoomScaleNormal="85" topLeftCell="A93" workbookViewId="0">
      <selection activeCell="E119" sqref="E119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207" t="n">
        <v>46854.17</v>
      </c>
      <c r="C3" s="7" t="n">
        <v>0.0</v>
      </c>
      <c r="D3" s="207" t="n">
        <v>833.33</v>
      </c>
      <c r="E3" s="8">
        <v>0</v>
      </c>
      <c r="F3" s="2"/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0" t="n">
        <v>0.0</v>
      </c>
      <c r="C4" s="0" t="n">
        <v>0.0</v>
      </c>
      <c r="D4" s="0" t="n">
        <v>0.0</v>
      </c>
      <c r="E4" s="10"/>
      <c r="F4" s="2"/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 t="n">
        <v>0.0</v>
      </c>
      <c r="C5" s="7" t="n">
        <v>0.0</v>
      </c>
      <c r="D5" s="7" t="n">
        <v>0.0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09">
        <f>G9*100/B3</f>
        <v>-809.375933114363</v>
      </c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210">
        <f>(B7+C7+D7+E3)</f>
        <v>16745</v>
      </c>
      <c r="F9" s="2"/>
      <c r="G9" s="208">
        <f>E9-G11</f>
        <v>-135530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 t="n">
        <v>550.0</v>
      </c>
      <c r="F10" s="2"/>
      <c r="G10" s="208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(E9+E10)*0.2</f>
        <v>3488</v>
      </c>
      <c r="F11" s="2"/>
      <c r="G11" s="208">
        <f>G13/1.2</f>
        <v>152275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 t="n">
        <v>585.0</v>
      </c>
      <c r="F13" s="2"/>
      <c r="G13" s="208">
        <f>G15-E14-E13-E12</f>
        <v>182730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 t="n">
        <v>65.0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211">
        <f>(E9+E10+E13+E14+E11)-E12</f>
        <v>21268</v>
      </c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 t="n">
        <v>0.0</v>
      </c>
      <c r="F16" s="2"/>
      <c r="G16" s="212">
        <f>(B3+C3+E10)*1.2</f>
        <v>20928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 t="n">
        <v>0.0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19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 t="n">
        <v>22.0</v>
      </c>
      <c r="I29" s="2"/>
      <c r="J29" s="2"/>
      <c r="K29" s="2">
        <v>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 t="n">
        <v>22000.0</v>
      </c>
      <c r="I30" s="2"/>
      <c r="J30" s="2"/>
      <c r="K30" s="2">
        <v>10000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 t="n">
        <v>10575.0</v>
      </c>
      <c r="I31" s="2"/>
      <c r="J31" s="2"/>
      <c r="K31" s="2">
        <v>20000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 t="n">
        <v>0.0</v>
      </c>
      <c r="J32" s="2"/>
      <c r="K32" s="2"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22</v>
      </c>
      <c r="B33" s="40">
        <v>10000</v>
      </c>
      <c r="C33" s="41"/>
      <c r="D33" s="216">
        <f>H48</f>
        <v>614.21985193172</v>
      </c>
      <c r="E33" s="14"/>
      <c r="F33" s="2"/>
      <c r="G33" s="29" t="s">
        <v>355</v>
      </c>
      <c r="H33" s="217">
        <f>E21-E11+((E16*20%)+(E19*20%)+(E20*20%))</f>
        <v>17780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22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 t="n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562.76985193172</v>
      </c>
      <c r="B36" s="133">
        <f>IF(B26="YES",H42,"")</f>
        <v>51.45</v>
      </c>
      <c r="C36" s="31"/>
      <c r="D36" s="53">
        <f>H31</f>
        <v>8340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17780</v>
      </c>
      <c r="I39" s="50">
        <f>(I48*H46)+H44</f>
        <v>34035.4440684217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8340</v>
      </c>
      <c r="B40" s="102">
        <f>IF(B26="YES",H42,"0")</f>
        <v>51.45</v>
      </c>
      <c r="C40" s="102"/>
      <c r="D40" s="53">
        <f>I32</f>
        <v>1131.9</v>
      </c>
      <c r="E40" s="14"/>
      <c r="F40" s="2"/>
      <c r="G40" s="2" t="s">
        <v>107</v>
      </c>
      <c r="H40" s="50">
        <f>(A40)/1.2</f>
        <v>6950</v>
      </c>
      <c r="I40" s="50">
        <f>H39-I39</f>
        <v>-16255.4440684217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51.45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6137.97280707696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 t="n">
        <v>100.0</v>
      </c>
      <c r="B45" s="13"/>
      <c r="C45" s="238" t="n">
        <v>100.0</v>
      </c>
      <c r="D45" s="238"/>
      <c r="E45" s="14"/>
      <c r="F45" s="2"/>
      <c r="G45" s="2" t="s">
        <v>373</v>
      </c>
      <c r="H45" s="50">
        <f>(H39-H44)</f>
        <v>11642.027192923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20.6870129111599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562.76985193172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614.21985193172</v>
      </c>
      <c r="I48" s="50">
        <f>I49-H42</f>
        <v>1348.55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22000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22</v>
      </c>
      <c r="B52" s="71">
        <f>H48</f>
        <v>614.21985193172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21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21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21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/>
      <c r="B60" s="13"/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20928</v>
      </c>
      <c r="C61" s="13"/>
      <c r="D61" s="13"/>
      <c r="E61" s="14"/>
      <c r="F61" s="2"/>
      <c r="G61" s="6" t="s">
        <v>14</v>
      </c>
      <c r="H61" s="12">
        <f>G18</f>
        <v>20928</v>
      </c>
      <c r="I61" s="13"/>
      <c r="J61" s="13"/>
      <c r="K61" s="14"/>
      <c r="L61" s="2"/>
      <c r="M61" s="6" t="s">
        <v>14</v>
      </c>
      <c r="N61" s="12">
        <f>G18</f>
        <v>20928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 t="n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0.0845833333333333</v>
      </c>
      <c r="C63" s="13"/>
      <c r="D63" s="13"/>
      <c r="E63" s="14"/>
      <c r="F63" s="2"/>
      <c r="G63" s="6" t="s">
        <v>278</v>
      </c>
      <c r="H63" s="10">
        <f>H62+(H62*0.25*(H29/12-1))</f>
        <v>0.0845833333333333</v>
      </c>
      <c r="I63" s="13"/>
      <c r="J63" s="13"/>
      <c r="K63" s="14"/>
      <c r="L63" s="2"/>
      <c r="M63" s="6" t="s">
        <v>278</v>
      </c>
      <c r="N63" s="10">
        <f>N62+(N62*0.25*(H29/12-1))</f>
        <v>0.0845833333333333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B61*B63</f>
        <v>1770.16</v>
      </c>
      <c r="C64" s="13" t="n">
        <v>10000.0</v>
      </c>
      <c r="D64" s="12">
        <f>B64-A143</f>
        <v>1770.16</v>
      </c>
      <c r="E64" s="223">
        <f>D64/(B58+B57)</f>
        <v>80.4618181818182</v>
      </c>
      <c r="F64" s="2"/>
      <c r="G64" s="72" t="s">
        <v>91</v>
      </c>
      <c r="H64" s="80">
        <f>H61*H63</f>
        <v>1770.16</v>
      </c>
      <c r="I64" s="13"/>
      <c r="J64" s="12">
        <f>H64-G145</f>
        <v>1770.16</v>
      </c>
      <c r="K64" s="14"/>
      <c r="L64" s="2"/>
      <c r="M64" s="72" t="s">
        <v>91</v>
      </c>
      <c r="N64" s="80">
        <f>N61*N63</f>
        <v>1770.16</v>
      </c>
      <c r="O64" s="13"/>
      <c r="P64" s="12">
        <f>N64-M145</f>
        <v>1770.16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 t="n">
        <v>0.01</v>
      </c>
      <c r="C65" s="13"/>
      <c r="D65" s="13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0.0141666666666667</v>
      </c>
      <c r="C66" s="13"/>
      <c r="D66" s="13"/>
      <c r="E66" s="14"/>
      <c r="F66" s="2"/>
      <c r="G66" s="6" t="s">
        <v>93</v>
      </c>
      <c r="H66" s="10">
        <f>H65+(H65*0.5*(H29/12-1))</f>
        <v>0.0141666666666667</v>
      </c>
      <c r="I66" s="13"/>
      <c r="J66" s="13"/>
      <c r="K66" s="14"/>
      <c r="L66" s="2"/>
      <c r="M66" s="6" t="s">
        <v>93</v>
      </c>
      <c r="N66" s="10">
        <f>N65+(N65*0.5*(H29/12-1))</f>
        <v>0.0141666666666667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B61*B66</f>
        <v>296.48</v>
      </c>
      <c r="C67" s="13"/>
      <c r="D67" s="12"/>
      <c r="E67" s="14"/>
      <c r="F67" s="2"/>
      <c r="G67" s="72" t="s">
        <v>94</v>
      </c>
      <c r="H67" s="80">
        <f>(H61*H66)/1.2</f>
        <v>247.066666666667</v>
      </c>
      <c r="I67" s="13"/>
      <c r="J67" s="12"/>
      <c r="K67" s="14"/>
      <c r="L67" s="2"/>
      <c r="M67" s="72" t="s">
        <v>94</v>
      </c>
      <c r="N67" s="80">
        <f>(N61*N66)/1.2</f>
        <v>247.066666666667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 t="n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 t="n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 t="n">
        <v>200.0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 t="n">
        <v>5.0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110</v>
      </c>
      <c r="C73" s="13"/>
      <c r="D73" s="12">
        <f>B73+B71</f>
        <v>310</v>
      </c>
      <c r="E73" s="14"/>
      <c r="F73" s="2"/>
      <c r="G73" s="72" t="s">
        <v>100</v>
      </c>
      <c r="H73" s="80">
        <f>H72*H29</f>
        <v>99</v>
      </c>
      <c r="I73" s="13"/>
      <c r="J73" s="12">
        <f>H73+H71</f>
        <v>259</v>
      </c>
      <c r="K73" s="14"/>
      <c r="L73" s="2"/>
      <c r="M73" s="72" t="s">
        <v>100</v>
      </c>
      <c r="N73" s="80">
        <f>N72*H29</f>
        <v>99</v>
      </c>
      <c r="O73" s="13"/>
      <c r="P73" s="12">
        <f>N73+N71</f>
        <v>259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 t="n">
        <v>165.0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 t="n">
        <v>355.0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151.25</v>
      </c>
      <c r="I76" s="13"/>
      <c r="J76" s="12">
        <f>H76</f>
        <v>151.25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95">
        <f>B102/(1-0.1)</f>
        <v>0</v>
      </c>
      <c r="C77" s="13"/>
      <c r="D77" s="12">
        <f>B77</f>
        <v>0</v>
      </c>
      <c r="E77" s="223">
        <f>D77/(B58+B57)</f>
        <v>0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13"/>
      <c r="D78" s="12">
        <f>B78</f>
        <v>0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 t="n">
        <v>200.0</v>
      </c>
      <c r="C79" s="13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 t="n">
        <v>200.0</v>
      </c>
      <c r="C80" s="13"/>
      <c r="D80" s="12">
        <f>B80</f>
        <v>200</v>
      </c>
      <c r="E80" s="223">
        <f>(D73+D76+D79+D80)/(B58+B57)</f>
        <v>32.2727272727273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2480.16</v>
      </c>
      <c r="C81" s="13"/>
      <c r="D81" s="13"/>
      <c r="E81" s="223"/>
      <c r="F81" s="2"/>
      <c r="G81" s="91" t="s">
        <v>103</v>
      </c>
      <c r="H81" s="92">
        <f>SUM(J64:J80)</f>
        <v>2580.41</v>
      </c>
      <c r="I81" s="13"/>
      <c r="J81" s="13"/>
      <c r="K81" s="14"/>
      <c r="L81" s="2"/>
      <c r="M81" s="91" t="s">
        <v>103</v>
      </c>
      <c r="N81" s="92">
        <f>SUM(P64:P80)</f>
        <v>2429.16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112.734545454545</v>
      </c>
      <c r="C82" s="13"/>
      <c r="D82" s="13"/>
      <c r="E82" s="223"/>
      <c r="F82" s="2"/>
      <c r="G82" s="6" t="s">
        <v>104</v>
      </c>
      <c r="H82" s="11">
        <f>H81/H29</f>
        <v>117.291363636364</v>
      </c>
      <c r="I82" s="13"/>
      <c r="J82" s="13"/>
      <c r="K82" s="14"/>
      <c r="L82" s="2"/>
      <c r="M82" s="6" t="s">
        <v>104</v>
      </c>
      <c r="N82" s="11">
        <f>N81/H29</f>
        <v>110.416363636364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562.76985193172</v>
      </c>
      <c r="C83" s="13"/>
      <c r="D83" s="13"/>
      <c r="E83" s="223">
        <f>B83+E80+E77+E64</f>
        <v>675.504397386265</v>
      </c>
      <c r="F83" s="2"/>
      <c r="G83" s="93" t="s">
        <v>105</v>
      </c>
      <c r="H83" s="94">
        <f>H47</f>
        <v>562.76985193172</v>
      </c>
      <c r="I83" s="13"/>
      <c r="J83" s="13"/>
      <c r="K83" s="14"/>
      <c r="L83" s="2"/>
      <c r="M83" s="93" t="s">
        <v>105</v>
      </c>
      <c r="N83" s="94">
        <f>H47</f>
        <v>562.76985193172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((B83*H29)+B81)*1.2</f>
        <v>17833.3160909974</v>
      </c>
      <c r="C85" s="13"/>
      <c r="D85" s="13"/>
      <c r="E85" s="223">
        <f>B85/(B58+B57)</f>
        <v>810.605276863518</v>
      </c>
      <c r="F85" s="2"/>
      <c r="G85" s="75" t="s">
        <v>115</v>
      </c>
      <c r="H85" s="95">
        <f>((H83*H29)+H81)*1.2</f>
        <v>17953.6160909974</v>
      </c>
      <c r="I85" s="13"/>
      <c r="J85" s="13"/>
      <c r="K85" s="14"/>
      <c r="L85" s="2"/>
      <c r="M85" s="75" t="s">
        <v>115</v>
      </c>
      <c r="N85" s="95">
        <f>((N83*H29)+N81)</f>
        <v>14810.0967424978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((((B83*H29)+B81))/(1-B70))*B70</f>
        <v>125.890694470534</v>
      </c>
      <c r="C86" s="13"/>
      <c r="D86" s="13"/>
      <c r="E86" s="223">
        <f>B86/(B58+B57)</f>
        <v>5.7223042941152</v>
      </c>
      <c r="F86" s="2"/>
      <c r="G86" s="6" t="s">
        <v>116</v>
      </c>
      <c r="H86" s="11">
        <f>((((H83*H29)+H81))/(1-H70))*H70</f>
        <v>126.739928032454</v>
      </c>
      <c r="I86" s="13"/>
      <c r="J86" s="13"/>
      <c r="K86" s="14"/>
      <c r="L86" s="2"/>
      <c r="M86" s="6" t="s">
        <v>116</v>
      </c>
      <c r="N86" s="11">
        <f>(N85/(1-N70))*N70</f>
        <v>125.458665426565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IF(B110="YES",((B85+B86)-E114),(B85+B86))</f>
        <v>17959.2067854679</v>
      </c>
      <c r="C87" s="13"/>
      <c r="D87" s="13"/>
      <c r="E87" s="223">
        <f>E86+E85</f>
        <v>816.327581157634</v>
      </c>
      <c r="F87" s="2"/>
      <c r="G87" s="72" t="s">
        <v>117</v>
      </c>
      <c r="H87" s="80">
        <f>IF(H110="YES",((H85+H86)-K114),(H85+H86))</f>
        <v>18080.3560190299</v>
      </c>
      <c r="I87" s="13"/>
      <c r="J87" s="13"/>
      <c r="K87" s="14"/>
      <c r="L87" s="2"/>
      <c r="M87" s="72" t="s">
        <v>117</v>
      </c>
      <c r="N87" s="80">
        <f>IF(N110="YES",((N85+N86)-Q114),(N85+N86))</f>
        <v>14935.5554079244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IF(B99=Y98,(D40+(D40*B105))/(B58),(D40+(D40*B105))/(B57+B58))*1.2*(C45/100)</f>
        <v>74.088</v>
      </c>
      <c r="C89" s="13"/>
      <c r="D89" s="13"/>
      <c r="E89" s="14"/>
      <c r="F89" s="2"/>
      <c r="G89" s="91" t="s">
        <v>118</v>
      </c>
      <c r="H89" s="92">
        <f>IF(H99=Y98,(D40+(D40*H105))/(H58),(D40+(D40*H105))/(H57+H58))*1.2</f>
        <v>60.368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50.3066666666667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816.327581157634</v>
      </c>
      <c r="C90" s="13"/>
      <c r="D90" s="13"/>
      <c r="E90" s="14"/>
      <c r="F90" s="2"/>
      <c r="G90" s="97" t="s">
        <v>119</v>
      </c>
      <c r="H90" s="98">
        <f>IF(H99=Y98,(H87-J105)/(H58),H87/(H57+H58))</f>
        <v>669.642815519624</v>
      </c>
      <c r="I90" s="13"/>
      <c r="J90" s="13"/>
      <c r="K90" s="14"/>
      <c r="L90" s="2"/>
      <c r="M90" s="97" t="s">
        <v>119</v>
      </c>
      <c r="N90" s="98">
        <f>IF(N99=Y98,(N87-P105)/(N58),N87/(N57+N58))</f>
        <v>553.168718812015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890.415581157634</v>
      </c>
      <c r="C91" s="13"/>
      <c r="D91" s="13"/>
      <c r="E91" s="14"/>
      <c r="F91" s="2"/>
      <c r="G91" s="99" t="s">
        <v>120</v>
      </c>
      <c r="H91" s="100">
        <f>IF(G105="YES",H90+H89,H90)</f>
        <v>730.010815519624</v>
      </c>
      <c r="I91" s="13"/>
      <c r="J91" s="13"/>
      <c r="K91" s="14"/>
      <c r="L91" s="2"/>
      <c r="M91" s="99" t="s">
        <v>120</v>
      </c>
      <c r="N91" s="100">
        <f>IF(M105="YES",N90+N89,N90)</f>
        <v>603.475385478682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284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 t="n">
        <v>239.99</v>
      </c>
      <c r="B102" s="102" t="n">
        <v>400.0</v>
      </c>
      <c r="C102" s="102"/>
      <c r="D102" s="102" t="n">
        <v>200.0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19</v>
      </c>
      <c r="B105" s="104" t="n">
        <v>0.0</v>
      </c>
      <c r="C105" s="104"/>
      <c r="D105" s="102" t="n">
        <v>200.0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 t="s">
        <v>290</v>
      </c>
      <c r="B108" s="27"/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 t="n">
        <v>0.0</v>
      </c>
      <c r="E112" s="102" t="n">
        <v>6000.0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 t="n">
        <v>2000.0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E118+E117-E114</f>
        <v>-2760.01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 t="n">
        <v>0.0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22</v>
      </c>
      <c r="C125" s="118"/>
      <c r="D125" s="117">
        <f>B160</f>
        <v>22000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669.642815519624</v>
      </c>
      <c r="H127" s="126">
        <f>IF(G105="YES",H89*H57,0)</f>
        <v>362.208</v>
      </c>
      <c r="I127" s="126"/>
      <c r="J127" s="167">
        <f>H91</f>
        <v>730.010815519624</v>
      </c>
      <c r="K127" s="14"/>
      <c r="L127" s="2"/>
      <c r="M127" s="125">
        <f>N90</f>
        <v>553.168718812015</v>
      </c>
      <c r="N127" s="126">
        <f>IF(M105="YES",N89*N57,0)</f>
        <v>301.84</v>
      </c>
      <c r="O127" s="126"/>
      <c r="P127" s="126">
        <f>N91</f>
        <v>603.475385478682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816.327581157634</v>
      </c>
      <c r="B128" s="113">
        <f>IF(A105="YES",B89,0)</f>
        <v>74.088</v>
      </c>
      <c r="C128" s="118"/>
      <c r="D128" s="113">
        <f>B91</f>
        <v>890.415581157634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22</v>
      </c>
      <c r="H130" s="40">
        <f>B151</f>
        <v>0</v>
      </c>
      <c r="I130" s="41"/>
      <c r="J130" s="40">
        <f>B58</f>
        <v>21</v>
      </c>
      <c r="K130" s="14"/>
      <c r="L130" s="2"/>
      <c r="M130" s="39">
        <f>M155</f>
        <v>22</v>
      </c>
      <c r="N130" s="40">
        <f>B151</f>
        <v>0</v>
      </c>
      <c r="O130" s="41"/>
      <c r="P130" s="40">
        <f>B58</f>
        <v>21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816.327581157634</v>
      </c>
      <c r="C131" s="109"/>
      <c r="D131" s="127">
        <f>IF(A105="YES",B89*B57,0)</f>
        <v>74.088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4017.85689311775</v>
      </c>
      <c r="H133" s="133">
        <f>IF(G105="YES",H89*H57,0)</f>
        <v>362.208</v>
      </c>
      <c r="I133" s="31"/>
      <c r="J133" s="53">
        <f>H91*H57</f>
        <v>4380.06489311775</v>
      </c>
      <c r="K133" s="14"/>
      <c r="L133" s="2"/>
      <c r="M133" s="132">
        <f>N90*N57</f>
        <v>3319.01231287209</v>
      </c>
      <c r="N133" s="133">
        <f>IF(M105="YES",N89*N57,0)</f>
        <v>301.84</v>
      </c>
      <c r="O133" s="31"/>
      <c r="P133" s="53">
        <f>N91*N57</f>
        <v>3620.85231287209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890.415581157634</v>
      </c>
      <c r="B134" s="127">
        <f>E114</f>
        <v>4000</v>
      </c>
      <c r="C134" s="109"/>
      <c r="D134" s="135">
        <f>B58</f>
        <v>21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0.127608</v>
      </c>
      <c r="H136" s="133">
        <f>IF(G105="YES",E15*0.000002,0)</f>
        <v>0.042536</v>
      </c>
      <c r="I136" s="133"/>
      <c r="J136" s="133">
        <f>G136+H136</f>
        <v>0.170144</v>
      </c>
      <c r="K136" s="141"/>
      <c r="L136" s="2"/>
      <c r="M136" s="134">
        <f>E15*0.000006</f>
        <v>0.127608</v>
      </c>
      <c r="N136" s="133">
        <f>IF(M105="YES",E15*0.000002,0)</f>
        <v>0.042536</v>
      </c>
      <c r="O136" s="133"/>
      <c r="P136" s="133">
        <f>M136+N136</f>
        <v>0.170144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816.327581157634</v>
      </c>
      <c r="B137" s="127">
        <f>IF(A105="YES",B89,0)</f>
        <v>74.088</v>
      </c>
      <c r="C137" s="109"/>
      <c r="D137" s="127">
        <f>B91</f>
        <v>890.415581157634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247.066666666667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247.066666666667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15.06816</v>
      </c>
      <c r="B140" s="143">
        <f>IF(A105="YES",G18*0.000002,0)*1.2*100</f>
        <v>5.02272</v>
      </c>
      <c r="C140" s="109"/>
      <c r="D140" s="143">
        <f>A140+B140</f>
        <v>20.09088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22.638</v>
      </c>
      <c r="H142" s="133">
        <f>G102-100</f>
        <v>99.99</v>
      </c>
      <c r="I142" s="133"/>
      <c r="J142" s="133">
        <f>(H139+J139+G142+H142)-H145</f>
        <v>369.694666666667</v>
      </c>
      <c r="K142" s="141"/>
      <c r="L142" s="2"/>
      <c r="M142" s="134">
        <f>IF(M105="YES",((B36*N105)*0.1)*(M130),0)</f>
        <v>22.638</v>
      </c>
      <c r="N142" s="133">
        <f>M102-100</f>
        <v>99.99</v>
      </c>
      <c r="O142" s="133"/>
      <c r="P142" s="133">
        <f>(N139+P139+M142+N142)-N145</f>
        <v>369.694666666667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>
        <f>(H139+J139+G142+H142)*(G145/H64)</f>
        <v>0</v>
      </c>
      <c r="I145" s="13"/>
      <c r="J145" s="13"/>
      <c r="K145" s="14"/>
      <c r="L145" s="2"/>
      <c r="M145" s="134">
        <v>0</v>
      </c>
      <c r="N145" s="133">
        <f>(N139+P139+M142+N142)*(M145/N64)</f>
        <v>0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296.48</v>
      </c>
      <c r="B148" s="127">
        <f>B102</f>
        <v>0</v>
      </c>
      <c r="C148" s="127"/>
      <c r="D148" s="127">
        <f>IF(A105="YES",(B40*B105)*B125,0)*0.1</f>
        <v>22.638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E118/1.2-100</f>
        <v>99.9916666666667</v>
      </c>
      <c r="B151" s="127">
        <f>(A148+B148+D148+A151)*(A143/B64)</f>
        <v>0</v>
      </c>
      <c r="C151" s="127"/>
      <c r="D151" s="127">
        <f>(A148+B148+D148+A151)-B151</f>
        <v>419.109666666667</v>
      </c>
      <c r="E151" s="141"/>
      <c r="F151" s="2"/>
      <c r="G151" s="67"/>
      <c r="H151" s="69">
        <f>B51</f>
        <v>22000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22</v>
      </c>
      <c r="H152" s="71">
        <f>H91</f>
        <v>730.010815519624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22000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22</v>
      </c>
      <c r="N155" s="71">
        <f>N91</f>
        <v>603.475385478682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22000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22</v>
      </c>
      <c r="B161" s="71">
        <f>B91</f>
        <v>890.415581157634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22</v>
      </c>
      <c r="C174" s="158"/>
      <c r="D174" s="117">
        <f>D125</f>
        <v>22000</v>
      </c>
      <c r="E174" s="114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816.327581157634</v>
      </c>
      <c r="B177" s="156">
        <f>IF(A105="YES",B89,0)</f>
        <v>74.088</v>
      </c>
      <c r="C177" s="158"/>
      <c r="D177" s="156">
        <f>B91</f>
        <v>890.415581157634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816.327581157634</v>
      </c>
      <c r="C180" s="154"/>
      <c r="D180" s="133">
        <f>IF(A105="YES",B89*B57,0)</f>
        <v>74.088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890.415581157634</v>
      </c>
      <c r="B183" s="133">
        <f>E114</f>
        <v>4000</v>
      </c>
      <c r="C183" s="154"/>
      <c r="D183" s="162">
        <f>B58</f>
        <v>21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816.327581157634</v>
      </c>
      <c r="B186" s="133">
        <f>IF(A105="YES",B89,0)</f>
        <v>74.088</v>
      </c>
      <c r="C186" s="154"/>
      <c r="D186" s="133">
        <f>B91</f>
        <v>890.415581157634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15.06816</v>
      </c>
      <c r="B189" s="166">
        <f>IF(A105="YES",G18*0.000002,0)*1.2*100</f>
        <v>5.02272</v>
      </c>
      <c r="C189" s="154"/>
      <c r="D189" s="166">
        <f>A189+B189</f>
        <v>20.09088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239.99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296.48</v>
      </c>
      <c r="B197" s="133">
        <f>B102</f>
        <v>0</v>
      </c>
      <c r="C197" s="133"/>
      <c r="D197" s="133">
        <f>IF(A105="YES",(B40*B105)*B125,0)*0.1</f>
        <v>22.638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(E118/1.2)-100</f>
        <v>99.9916666666667</v>
      </c>
      <c r="B200" s="133">
        <f>(A148+B148+D148+A151)*(A143/B64)</f>
        <v>0</v>
      </c>
      <c r="C200" s="133"/>
      <c r="D200" s="133">
        <f>(A148+B148+D148+A151)-B151</f>
        <v>419.109666666667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1770.16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296.48</v>
      </c>
      <c r="C211" s="112" t="s">
        <v>219</v>
      </c>
      <c r="D211" s="173">
        <f>B225+E221+B221+B223</f>
        <v>326.371666666667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1800.05166666667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1770.16</v>
      </c>
      <c r="C217" s="177" t="s">
        <v>223</v>
      </c>
      <c r="D217" s="109"/>
      <c r="E217" s="178">
        <f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296.48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B197*E219*100</f>
        <v>0</v>
      </c>
      <c r="C221" s="130" t="s">
        <v>225</v>
      </c>
      <c r="D221" s="109"/>
      <c r="E221" s="180">
        <f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1800.05166666667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226.38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125.890694470534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</mergeCells>
  <dataValidations count="3">
    <dataValidation type="list" allowBlank="1" showErrorMessage="1" sqref="B26 A105 B110">
      <formula1>'Formula1-PCH'!$I$3:$I$4</formula1>
    </dataValidation>
    <dataValidation type="list" allowBlank="1" showErrorMessage="1" sqref="B99">
      <formula1>'Formula1-PCH'!$Y$97:$Y$105</formula1>
    </dataValidation>
    <dataValidation type="list" allowBlank="1" showErrorMessage="1" sqref="H99 N99 G105 M105 O107 H110 N110 A18:A2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2"/>
  <sheetViews>
    <sheetView zoomScale="85" zoomScaleNormal="85" topLeftCell="A148" workbookViewId="0">
      <selection activeCell="B67" sqref="B67"/>
    </sheetView>
  </sheetViews>
  <sheetFormatPr defaultColWidth="10.8416666666667" defaultRowHeight="14.25"/>
  <cols>
    <col min="1" max="1" customWidth="true" width="56.0333333333333"/>
    <col min="2" max="2" customWidth="true" width="18.1166666666667"/>
    <col min="3" max="3" customWidth="true" width="25.1333333333333"/>
    <col min="4" max="4" customWidth="true" width="18.1166666666667"/>
    <col min="5" max="5" customWidth="true" width="24.0"/>
    <col min="7" max="7" customWidth="true" width="53.45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38.2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207">
        <v>46854.17</v>
      </c>
      <c r="C3" s="7">
        <v>0</v>
      </c>
      <c r="D3" s="207">
        <v>833.33</v>
      </c>
      <c r="E3" s="8">
        <v>0</v>
      </c>
      <c r="F3" s="2" t="s">
        <v>4</v>
      </c>
      <c r="G3" s="2">
        <v>25000</v>
      </c>
      <c r="H3" s="2"/>
      <c r="I3" s="2" t="s">
        <v>18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0">
        <v>0</v>
      </c>
      <c r="C4" s="0">
        <v>0</v>
      </c>
      <c r="D4" s="0">
        <v>0</v>
      </c>
      <c r="E4" s="10"/>
      <c r="F4" s="2" t="s">
        <v>4</v>
      </c>
      <c r="G4" s="2"/>
      <c r="H4" s="2"/>
      <c r="I4" s="2" t="s">
        <v>19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46854.17</v>
      </c>
      <c r="C7" s="12">
        <f>C3-C6</f>
        <v>0</v>
      </c>
      <c r="D7" s="12">
        <f>D3-D6</f>
        <v>833.33</v>
      </c>
      <c r="E7" s="11"/>
      <c r="F7" s="2"/>
      <c r="G7" s="208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spans="1:26">
      <c r="A8" s="6"/>
      <c r="B8" s="13"/>
      <c r="C8" s="13"/>
      <c r="D8" s="13"/>
      <c r="E8" s="14"/>
      <c r="F8" s="2"/>
      <c r="G8" s="209">
        <f>G9*100/B3</f>
        <v>-222.667836537637</v>
      </c>
      <c r="H8" s="2"/>
      <c r="I8" s="81" t="s">
        <v>3</v>
      </c>
      <c r="J8" s="82">
        <f>E13+E14</f>
        <v>650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>
        <v>23125</v>
      </c>
      <c r="C9" s="15"/>
      <c r="D9" s="15"/>
      <c r="E9" s="210">
        <f>(B7+C7+D7+E3)</f>
        <v>47687.5</v>
      </c>
      <c r="F9" s="2"/>
      <c r="G9" s="208">
        <f>E9-G11</f>
        <v>-104329.166666667</v>
      </c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550</v>
      </c>
      <c r="F10" s="2"/>
      <c r="G10" s="208"/>
      <c r="H10" s="2"/>
      <c r="I10" s="83" t="s">
        <v>1</v>
      </c>
      <c r="J10" s="82">
        <f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>
        <v>0</v>
      </c>
      <c r="C11" s="17"/>
      <c r="D11" s="17"/>
      <c r="E11" s="11">
        <f>(E9+E10)*0.2</f>
        <v>9647.5</v>
      </c>
      <c r="F11" s="2"/>
      <c r="G11" s="208">
        <f>G13/1.2</f>
        <v>152016.666666667</v>
      </c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>
        <v>0</v>
      </c>
      <c r="C13" s="17"/>
      <c r="D13" s="17"/>
      <c r="E13" s="8">
        <v>585</v>
      </c>
      <c r="F13" s="2"/>
      <c r="G13" s="208">
        <f>G15-E14-E13-E12</f>
        <v>182420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211">
        <f>(E9+E10+E13+E14+E11)-E12</f>
        <v>58535</v>
      </c>
      <c r="F15" s="2"/>
      <c r="G15" s="19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12">
        <f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>
        <v>0</v>
      </c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58535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353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30" t="s">
        <v>128</v>
      </c>
      <c r="B26" s="32" t="s">
        <v>18</v>
      </c>
      <c r="C26" s="13"/>
      <c r="D26" s="13"/>
      <c r="E26" s="14"/>
      <c r="F26" s="2"/>
      <c r="G26" s="28" t="s">
        <v>23</v>
      </c>
      <c r="H26" s="28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25</v>
      </c>
      <c r="H27" s="29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27" t="s">
        <v>182</v>
      </c>
      <c r="B28" s="27"/>
      <c r="C28" s="27"/>
      <c r="D28" s="27"/>
      <c r="E28" s="27"/>
      <c r="F28" s="2"/>
      <c r="G28" s="29" t="s">
        <v>27</v>
      </c>
      <c r="H28" s="2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6"/>
      <c r="B29" s="13"/>
      <c r="C29" s="13"/>
      <c r="D29" s="13"/>
      <c r="E29" s="14"/>
      <c r="F29" s="2"/>
      <c r="G29" s="28" t="s">
        <v>28</v>
      </c>
      <c r="H29" s="213">
        <v>35</v>
      </c>
      <c r="I29" s="54"/>
      <c r="J29" s="2"/>
      <c r="K29" s="2">
        <v>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 t="s">
        <v>183</v>
      </c>
      <c r="B30" s="115" t="s">
        <v>348</v>
      </c>
      <c r="C30" s="115"/>
      <c r="D30" s="13"/>
      <c r="E30" s="14"/>
      <c r="F30" s="2"/>
      <c r="G30" s="28" t="s">
        <v>32</v>
      </c>
      <c r="H30" s="213">
        <v>35000</v>
      </c>
      <c r="I30" s="2"/>
      <c r="J30" s="2"/>
      <c r="K30" s="2">
        <v>10000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6"/>
      <c r="B31" s="13"/>
      <c r="C31" s="13"/>
      <c r="D31" s="13"/>
      <c r="E31" s="14"/>
      <c r="F31" s="2"/>
      <c r="G31" s="28" t="s">
        <v>35</v>
      </c>
      <c r="H31" s="214">
        <v>5010</v>
      </c>
      <c r="I31" s="2"/>
      <c r="J31" s="2"/>
      <c r="K31" s="2">
        <v>10000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6" t="s">
        <v>83</v>
      </c>
      <c r="B32" s="13" t="s">
        <v>84</v>
      </c>
      <c r="C32" s="13"/>
      <c r="D32" s="215" t="s">
        <v>354</v>
      </c>
      <c r="E32" s="14"/>
      <c r="F32" s="2"/>
      <c r="G32" s="28" t="s">
        <v>36</v>
      </c>
      <c r="I32" s="214">
        <v>3667.3</v>
      </c>
      <c r="J32" s="2"/>
      <c r="K32" s="2">
        <v>14400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6" customHeight="1" spans="1:26">
      <c r="A33" s="39">
        <f>A52</f>
        <v>35</v>
      </c>
      <c r="B33" s="40">
        <v>10000</v>
      </c>
      <c r="C33" s="41"/>
      <c r="D33" s="216">
        <f>H48</f>
        <v>1481.45681888985</v>
      </c>
      <c r="E33" s="14"/>
      <c r="F33" s="2"/>
      <c r="G33" s="29" t="s">
        <v>355</v>
      </c>
      <c r="H33" s="217">
        <f>E21-E11+((E16*20%)+(E19*20%)+(E20*20%))</f>
        <v>48887.5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6"/>
      <c r="B34" s="13"/>
      <c r="C34" s="13"/>
      <c r="D34" s="13"/>
      <c r="E34" s="14"/>
      <c r="F34" s="2"/>
      <c r="G34" s="2" t="s">
        <v>371</v>
      </c>
      <c r="H34" s="2">
        <f>H29</f>
        <v>35</v>
      </c>
      <c r="I34" s="2">
        <v>43957.29</v>
      </c>
      <c r="J34" s="2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6" t="s">
        <v>356</v>
      </c>
      <c r="B35" s="13" t="s">
        <v>357</v>
      </c>
      <c r="C35" s="13"/>
      <c r="D35" s="13" t="s">
        <v>358</v>
      </c>
      <c r="E35" s="14"/>
      <c r="F35" s="2"/>
      <c r="G35" s="45" t="s">
        <v>46</v>
      </c>
      <c r="H35" s="46">
        <v>0.065</v>
      </c>
      <c r="I35" s="2">
        <v>46215.83</v>
      </c>
      <c r="J35" s="2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132">
        <f>H47</f>
        <v>1429.06681888985</v>
      </c>
      <c r="B36" s="133">
        <f>IF(B26="YES",H42,"")</f>
        <v>52.39</v>
      </c>
      <c r="C36" s="31"/>
      <c r="D36" s="53">
        <f>H31</f>
        <v>5010</v>
      </c>
      <c r="E36" s="14"/>
      <c r="F36" s="2"/>
      <c r="G36" s="2"/>
      <c r="H36" s="2"/>
      <c r="I36" s="2">
        <f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134"/>
      <c r="B37" s="133"/>
      <c r="C37" s="31"/>
      <c r="D37" s="13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6"/>
      <c r="B38" s="13"/>
      <c r="C38" s="13"/>
      <c r="D38" s="13"/>
      <c r="E38" s="14"/>
      <c r="F38" s="2"/>
      <c r="G38" s="58" t="s">
        <v>52</v>
      </c>
      <c r="H38" s="58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6" t="s">
        <v>359</v>
      </c>
      <c r="B39" s="13" t="s">
        <v>360</v>
      </c>
      <c r="C39" s="13"/>
      <c r="D39" s="13" t="s">
        <v>361</v>
      </c>
      <c r="E39" s="14"/>
      <c r="F39" s="2"/>
      <c r="G39" s="2" t="s">
        <v>85</v>
      </c>
      <c r="H39" s="50">
        <f>H33</f>
        <v>48887.5</v>
      </c>
      <c r="I39" s="50">
        <f>(I48*H46)+H44</f>
        <v>46296.8293224267</v>
      </c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102">
        <f>D36*A45/100</f>
        <v>5010</v>
      </c>
      <c r="B40" s="102">
        <f>IF(B26="YES",H42,"0")</f>
        <v>52.39</v>
      </c>
      <c r="C40" s="102"/>
      <c r="D40" s="53">
        <f>I32</f>
        <v>3667.3</v>
      </c>
      <c r="E40" s="14"/>
      <c r="F40" s="2"/>
      <c r="G40" s="2" t="s">
        <v>107</v>
      </c>
      <c r="H40" s="50">
        <f>A40/1.2</f>
        <v>4175</v>
      </c>
      <c r="I40" s="50">
        <f>H39-I39</f>
        <v>2590.67067757328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6"/>
      <c r="B41" s="13"/>
      <c r="C41" s="13"/>
      <c r="D41" s="13"/>
      <c r="E41" s="14"/>
      <c r="F41" s="2"/>
      <c r="G41" s="2" t="s">
        <v>362</v>
      </c>
      <c r="H41" s="56">
        <f>H35/12</f>
        <v>0.00541666666666667</v>
      </c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6"/>
      <c r="B42" s="13"/>
      <c r="C42" s="13"/>
      <c r="D42" s="13"/>
      <c r="E42" s="14"/>
      <c r="F42" s="2"/>
      <c r="G42" s="2" t="s">
        <v>363</v>
      </c>
      <c r="H42" s="50">
        <f>(I32/H34)*(C45/100)</f>
        <v>52.39</v>
      </c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75"/>
      <c r="B43" s="76"/>
      <c r="C43" s="76"/>
      <c r="D43" s="76"/>
      <c r="E43" s="77"/>
      <c r="F43" s="2"/>
      <c r="G43" s="2" t="s">
        <v>364</v>
      </c>
      <c r="H43" s="2"/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218" t="s">
        <v>77</v>
      </c>
      <c r="B44" s="13"/>
      <c r="C44" s="164" t="s">
        <v>78</v>
      </c>
      <c r="D44" s="164"/>
      <c r="E44" s="14"/>
      <c r="F44" s="2"/>
      <c r="G44" s="2" t="s">
        <v>372</v>
      </c>
      <c r="H44" s="50">
        <f>(H40/(1+H41)^(H34+1))</f>
        <v>3437.14293416163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219">
        <v>100</v>
      </c>
      <c r="B45" s="13"/>
      <c r="C45" s="220">
        <v>50</v>
      </c>
      <c r="D45" s="220"/>
      <c r="E45" s="14"/>
      <c r="F45" s="2"/>
      <c r="G45" s="2" t="s">
        <v>373</v>
      </c>
      <c r="H45" s="50">
        <f>(H39-H44)</f>
        <v>45450.3570658384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72"/>
      <c r="B46" s="73"/>
      <c r="C46" s="73"/>
      <c r="D46" s="73"/>
      <c r="E46" s="74"/>
      <c r="F46" s="2"/>
      <c r="G46" s="2" t="s">
        <v>374</v>
      </c>
      <c r="H46" s="50">
        <f>((1-(1/((1+H41)^H34)))/H41)</f>
        <v>31.8042210938366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6"/>
      <c r="B47" s="13"/>
      <c r="C47" s="13"/>
      <c r="D47" s="13"/>
      <c r="E47" s="14"/>
      <c r="F47" s="2"/>
      <c r="G47" s="2" t="s">
        <v>368</v>
      </c>
      <c r="H47" s="50">
        <f>H45/H46</f>
        <v>1429.06681888985</v>
      </c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21" t="s">
        <v>369</v>
      </c>
      <c r="H48" s="50">
        <f>IF(B26="YES",H47+H42,H47)</f>
        <v>1481.45681888985</v>
      </c>
      <c r="I48" s="50">
        <f>I49-H42</f>
        <v>1347.61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 t="s">
        <v>370</v>
      </c>
      <c r="H49" s="66"/>
      <c r="I49" s="50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35000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35</v>
      </c>
      <c r="B52" s="71">
        <f>H48</f>
        <v>1481.45681888985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13"/>
      <c r="N55" s="13"/>
      <c r="O55" s="13"/>
      <c r="P55" s="13"/>
      <c r="Q55" s="13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75"/>
      <c r="N56" s="76"/>
      <c r="O56" s="76"/>
      <c r="P56" s="76"/>
      <c r="Q56" s="77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IF(B99=Y97,1,IF(B99=Y98,1,IF(B99=Y99,3,IF(B99=Y100,6,IF(B99=Y101,9,IF(B99=Y102,12,IF(B99=Y103,3,IF(B99=Y104,6,IF(B99=Y105,9,0)))))))))</f>
        <v>1</v>
      </c>
      <c r="C57" s="13"/>
      <c r="D57" s="13"/>
      <c r="E57" s="14"/>
      <c r="F57" s="2"/>
      <c r="G57" s="6" t="s">
        <v>85</v>
      </c>
      <c r="H57" s="13">
        <f>IF(H99=Y97,1,IF(H99=Y98,1,IF(H99=Y99,3,IF(H99=Y100,6,IF(H99=Y101,9,IF(H99=Y102,12,IF(H99=Y103,3,IF(H99=Y104,6,IF(H99=Y105,9,0)))))))))</f>
        <v>6</v>
      </c>
      <c r="I57" s="13"/>
      <c r="J57" s="13"/>
      <c r="K57" s="14"/>
      <c r="L57" s="2"/>
      <c r="M57" s="6" t="s">
        <v>85</v>
      </c>
      <c r="N57" s="13">
        <f>IF(N99=Y97,1,IF(N99=Y98,1,IF(N99=Y99,3,IF(N99=Y100,6,IF(N99=Y101,9,IF(N99=Y102,12,IF(N99=Y103,3,IF(N99=Y104,6,IF(N99=Y105,9,0)))))))))</f>
        <v>6</v>
      </c>
      <c r="O57" s="13"/>
      <c r="P57" s="13"/>
      <c r="Q57" s="14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IF(B99=Y97,H29-B57,IF(B99=Y98,H29-B57,IF(B99=Y99,H29-1,IF(B99=Y100,H29-1,IF(B99=Y101,H29-1,IF(B99=Y102,H29-1,IF(B99=Y103,H29-B57,IF(B99=Y104,H29-B57,IF(B99=Y105,H29-B57,0)))))))))</f>
        <v>34</v>
      </c>
      <c r="C58" s="13"/>
      <c r="D58" s="13"/>
      <c r="E58" s="14"/>
      <c r="F58" s="2"/>
      <c r="G58" s="6" t="s">
        <v>86</v>
      </c>
      <c r="H58" s="13">
        <f>IF(H99=Y97,H29-H57,IF(H99=Y98,H29-H57,IF(H99=Y99,H29-1,IF(H99=Y100,H29-1,IF(H99=Y101,H29-1,IF(H99=Y102,H29-1,IF(H99=Y103,H29-H57,IF(H99=Y104,H29-H57,IF(H99=Y105,H29-H57,0)))))))))</f>
        <v>34</v>
      </c>
      <c r="I58" s="13"/>
      <c r="J58" s="13"/>
      <c r="K58" s="14"/>
      <c r="L58" s="2"/>
      <c r="M58" s="6" t="s">
        <v>86</v>
      </c>
      <c r="N58" s="13">
        <f>IF(N99=Y97,H29-N57,IF(N99=Y98,H29-N57,IF(N99=Y99,H29-1,IF(N99=Y100,H29-1,IF(N99=Y101,H29-1,IF(N99=Y102,H29-1,IF(N99=Y103,H29-N57,IF(N99=Y104,H29-N57,IF(N99=Y105,H29-N57,0)))))))))</f>
        <v>34</v>
      </c>
      <c r="O58" s="13"/>
      <c r="P58" s="13"/>
      <c r="Q58" s="14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6"/>
      <c r="N59" s="13"/>
      <c r="O59" s="13"/>
      <c r="P59" s="13"/>
      <c r="Q59" s="14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/>
      <c r="B60" s="13"/>
      <c r="C60" s="13"/>
      <c r="D60" s="13"/>
      <c r="E60" s="14"/>
      <c r="F60" s="2"/>
      <c r="G60" s="6"/>
      <c r="H60" s="13"/>
      <c r="I60" s="13"/>
      <c r="J60" s="13"/>
      <c r="K60" s="14"/>
      <c r="L60" s="2"/>
      <c r="M60" s="6"/>
      <c r="N60" s="13"/>
      <c r="O60" s="13"/>
      <c r="P60" s="13"/>
      <c r="Q60" s="14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57885</v>
      </c>
      <c r="C61" s="13"/>
      <c r="D61" s="13"/>
      <c r="E61" s="14"/>
      <c r="F61" s="2"/>
      <c r="G61" s="6" t="s">
        <v>14</v>
      </c>
      <c r="H61" s="12">
        <f>G18</f>
        <v>57885</v>
      </c>
      <c r="I61" s="13"/>
      <c r="J61" s="13"/>
      <c r="K61" s="14"/>
      <c r="L61" s="2"/>
      <c r="M61" s="6" t="s">
        <v>14</v>
      </c>
      <c r="N61" s="12">
        <f>G18</f>
        <v>57885</v>
      </c>
      <c r="O61" s="13"/>
      <c r="P61" s="13"/>
      <c r="Q61" s="14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78" t="s">
        <v>277</v>
      </c>
      <c r="N62" s="79">
        <v>0.07</v>
      </c>
      <c r="O62" s="13"/>
      <c r="P62" s="13"/>
      <c r="Q62" s="14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B62+(B62*0.25*((H29/12)-1))</f>
        <v>0.103541666666667</v>
      </c>
      <c r="C63" s="13"/>
      <c r="D63" s="13"/>
      <c r="E63" s="14"/>
      <c r="F63" s="2"/>
      <c r="G63" s="6" t="s">
        <v>278</v>
      </c>
      <c r="H63" s="10">
        <f>H62+(H62*0.25*(H29/12-1))</f>
        <v>0.103541666666667</v>
      </c>
      <c r="I63" s="13"/>
      <c r="J63" s="13"/>
      <c r="K63" s="14"/>
      <c r="L63" s="2"/>
      <c r="M63" s="6" t="s">
        <v>278</v>
      </c>
      <c r="N63" s="10">
        <f>N62+(N62*0.25*(H29/12-1))</f>
        <v>0.103541666666667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B61*B63</f>
        <v>5993.509375</v>
      </c>
      <c r="C64" s="222">
        <v>10000</v>
      </c>
      <c r="D64" s="12">
        <f>B64</f>
        <v>5993.509375</v>
      </c>
      <c r="E64" s="223">
        <f>D64/(B58+B57)</f>
        <v>171.243125</v>
      </c>
      <c r="F64" s="2"/>
      <c r="G64" s="72" t="s">
        <v>91</v>
      </c>
      <c r="H64" s="80">
        <f>H61*H63</f>
        <v>5993.509375</v>
      </c>
      <c r="I64" s="13"/>
      <c r="J64" s="12">
        <f>H64-G145</f>
        <v>5993.509375</v>
      </c>
      <c r="K64" s="14"/>
      <c r="L64" s="2"/>
      <c r="M64" s="72" t="s">
        <v>91</v>
      </c>
      <c r="N64" s="80">
        <f>N61*N63</f>
        <v>5993.509375</v>
      </c>
      <c r="O64" s="13"/>
      <c r="P64" s="12">
        <f>N64-M145</f>
        <v>5993.509375</v>
      </c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2"/>
      <c r="E65" s="14"/>
      <c r="F65" s="2"/>
      <c r="G65" s="78" t="s">
        <v>92</v>
      </c>
      <c r="H65" s="79">
        <v>0.01</v>
      </c>
      <c r="I65" s="13"/>
      <c r="J65" s="13"/>
      <c r="K65" s="14"/>
      <c r="L65" s="2"/>
      <c r="M65" s="78" t="s">
        <v>92</v>
      </c>
      <c r="N65" s="79">
        <v>0.01</v>
      </c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0.0195833333333333</v>
      </c>
      <c r="C66" s="224" t="s">
        <v>223</v>
      </c>
      <c r="D66" s="13"/>
      <c r="E66" s="14"/>
      <c r="F66" s="2"/>
      <c r="G66" s="6" t="s">
        <v>93</v>
      </c>
      <c r="H66" s="10">
        <f>H65+(H65*0.5*(H29/12-1))</f>
        <v>0.0195833333333333</v>
      </c>
      <c r="I66" s="13"/>
      <c r="J66" s="13"/>
      <c r="K66" s="14"/>
      <c r="L66" s="2"/>
      <c r="M66" s="6" t="s">
        <v>93</v>
      </c>
      <c r="N66" s="10">
        <f>N65+(N65*0.5*(H29/12-1))</f>
        <v>0.0195833333333333</v>
      </c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B61*B66</f>
        <v>1133.58125</v>
      </c>
      <c r="C67" s="225" t="s">
        <v>223</v>
      </c>
      <c r="D67" s="226"/>
      <c r="E67" s="14"/>
      <c r="F67" s="2"/>
      <c r="G67" s="72" t="s">
        <v>94</v>
      </c>
      <c r="H67" s="80">
        <f>(H61*H66)/1.2</f>
        <v>944.651041666667</v>
      </c>
      <c r="I67" s="13"/>
      <c r="J67" s="12"/>
      <c r="K67" s="14"/>
      <c r="L67" s="2"/>
      <c r="M67" s="72" t="s">
        <v>94</v>
      </c>
      <c r="N67" s="80">
        <f>(N61*N66)/1.2</f>
        <v>944.651041666667</v>
      </c>
      <c r="O67" s="13"/>
      <c r="P67" s="12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227"/>
      <c r="D68" s="12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78" t="s">
        <v>95</v>
      </c>
      <c r="N68" s="79">
        <v>0.0075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3" t="s">
        <v>96</v>
      </c>
      <c r="N69" s="85">
        <v>0.12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72" t="s">
        <v>97</v>
      </c>
      <c r="N70" s="236">
        <f>N68*(1+N69)</f>
        <v>0.0084</v>
      </c>
      <c r="O70" s="13"/>
      <c r="P70" s="13"/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78" t="s">
        <v>98</v>
      </c>
      <c r="N71" s="87">
        <v>160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3" t="s">
        <v>99</v>
      </c>
      <c r="N72" s="88">
        <v>4.5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175</v>
      </c>
      <c r="C73" s="13"/>
      <c r="D73" s="228">
        <f>B73+B71</f>
        <v>375</v>
      </c>
      <c r="E73" s="14" t="s">
        <v>229</v>
      </c>
      <c r="F73" s="2"/>
      <c r="G73" s="72" t="s">
        <v>100</v>
      </c>
      <c r="H73" s="80">
        <f>H72*H29</f>
        <v>157.5</v>
      </c>
      <c r="I73" s="13"/>
      <c r="J73" s="12">
        <f>H73+H71</f>
        <v>317.5</v>
      </c>
      <c r="K73" s="14"/>
      <c r="L73" s="2"/>
      <c r="M73" s="72" t="s">
        <v>100</v>
      </c>
      <c r="N73" s="80">
        <f>N72*H29</f>
        <v>157.5</v>
      </c>
      <c r="O73" s="13"/>
      <c r="P73" s="12">
        <f>N73+N71</f>
        <v>317.5</v>
      </c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165</v>
      </c>
      <c r="I74" s="13"/>
      <c r="J74" s="13"/>
      <c r="K74" s="14"/>
      <c r="L74" s="2"/>
      <c r="M74" s="198" t="s">
        <v>279</v>
      </c>
      <c r="N74" s="199">
        <v>0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/>
      <c r="D75" s="13"/>
      <c r="E75" s="14"/>
      <c r="F75" s="2"/>
      <c r="G75" s="3" t="s">
        <v>280</v>
      </c>
      <c r="H75" s="88">
        <v>0</v>
      </c>
      <c r="I75" s="13"/>
      <c r="J75" s="13"/>
      <c r="K75" s="14"/>
      <c r="L75" s="2"/>
      <c r="M75" s="200" t="s">
        <v>280</v>
      </c>
      <c r="N75" s="201">
        <v>0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330</v>
      </c>
      <c r="I76" s="13"/>
      <c r="J76" s="12">
        <f>H76</f>
        <v>330</v>
      </c>
      <c r="K76" s="14"/>
      <c r="L76" s="2"/>
      <c r="M76" s="202" t="s">
        <v>281</v>
      </c>
      <c r="N76" s="203">
        <f>((N74+N75)/12)*(H29-11)</f>
        <v>0</v>
      </c>
      <c r="O76" s="13"/>
      <c r="P76" s="12">
        <f>N76</f>
        <v>0</v>
      </c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5" t="s">
        <v>282</v>
      </c>
      <c r="B77" s="95">
        <f>B102/(1-0.1)</f>
        <v>0</v>
      </c>
      <c r="C77" s="229"/>
      <c r="D77" s="12">
        <f>B77</f>
        <v>0</v>
      </c>
      <c r="E77" s="223">
        <f>D77/(B58+B57)</f>
        <v>0</v>
      </c>
      <c r="F77" s="2"/>
      <c r="G77" s="78" t="s">
        <v>282</v>
      </c>
      <c r="H77" s="87">
        <v>0</v>
      </c>
      <c r="I77" s="13"/>
      <c r="J77" s="12">
        <f>H77</f>
        <v>0</v>
      </c>
      <c r="K77" s="14"/>
      <c r="L77" s="2"/>
      <c r="M77" s="78" t="s">
        <v>282</v>
      </c>
      <c r="N77" s="87">
        <v>0</v>
      </c>
      <c r="O77" s="13"/>
      <c r="P77" s="12">
        <f>N77</f>
        <v>0</v>
      </c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0</v>
      </c>
      <c r="C78" s="229"/>
      <c r="D78" s="12">
        <f>B78</f>
        <v>0</v>
      </c>
      <c r="E78" s="223"/>
      <c r="F78" s="2"/>
      <c r="G78" s="6" t="s">
        <v>283</v>
      </c>
      <c r="H78" s="11">
        <v>0</v>
      </c>
      <c r="I78" s="13"/>
      <c r="J78" s="12">
        <f>H78</f>
        <v>0</v>
      </c>
      <c r="K78" s="14"/>
      <c r="L78" s="2"/>
      <c r="M78" s="6" t="s">
        <v>283</v>
      </c>
      <c r="N78" s="11">
        <v>0</v>
      </c>
      <c r="O78" s="13"/>
      <c r="P78" s="12">
        <f>N78</f>
        <v>0</v>
      </c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229"/>
      <c r="D79" s="12">
        <f>B79</f>
        <v>200</v>
      </c>
      <c r="E79" s="223"/>
      <c r="F79" s="2"/>
      <c r="G79" s="3" t="s">
        <v>101</v>
      </c>
      <c r="H79" s="88">
        <v>200</v>
      </c>
      <c r="I79" s="13"/>
      <c r="J79" s="12">
        <f>H79</f>
        <v>200</v>
      </c>
      <c r="K79" s="14"/>
      <c r="L79" s="2"/>
      <c r="M79" s="3" t="s">
        <v>101</v>
      </c>
      <c r="N79" s="88">
        <v>200</v>
      </c>
      <c r="O79" s="13"/>
      <c r="P79" s="12">
        <f>N79</f>
        <v>200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229"/>
      <c r="D80" s="12">
        <f>B80</f>
        <v>200</v>
      </c>
      <c r="E80" s="223">
        <f>(D73+D76+D79+D80)/(B58+B57)</f>
        <v>22.1428571428571</v>
      </c>
      <c r="F80" s="2"/>
      <c r="G80" s="89" t="s">
        <v>102</v>
      </c>
      <c r="H80" s="90">
        <v>200</v>
      </c>
      <c r="I80" s="13"/>
      <c r="J80" s="12">
        <f>H80</f>
        <v>200</v>
      </c>
      <c r="K80" s="14"/>
      <c r="L80" s="2"/>
      <c r="M80" s="89" t="s">
        <v>102</v>
      </c>
      <c r="N80" s="90">
        <v>200</v>
      </c>
      <c r="O80" s="13"/>
      <c r="P80" s="12">
        <f>N80</f>
        <v>200</v>
      </c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6768.509375</v>
      </c>
      <c r="C81" s="229"/>
      <c r="D81" s="230"/>
      <c r="E81" s="223"/>
      <c r="F81" s="2"/>
      <c r="G81" s="91" t="s">
        <v>103</v>
      </c>
      <c r="H81" s="92">
        <f>SUM(J64:J80)</f>
        <v>7041.009375</v>
      </c>
      <c r="I81" s="13"/>
      <c r="J81" s="13"/>
      <c r="K81" s="14"/>
      <c r="L81" s="2"/>
      <c r="M81" s="91" t="s">
        <v>103</v>
      </c>
      <c r="N81" s="92">
        <f>SUM(P64:P80)</f>
        <v>6711.009375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193.385982142857</v>
      </c>
      <c r="C82" s="229"/>
      <c r="D82" s="13"/>
      <c r="E82" s="223"/>
      <c r="F82" s="2"/>
      <c r="G82" s="6" t="s">
        <v>104</v>
      </c>
      <c r="H82" s="11">
        <f>H81/H29</f>
        <v>201.171696428571</v>
      </c>
      <c r="I82" s="13"/>
      <c r="J82" s="13"/>
      <c r="K82" s="14"/>
      <c r="L82" s="2"/>
      <c r="M82" s="6" t="s">
        <v>104</v>
      </c>
      <c r="N82" s="11">
        <f>N81/H29</f>
        <v>191.743125</v>
      </c>
      <c r="O82" s="13"/>
      <c r="P82" s="13"/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H47</f>
        <v>1429.06681888985</v>
      </c>
      <c r="C83" s="229"/>
      <c r="D83" s="13"/>
      <c r="E83" s="223">
        <f>B83+E80+E77+E64</f>
        <v>1622.4528010327</v>
      </c>
      <c r="F83" s="2"/>
      <c r="G83" s="93" t="s">
        <v>105</v>
      </c>
      <c r="H83" s="94">
        <f>H47</f>
        <v>1429.06681888985</v>
      </c>
      <c r="I83" s="13"/>
      <c r="J83" s="13"/>
      <c r="K83" s="14"/>
      <c r="L83" s="2"/>
      <c r="M83" s="93" t="s">
        <v>105</v>
      </c>
      <c r="N83" s="94">
        <f>H47</f>
        <v>1429.06681888985</v>
      </c>
      <c r="O83" s="13"/>
      <c r="P83" s="13"/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229"/>
      <c r="D84" s="229"/>
      <c r="E84" s="223"/>
      <c r="F84" s="2"/>
      <c r="G84" s="6"/>
      <c r="H84" s="12"/>
      <c r="I84" s="13"/>
      <c r="J84" s="13"/>
      <c r="K84" s="14"/>
      <c r="L84" s="2"/>
      <c r="M84" s="6"/>
      <c r="N84" s="12"/>
      <c r="O84" s="13"/>
      <c r="P84" s="13"/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((B83*H29)+B81)</f>
        <v>56785.8480361446</v>
      </c>
      <c r="C85" s="229"/>
      <c r="D85" s="229"/>
      <c r="E85" s="223">
        <f>B85/(B58+B57)</f>
        <v>1622.4528010327</v>
      </c>
      <c r="F85" s="2"/>
      <c r="G85" s="75" t="s">
        <v>115</v>
      </c>
      <c r="H85" s="95">
        <f>((H83*H29)+H81)*1.2</f>
        <v>68470.0176433735</v>
      </c>
      <c r="I85" s="13"/>
      <c r="J85" s="13"/>
      <c r="K85" s="14"/>
      <c r="L85" s="2"/>
      <c r="M85" s="75" t="s">
        <v>115</v>
      </c>
      <c r="N85" s="95">
        <f>((N83*H29)+N81)</f>
        <v>56728.3480361446</v>
      </c>
      <c r="O85" s="13"/>
      <c r="P85" s="13"/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(((B83*H29)+B81)/(1-B70))*B70</f>
        <v>481.041875255763</v>
      </c>
      <c r="C86" s="229" t="s">
        <v>232</v>
      </c>
      <c r="D86" s="13"/>
      <c r="E86" s="223">
        <f>B86/(B58+B57)</f>
        <v>13.7440535787361</v>
      </c>
      <c r="F86" s="2"/>
      <c r="G86" s="6" t="s">
        <v>116</v>
      </c>
      <c r="H86" s="11">
        <f>((((H83*H29)+H81))/(1-H70))*H70</f>
        <v>483.350265735796</v>
      </c>
      <c r="I86" s="13"/>
      <c r="J86" s="13"/>
      <c r="K86" s="14"/>
      <c r="L86" s="2"/>
      <c r="M86" s="6" t="s">
        <v>116</v>
      </c>
      <c r="N86" s="11">
        <f>(N85/(1-N70))*N70</f>
        <v>480.554783686582</v>
      </c>
      <c r="O86" s="13"/>
      <c r="P86" s="13"/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57266.8899114004</v>
      </c>
      <c r="C87" s="229"/>
      <c r="D87" s="231"/>
      <c r="E87" s="223">
        <f>E86+E85</f>
        <v>1636.19685461144</v>
      </c>
      <c r="F87" s="2"/>
      <c r="G87" s="72" t="s">
        <v>117</v>
      </c>
      <c r="H87" s="80">
        <f>IF(H110="YES",((H85+H86)-K114),(H85+H86))</f>
        <v>68953.3679091093</v>
      </c>
      <c r="I87" s="13"/>
      <c r="J87" s="13"/>
      <c r="K87" s="14"/>
      <c r="L87" s="2"/>
      <c r="M87" s="72" t="s">
        <v>117</v>
      </c>
      <c r="N87" s="80">
        <f>IF(N110="YES",((N85+N86)-Q114),(N85+N86))</f>
        <v>57208.9028198312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229"/>
      <c r="D88" s="13"/>
      <c r="E88" s="223"/>
      <c r="F88" s="2"/>
      <c r="G88" s="6"/>
      <c r="H88" s="12"/>
      <c r="I88" s="13"/>
      <c r="J88" s="13"/>
      <c r="K88" s="14"/>
      <c r="L88" s="2"/>
      <c r="M88" s="6"/>
      <c r="N88" s="12"/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2">
        <f>IF(B99=Y98,(I32+(I32*B105))/(B58),(I32+(I32*B105))/(B57+B58))*(C45/100)</f>
        <v>62.868</v>
      </c>
      <c r="C89" s="229"/>
      <c r="D89" s="13"/>
      <c r="E89" s="14"/>
      <c r="F89" s="2"/>
      <c r="G89" s="91" t="s">
        <v>118</v>
      </c>
      <c r="H89" s="92">
        <f>IF(H99=Y98,(D40+(D40*H105))/(H58),(D40+(D40*H105))/(H57+H58))*1.2</f>
        <v>132.0228</v>
      </c>
      <c r="I89" s="13"/>
      <c r="J89" s="13"/>
      <c r="K89" s="14"/>
      <c r="L89" s="2"/>
      <c r="M89" s="91" t="s">
        <v>118</v>
      </c>
      <c r="N89" s="92">
        <f>IF(N99=Y98,(D40+(D40*N105))/(N58),(D40+(D40*N105))/(N57+N58))</f>
        <v>110.019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IF(B99=Y98,(B87-D105)/(B58),B87/(B57+B58))</f>
        <v>1636.19685461144</v>
      </c>
      <c r="C90" s="229"/>
      <c r="D90" s="13"/>
      <c r="E90" s="232"/>
      <c r="F90" s="2"/>
      <c r="G90" s="97" t="s">
        <v>119</v>
      </c>
      <c r="H90" s="98">
        <f>IF(H99=Y98,(H87-J105)/(H58),H87/(H57+H58))</f>
        <v>1723.83419772773</v>
      </c>
      <c r="I90" s="13"/>
      <c r="J90" s="13"/>
      <c r="K90" s="14"/>
      <c r="L90" s="2"/>
      <c r="M90" s="97" t="s">
        <v>119</v>
      </c>
      <c r="N90" s="98">
        <f>IF(N99=Y98,(N87-P105)/(N58),N87/(N57+N58))</f>
        <v>1430.22257049578</v>
      </c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1699.06485461144</v>
      </c>
      <c r="C91" s="229"/>
      <c r="D91" s="233"/>
      <c r="E91" s="194"/>
      <c r="F91" s="2"/>
      <c r="G91" s="99" t="s">
        <v>120</v>
      </c>
      <c r="H91" s="100">
        <f>IF(G105="YES",H90+H89,H90)</f>
        <v>1855.85699772773</v>
      </c>
      <c r="I91" s="13"/>
      <c r="J91" s="13"/>
      <c r="K91" s="14"/>
      <c r="L91" s="2"/>
      <c r="M91" s="99" t="s">
        <v>120</v>
      </c>
      <c r="N91" s="100">
        <f>IF(M105="YES",N90+N89,N90)</f>
        <v>1540.24157049578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234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72"/>
      <c r="N92" s="73"/>
      <c r="O92" s="73"/>
      <c r="P92" s="73"/>
      <c r="Q92" s="7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13"/>
      <c r="N93" s="13"/>
      <c r="O93" s="13"/>
      <c r="P93" s="13"/>
      <c r="Q93" s="13"/>
      <c r="R93" s="2"/>
      <c r="S93" s="2"/>
      <c r="T93" s="2"/>
      <c r="U93" s="2"/>
      <c r="V93" s="2"/>
      <c r="W93" s="2"/>
      <c r="X93" s="2"/>
      <c r="Y93" s="2"/>
      <c r="Z93" s="2"/>
    </row>
    <row r="94" ht="56.2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6" t="s">
        <v>341</v>
      </c>
      <c r="N94" s="26"/>
      <c r="O94" s="26"/>
      <c r="P94" s="26"/>
      <c r="Q94" s="26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 t="s">
        <v>376</v>
      </c>
      <c r="F95" s="2"/>
      <c r="G95" s="6"/>
      <c r="H95" s="13"/>
      <c r="I95" s="13"/>
      <c r="J95" s="13"/>
      <c r="K95" s="14"/>
      <c r="L95" s="2"/>
      <c r="M95" s="6"/>
      <c r="N95" s="13"/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7" t="s">
        <v>126</v>
      </c>
      <c r="N96" s="27"/>
      <c r="O96" s="27"/>
      <c r="P96" s="27"/>
      <c r="Q96" s="27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9">
      <c r="A97" s="6"/>
      <c r="B97" s="235"/>
      <c r="C97" s="235"/>
      <c r="D97" s="13"/>
      <c r="E97" s="14"/>
      <c r="F97" s="2"/>
      <c r="G97" s="6"/>
      <c r="H97" s="13"/>
      <c r="I97" s="13"/>
      <c r="J97" s="13"/>
      <c r="K97" s="14"/>
      <c r="L97" s="2"/>
      <c r="M97" s="6"/>
      <c r="N97" s="13"/>
      <c r="O97" s="13"/>
      <c r="P97" s="13"/>
      <c r="Q97" s="14"/>
      <c r="R97" s="2"/>
      <c r="S97" s="2"/>
      <c r="T97" s="2"/>
      <c r="U97" s="2"/>
      <c r="V97" s="2"/>
      <c r="W97" s="2"/>
      <c r="X97" s="2"/>
      <c r="Y97" s="2" t="s">
        <v>130</v>
      </c>
      <c r="Z97" s="2"/>
      <c r="AC97" s="237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6" t="s">
        <v>127</v>
      </c>
      <c r="N98" s="13" t="s">
        <v>23</v>
      </c>
      <c r="O98" s="13"/>
      <c r="P98" s="13" t="s">
        <v>285</v>
      </c>
      <c r="Q98" s="14"/>
      <c r="R98" s="2"/>
      <c r="S98" s="2"/>
      <c r="T98" s="2"/>
      <c r="U98" s="2"/>
      <c r="V98" s="2"/>
      <c r="W98" s="2"/>
      <c r="X98" s="2"/>
      <c r="Y98" s="2" t="s">
        <v>263</v>
      </c>
      <c r="Z98" s="2"/>
    </row>
    <row r="99" ht="18.75" customHeight="1" spans="1:26">
      <c r="A99" s="30" t="s">
        <v>286</v>
      </c>
      <c r="B99" s="101" t="s">
        <v>130</v>
      </c>
      <c r="C99" s="101"/>
      <c r="D99" s="102">
        <v>1000</v>
      </c>
      <c r="E99" s="102"/>
      <c r="F99" s="2"/>
      <c r="G99" s="30" t="s">
        <v>286</v>
      </c>
      <c r="H99" s="101" t="s">
        <v>265</v>
      </c>
      <c r="I99" s="101"/>
      <c r="J99" s="102">
        <v>0</v>
      </c>
      <c r="K99" s="102"/>
      <c r="L99" s="2"/>
      <c r="M99" s="30" t="s">
        <v>286</v>
      </c>
      <c r="N99" s="101" t="s">
        <v>265</v>
      </c>
      <c r="O99" s="101"/>
      <c r="P99" s="102">
        <v>0</v>
      </c>
      <c r="Q99" s="102"/>
      <c r="R99" s="2"/>
      <c r="S99" s="2"/>
      <c r="T99" s="2"/>
      <c r="U99" s="2"/>
      <c r="V99" s="2"/>
      <c r="W99" s="2"/>
      <c r="X99" s="2"/>
      <c r="Y99" s="2" t="s">
        <v>264</v>
      </c>
      <c r="Z99" s="2"/>
    </row>
    <row r="100" ht="18.75" customHeight="1" spans="1:26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6"/>
      <c r="N100" s="13"/>
      <c r="O100" s="13"/>
      <c r="P100" s="13"/>
      <c r="Q100" s="14"/>
      <c r="R100" s="2"/>
      <c r="S100" s="2"/>
      <c r="T100" s="2"/>
      <c r="U100" s="2"/>
      <c r="V100" s="2"/>
      <c r="W100" s="2"/>
      <c r="X100" s="2"/>
      <c r="Y100" s="2" t="s">
        <v>265</v>
      </c>
      <c r="Z100" s="2"/>
    </row>
    <row r="101" ht="18.75" customHeight="1" spans="1:26">
      <c r="A101" s="6" t="s">
        <v>287</v>
      </c>
      <c r="B101" s="13" t="s">
        <v>288</v>
      </c>
      <c r="C101" s="13"/>
      <c r="D101" s="13" t="s">
        <v>377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6" t="s">
        <v>287</v>
      </c>
      <c r="N101" s="13" t="s">
        <v>288</v>
      </c>
      <c r="O101" s="13"/>
      <c r="P101" s="13" t="s">
        <v>289</v>
      </c>
      <c r="Q101" s="14"/>
      <c r="R101" s="2"/>
      <c r="S101" s="2"/>
      <c r="T101" s="2"/>
      <c r="U101" s="2"/>
      <c r="V101" s="2"/>
      <c r="W101" s="2"/>
      <c r="X101" s="2"/>
      <c r="Y101" s="2" t="s">
        <v>266</v>
      </c>
      <c r="Z101" s="2"/>
    </row>
    <row r="102" ht="18.75" customHeight="1" spans="1:26">
      <c r="A102" s="103">
        <v>199.99</v>
      </c>
      <c r="B102" s="102">
        <v>0</v>
      </c>
      <c r="C102" s="102"/>
      <c r="D102" s="102">
        <v>0</v>
      </c>
      <c r="E102" s="102"/>
      <c r="F102" s="2"/>
      <c r="G102" s="103">
        <v>199.99</v>
      </c>
      <c r="H102" s="102">
        <v>0</v>
      </c>
      <c r="I102" s="102"/>
      <c r="J102" s="102">
        <v>0</v>
      </c>
      <c r="K102" s="102"/>
      <c r="L102" s="2"/>
      <c r="M102" s="103">
        <v>199.99</v>
      </c>
      <c r="N102" s="102">
        <v>0</v>
      </c>
      <c r="O102" s="102"/>
      <c r="P102" s="102">
        <v>0</v>
      </c>
      <c r="Q102" s="102"/>
      <c r="R102" s="2"/>
      <c r="S102" s="2"/>
      <c r="T102" s="2"/>
      <c r="U102" s="2"/>
      <c r="V102" s="2"/>
      <c r="W102" s="2"/>
      <c r="X102" s="2"/>
      <c r="Y102" s="2" t="s">
        <v>267</v>
      </c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 t="s">
        <v>268</v>
      </c>
      <c r="Z103" s="2"/>
    </row>
    <row r="104" ht="18.75" customHeight="1" spans="1:26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30" t="s">
        <v>128</v>
      </c>
      <c r="N104" s="2" t="s">
        <v>131</v>
      </c>
      <c r="O104" s="13"/>
      <c r="P104" s="13" t="s">
        <v>142</v>
      </c>
      <c r="Q104" s="14"/>
      <c r="R104" s="2"/>
      <c r="S104" s="2"/>
      <c r="T104" s="2"/>
      <c r="U104" s="2"/>
      <c r="V104" s="2"/>
      <c r="W104" s="2"/>
      <c r="X104" s="2"/>
      <c r="Y104" s="2" t="s">
        <v>269</v>
      </c>
      <c r="Z104" s="2"/>
    </row>
    <row r="105" ht="18.75" customHeight="1" spans="1:26">
      <c r="A105" s="32" t="s">
        <v>18</v>
      </c>
      <c r="B105" s="104">
        <v>0.2</v>
      </c>
      <c r="C105" s="104"/>
      <c r="D105" s="102">
        <v>200</v>
      </c>
      <c r="E105" s="102"/>
      <c r="F105" s="2"/>
      <c r="G105" s="32" t="s">
        <v>18</v>
      </c>
      <c r="H105" s="104">
        <v>0.2</v>
      </c>
      <c r="I105" s="104"/>
      <c r="J105" s="102"/>
      <c r="K105" s="102"/>
      <c r="L105" s="2"/>
      <c r="M105" s="32" t="s">
        <v>18</v>
      </c>
      <c r="N105" s="104">
        <v>0.2</v>
      </c>
      <c r="O105" s="104"/>
      <c r="P105" s="102">
        <v>0</v>
      </c>
      <c r="Q105" s="102"/>
      <c r="R105" s="2"/>
      <c r="S105" s="2"/>
      <c r="T105" s="2"/>
      <c r="U105" s="2"/>
      <c r="V105" s="2"/>
      <c r="W105" s="2"/>
      <c r="X105" s="2"/>
      <c r="Y105" s="2" t="s">
        <v>270</v>
      </c>
      <c r="Z105" s="2"/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/>
    </row>
    <row r="107" ht="18.75" customHeight="1" spans="1:26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6"/>
      <c r="N107" s="13" t="s">
        <v>342</v>
      </c>
      <c r="O107" s="32" t="s">
        <v>18</v>
      </c>
      <c r="P107" s="13"/>
      <c r="Q107" s="14"/>
      <c r="R107" s="2"/>
      <c r="S107" s="2"/>
      <c r="T107" s="2"/>
      <c r="U107" s="2"/>
      <c r="V107" s="2"/>
      <c r="W107" s="2"/>
      <c r="X107" s="2"/>
      <c r="Y107" s="2"/>
      <c r="Z107" s="2"/>
    </row>
    <row r="108" ht="18.75" customHeight="1" spans="1:26">
      <c r="A108" s="27">
        <v>199.99</v>
      </c>
      <c r="B108" s="27">
        <v>0</v>
      </c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7" t="s">
        <v>290</v>
      </c>
      <c r="N108" s="27"/>
      <c r="O108" s="27"/>
      <c r="P108" s="27"/>
      <c r="Q108" s="27"/>
      <c r="R108" s="2"/>
      <c r="S108" s="2"/>
      <c r="T108" s="2"/>
      <c r="U108" s="2"/>
      <c r="V108" s="2"/>
      <c r="W108" s="2"/>
      <c r="X108" s="2"/>
      <c r="Y108" s="2"/>
      <c r="Z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/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6" t="s">
        <v>291</v>
      </c>
      <c r="N110" s="32" t="s">
        <v>19</v>
      </c>
      <c r="O110" s="13"/>
      <c r="P110" s="13"/>
      <c r="Q110" s="14"/>
      <c r="R110" s="2"/>
      <c r="S110" s="2"/>
      <c r="T110" s="2"/>
      <c r="U110" s="2"/>
      <c r="V110" s="2"/>
      <c r="W110" s="2"/>
      <c r="X110" s="2"/>
      <c r="Y110" s="2"/>
      <c r="Z110" s="2"/>
    </row>
    <row r="111" ht="18.75" customHeight="1" spans="1:26">
      <c r="A111" s="6" t="s">
        <v>19</v>
      </c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6"/>
      <c r="N111" s="13"/>
      <c r="O111" s="13"/>
      <c r="P111" s="13"/>
      <c r="Q111" s="14"/>
      <c r="R111" s="2"/>
      <c r="S111" s="2"/>
      <c r="T111" s="2"/>
      <c r="U111" s="2"/>
      <c r="V111" s="2"/>
      <c r="W111" s="2"/>
      <c r="X111" s="2"/>
      <c r="Y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0</v>
      </c>
      <c r="K112" s="102">
        <v>0</v>
      </c>
      <c r="L112" s="2"/>
      <c r="M112" s="6" t="s">
        <v>176</v>
      </c>
      <c r="N112" s="13"/>
      <c r="O112" s="13"/>
      <c r="P112" s="103">
        <v>500</v>
      </c>
      <c r="Q112" s="102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0</v>
      </c>
      <c r="K113" s="102">
        <v>0</v>
      </c>
      <c r="L113" s="2"/>
      <c r="M113" s="6" t="s">
        <v>177</v>
      </c>
      <c r="N113" s="13"/>
      <c r="O113" s="13"/>
      <c r="P113" s="105">
        <f>Q113</f>
        <v>100</v>
      </c>
      <c r="Q113" s="102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0</v>
      </c>
      <c r="K114" s="106">
        <f>K112-K113</f>
        <v>0</v>
      </c>
      <c r="L114" s="2"/>
      <c r="M114" s="6" t="s">
        <v>178</v>
      </c>
      <c r="N114" s="13"/>
      <c r="O114" s="13"/>
      <c r="P114" s="105">
        <f>P112-P113</f>
        <v>400</v>
      </c>
      <c r="Q114" s="106">
        <f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0</v>
      </c>
      <c r="K115" s="14"/>
      <c r="L115" s="2"/>
      <c r="M115" s="6" t="s">
        <v>179</v>
      </c>
      <c r="N115" s="13"/>
      <c r="O115" s="13"/>
      <c r="P115" s="105">
        <f>P114-Q114</f>
        <v>200</v>
      </c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 t="s">
        <v>19</v>
      </c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6"/>
      <c r="N116" s="13"/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75" t="s">
        <v>138</v>
      </c>
      <c r="N117" s="76"/>
      <c r="O117" s="76"/>
      <c r="P117" s="76"/>
      <c r="Q117" s="95">
        <f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v>199.99</v>
      </c>
      <c r="F118" s="2"/>
      <c r="G118" s="6" t="s">
        <v>53</v>
      </c>
      <c r="H118" s="13"/>
      <c r="I118" s="13"/>
      <c r="J118" s="13"/>
      <c r="K118" s="11">
        <f>G102</f>
        <v>199.99</v>
      </c>
      <c r="L118" s="2"/>
      <c r="M118" s="6" t="s">
        <v>53</v>
      </c>
      <c r="N118" s="13"/>
      <c r="O118" s="13"/>
      <c r="P118" s="13"/>
      <c r="Q118" s="11">
        <f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(E118*1.2)+E117-E114</f>
        <v>-2760.012</v>
      </c>
      <c r="F119" s="2"/>
      <c r="G119" s="107" t="s">
        <v>292</v>
      </c>
      <c r="H119" s="73"/>
      <c r="I119" s="73"/>
      <c r="J119" s="73"/>
      <c r="K119" s="80">
        <f>((K118/1.2)+K117)-(J115-K113)</f>
        <v>166.658333333333</v>
      </c>
      <c r="L119" s="2"/>
      <c r="M119" s="107" t="s">
        <v>292</v>
      </c>
      <c r="N119" s="73"/>
      <c r="O119" s="73"/>
      <c r="P119" s="73"/>
      <c r="Q119" s="80">
        <f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6"/>
      <c r="N120" s="13"/>
      <c r="O120" s="13"/>
      <c r="P120" s="13"/>
      <c r="Q120" s="14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6"/>
      <c r="N121" s="13"/>
      <c r="O121" s="13"/>
      <c r="P121" s="13"/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7" t="s">
        <v>293</v>
      </c>
      <c r="N122" s="27"/>
      <c r="O122" s="27"/>
      <c r="P122" s="27"/>
      <c r="Q122" s="27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6"/>
      <c r="N123" s="13"/>
      <c r="O123" s="13"/>
      <c r="P123" s="13"/>
      <c r="Q123" s="14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6" t="s">
        <v>183</v>
      </c>
      <c r="N124" s="115">
        <v>0</v>
      </c>
      <c r="O124" s="115"/>
      <c r="P124" s="13"/>
      <c r="Q124" s="14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35</v>
      </c>
      <c r="C125" s="118"/>
      <c r="D125" s="117">
        <f>B160</f>
        <v>35000</v>
      </c>
      <c r="E125" s="114"/>
      <c r="F125" s="2"/>
      <c r="G125" s="6"/>
      <c r="H125" s="13"/>
      <c r="I125" s="13"/>
      <c r="J125" s="13"/>
      <c r="K125" s="14"/>
      <c r="L125" s="2"/>
      <c r="M125" s="6"/>
      <c r="N125" s="13"/>
      <c r="O125" s="13"/>
      <c r="P125" s="13"/>
      <c r="Q125" s="14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120" t="s">
        <v>296</v>
      </c>
      <c r="H126" s="121" t="s">
        <v>297</v>
      </c>
      <c r="I126" s="121"/>
      <c r="J126" s="121" t="s">
        <v>298</v>
      </c>
      <c r="K126" s="14"/>
      <c r="L126" s="2"/>
      <c r="M126" s="120" t="s">
        <v>343</v>
      </c>
      <c r="N126" s="121" t="s">
        <v>252</v>
      </c>
      <c r="O126" s="121"/>
      <c r="P126" s="121" t="s">
        <v>120</v>
      </c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125">
        <f>H90</f>
        <v>1723.83419772773</v>
      </c>
      <c r="H127" s="126">
        <f>IF(G105="YES",H89*H57,0)</f>
        <v>792.1368</v>
      </c>
      <c r="I127" s="126"/>
      <c r="J127" s="167">
        <f>H91</f>
        <v>1855.85699772773</v>
      </c>
      <c r="K127" s="14"/>
      <c r="L127" s="2"/>
      <c r="M127" s="125">
        <f>N90</f>
        <v>1430.22257049578</v>
      </c>
      <c r="N127" s="126">
        <f>IF(M105="YES",N89*N57,0)</f>
        <v>660.114</v>
      </c>
      <c r="O127" s="126"/>
      <c r="P127" s="126">
        <f>N91</f>
        <v>1540.24157049578</v>
      </c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1636.19685461144</v>
      </c>
      <c r="B128" s="113">
        <f>IF(A105="YES",B89,0)</f>
        <v>62.868</v>
      </c>
      <c r="C128" s="118"/>
      <c r="D128" s="113">
        <f>B91</f>
        <v>1699.06485461144</v>
      </c>
      <c r="E128" s="114"/>
      <c r="F128" s="2"/>
      <c r="G128" s="6"/>
      <c r="H128" s="13"/>
      <c r="I128" s="13"/>
      <c r="J128" s="13"/>
      <c r="K128" s="14"/>
      <c r="L128" s="2"/>
      <c r="M128" s="6"/>
      <c r="N128" s="13"/>
      <c r="O128" s="13"/>
      <c r="P128" s="13"/>
      <c r="Q128" s="14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108"/>
      <c r="B129" s="109"/>
      <c r="C129" s="109"/>
      <c r="D129" s="109"/>
      <c r="E129" s="110"/>
      <c r="F129" s="2"/>
      <c r="G129" s="6" t="s">
        <v>83</v>
      </c>
      <c r="H129" s="13" t="s">
        <v>84</v>
      </c>
      <c r="I129" s="13"/>
      <c r="J129" s="13" t="s">
        <v>86</v>
      </c>
      <c r="K129" s="14"/>
      <c r="L129" s="2"/>
      <c r="M129" s="6" t="s">
        <v>83</v>
      </c>
      <c r="N129" s="13" t="s">
        <v>84</v>
      </c>
      <c r="O129" s="13"/>
      <c r="P129" s="13" t="s">
        <v>86</v>
      </c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39">
        <f>G152</f>
        <v>35</v>
      </c>
      <c r="H130" s="40">
        <f>B151</f>
        <v>0</v>
      </c>
      <c r="I130" s="41"/>
      <c r="J130" s="40">
        <f>B58</f>
        <v>34</v>
      </c>
      <c r="K130" s="14"/>
      <c r="L130" s="2"/>
      <c r="M130" s="39">
        <f>M155</f>
        <v>35</v>
      </c>
      <c r="N130" s="40">
        <f>B151</f>
        <v>0</v>
      </c>
      <c r="O130" s="41"/>
      <c r="P130" s="40">
        <f>B58</f>
        <v>34</v>
      </c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20" t="str">
        <f>B99</f>
        <v> Monthly in advance </v>
      </c>
      <c r="B131" s="127">
        <f>B90*B57</f>
        <v>1636.19685461144</v>
      </c>
      <c r="C131" s="109"/>
      <c r="D131" s="127">
        <f>IF(A105="YES",B89*B57,0)</f>
        <v>62.868</v>
      </c>
      <c r="E131" s="110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6" t="s">
        <v>344</v>
      </c>
      <c r="N132" s="13" t="s">
        <v>241</v>
      </c>
      <c r="O132" s="13"/>
      <c r="P132" s="13" t="s">
        <v>245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10343.0051863664</v>
      </c>
      <c r="H133" s="133">
        <f>IF(G105="YES",H89*H57,0)</f>
        <v>792.1368</v>
      </c>
      <c r="I133" s="31"/>
      <c r="J133" s="53">
        <f>H91*H57</f>
        <v>11135.1419863664</v>
      </c>
      <c r="K133" s="14"/>
      <c r="L133" s="2"/>
      <c r="M133" s="132">
        <f>N90*N57</f>
        <v>8581.33542297468</v>
      </c>
      <c r="N133" s="133">
        <f>IF(M105="YES",N89*N57,0)</f>
        <v>660.114</v>
      </c>
      <c r="O133" s="31"/>
      <c r="P133" s="53">
        <f>N91*N57</f>
        <v>9241.44942297468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1699.06485461144</v>
      </c>
      <c r="B134" s="127">
        <f>E114</f>
        <v>4000</v>
      </c>
      <c r="C134" s="109"/>
      <c r="D134" s="135">
        <f>B58</f>
        <v>34</v>
      </c>
      <c r="E134" s="110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6" t="s">
        <v>254</v>
      </c>
      <c r="N135" s="13" t="s">
        <v>255</v>
      </c>
      <c r="O135" s="13"/>
      <c r="P135" s="13" t="s">
        <v>259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0.35121</v>
      </c>
      <c r="H136" s="133">
        <f>IF(G105="YES",E15*0.000002,0)</f>
        <v>0.11707</v>
      </c>
      <c r="I136" s="133"/>
      <c r="J136" s="133">
        <f>G136+H136</f>
        <v>0.46828</v>
      </c>
      <c r="K136" s="141"/>
      <c r="L136" s="2"/>
      <c r="M136" s="134">
        <f>E15*0.000006</f>
        <v>0.35121</v>
      </c>
      <c r="N136" s="133">
        <f>IF(M105="YES",E15*0.000002,0)</f>
        <v>0.11707</v>
      </c>
      <c r="O136" s="133"/>
      <c r="P136" s="133">
        <f>M136+N136</f>
        <v>0.46828</v>
      </c>
      <c r="Q136" s="141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1636.19685461144</v>
      </c>
      <c r="B137" s="127">
        <f>IF(A105="YES",B89,0)</f>
        <v>62.868</v>
      </c>
      <c r="C137" s="109"/>
      <c r="D137" s="127">
        <f>B91</f>
        <v>1699.06485461144</v>
      </c>
      <c r="E137" s="110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6" t="s">
        <v>141</v>
      </c>
      <c r="N138" s="13" t="s">
        <v>310</v>
      </c>
      <c r="O138" s="13"/>
      <c r="P138" s="13" t="s">
        <v>311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199.99</v>
      </c>
      <c r="H139" s="133">
        <f>H67</f>
        <v>944.651041666667</v>
      </c>
      <c r="I139" s="133"/>
      <c r="J139" s="133">
        <f>H102*0.9</f>
        <v>0</v>
      </c>
      <c r="K139" s="141"/>
      <c r="L139" s="2"/>
      <c r="M139" s="134">
        <f>M102</f>
        <v>199.99</v>
      </c>
      <c r="N139" s="133">
        <f>N67</f>
        <v>944.651041666667</v>
      </c>
      <c r="O139" s="133"/>
      <c r="P139" s="133">
        <f>N102*0.9</f>
        <v>0</v>
      </c>
      <c r="Q139" s="141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41.6772</v>
      </c>
      <c r="B140" s="143">
        <f>IF(A105="YES",G18*0.000002,0)*1.2*100</f>
        <v>13.8924</v>
      </c>
      <c r="C140" s="109"/>
      <c r="D140" s="143">
        <f>A140+B140</f>
        <v>55.5696</v>
      </c>
      <c r="E140" s="110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6" t="s">
        <v>313</v>
      </c>
      <c r="N141" s="13" t="s">
        <v>314</v>
      </c>
      <c r="O141" s="13"/>
      <c r="P141" s="13" t="s">
        <v>315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IF(G105="YES",((B36*H105)*0.1)*(G130),0)</f>
        <v>36.673</v>
      </c>
      <c r="H142" s="133">
        <f>G102-100</f>
        <v>99.99</v>
      </c>
      <c r="I142" s="133"/>
      <c r="J142" s="133">
        <f>(H139+J139+G142+H142)-H145</f>
        <v>1081.31404166667</v>
      </c>
      <c r="K142" s="141"/>
      <c r="L142" s="2"/>
      <c r="M142" s="134">
        <f>IF(M105="YES",((B36*N105)*0.1)*(M130),0)</f>
        <v>36.673</v>
      </c>
      <c r="N142" s="133">
        <f>M102-100</f>
        <v>99.99</v>
      </c>
      <c r="O142" s="133"/>
      <c r="P142" s="133">
        <f>(N139+P139+M142+N142)-N145</f>
        <v>1081.31404166667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0</v>
      </c>
      <c r="E143" s="110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6" t="s">
        <v>317</v>
      </c>
      <c r="N144" s="13" t="s">
        <v>318</v>
      </c>
      <c r="O144" s="13"/>
      <c r="P144" s="13"/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v>0</v>
      </c>
      <c r="H145" s="133">
        <f>(H139+J139+G142+H142)*(G145/H64)</f>
        <v>0</v>
      </c>
      <c r="I145" s="13"/>
      <c r="J145" s="13"/>
      <c r="K145" s="14"/>
      <c r="L145" s="2"/>
      <c r="M145" s="134">
        <v>0</v>
      </c>
      <c r="N145" s="133">
        <f>(N139+P139+M142+N142)*(M145/N64)</f>
        <v>0</v>
      </c>
      <c r="O145" s="13"/>
      <c r="P145" s="13"/>
      <c r="Q145" s="14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134"/>
      <c r="N146" s="13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137" t="s">
        <v>345</v>
      </c>
      <c r="N147" s="105" t="s">
        <v>346</v>
      </c>
      <c r="O147" s="13"/>
      <c r="P147" s="13"/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1133.58125</v>
      </c>
      <c r="B148" s="133">
        <f>B102</f>
        <v>0</v>
      </c>
      <c r="C148" s="127"/>
      <c r="D148" s="127">
        <f>IF(A105="YES",(B40*B105)*B125,0)*0.1</f>
        <v>36.673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04">
        <v>18000</v>
      </c>
      <c r="N148" s="205">
        <v>0.99</v>
      </c>
      <c r="O148" s="205"/>
      <c r="P148" s="13"/>
      <c r="Q148" s="14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6"/>
      <c r="N150" s="13"/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1270.24425</v>
      </c>
      <c r="E151" s="141"/>
      <c r="F151" s="2"/>
      <c r="G151" s="67"/>
      <c r="H151" s="69">
        <f>B51</f>
        <v>35000</v>
      </c>
      <c r="I151" s="69"/>
      <c r="J151" s="13"/>
      <c r="K151" s="14"/>
      <c r="L151" s="2"/>
      <c r="M151" s="62" t="s">
        <v>323</v>
      </c>
      <c r="N151" s="13"/>
      <c r="O151" s="13"/>
      <c r="P151" s="63"/>
      <c r="Q151" s="6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35</v>
      </c>
      <c r="H152" s="71">
        <f>H91</f>
        <v>1855.85699772773</v>
      </c>
      <c r="I152" s="71"/>
      <c r="J152" s="13"/>
      <c r="K152" s="14"/>
      <c r="L152" s="2"/>
      <c r="M152" s="6"/>
      <c r="N152" s="65"/>
      <c r="O152" s="65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67" t="s">
        <v>83</v>
      </c>
      <c r="N153" s="68" t="s">
        <v>84</v>
      </c>
      <c r="O153" s="68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134">
        <f>D102</f>
        <v>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67"/>
      <c r="N154" s="69">
        <f>B51</f>
        <v>35000</v>
      </c>
      <c r="O154" s="69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70">
        <f>A52</f>
        <v>35</v>
      </c>
      <c r="N155" s="71">
        <f>N91</f>
        <v>1540.24157049578</v>
      </c>
      <c r="O155" s="71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6"/>
      <c r="N157" s="13"/>
      <c r="O157" s="13"/>
      <c r="P157" s="13"/>
      <c r="Q157" s="1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6"/>
      <c r="N158" s="13"/>
      <c r="O158" s="13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6"/>
      <c r="N159" s="13"/>
      <c r="O159" s="13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35000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6"/>
      <c r="N160" s="13"/>
      <c r="O160" s="13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35</v>
      </c>
      <c r="B161" s="71">
        <f>B91</f>
        <v>1699.06485461144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6"/>
      <c r="N161" s="13"/>
      <c r="O161" s="13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72"/>
      <c r="N162" s="73"/>
      <c r="O162" s="73"/>
      <c r="P162" s="73"/>
      <c r="Q162" s="7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08"/>
      <c r="B165" s="109"/>
      <c r="C165" s="109"/>
      <c r="D165" s="109"/>
      <c r="E165" s="110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69"/>
      <c r="B166" s="170"/>
      <c r="C166" s="170"/>
      <c r="D166" s="170"/>
      <c r="E166" s="17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37"/>
      <c r="B167" s="237"/>
      <c r="C167" s="237"/>
      <c r="D167" s="237"/>
      <c r="E167" s="23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37"/>
      <c r="B168" s="237"/>
      <c r="C168" s="237"/>
      <c r="D168" s="237"/>
      <c r="E168" s="23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37"/>
      <c r="B169" s="237"/>
      <c r="C169" s="237"/>
      <c r="D169" s="237"/>
      <c r="E169" s="23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37"/>
      <c r="B170" s="237"/>
      <c r="C170" s="237"/>
      <c r="D170" s="237"/>
      <c r="E170" s="23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53" t="s">
        <v>293</v>
      </c>
      <c r="B171" s="153"/>
      <c r="C171" s="153"/>
      <c r="D171" s="153"/>
      <c r="E171" s="15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11" t="s">
        <v>127</v>
      </c>
      <c r="B173" s="155" t="s">
        <v>39</v>
      </c>
      <c r="C173" s="156"/>
      <c r="D173" s="155" t="s">
        <v>84</v>
      </c>
      <c r="E173" s="114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116" t="s">
        <v>286</v>
      </c>
      <c r="B174" s="117">
        <f>A161</f>
        <v>35</v>
      </c>
      <c r="C174" s="158"/>
      <c r="D174" s="117">
        <f>D125</f>
        <v>35000</v>
      </c>
      <c r="E174" s="114"/>
      <c r="F174" s="2"/>
      <c r="G174" s="54" t="s">
        <v>378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11"/>
      <c r="B175" s="155"/>
      <c r="C175" s="155"/>
      <c r="D175" s="155"/>
      <c r="E175" s="114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11" t="s">
        <v>119</v>
      </c>
      <c r="B176" s="155" t="s">
        <v>294</v>
      </c>
      <c r="C176" s="156"/>
      <c r="D176" s="155" t="s">
        <v>295</v>
      </c>
      <c r="E176" s="114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16">
        <f>B90</f>
        <v>1636.19685461144</v>
      </c>
      <c r="B177" s="156">
        <f>IF(A105="YES",B89,0)</f>
        <v>62.868</v>
      </c>
      <c r="C177" s="158"/>
      <c r="D177" s="156">
        <f>B91</f>
        <v>1699.06485461144</v>
      </c>
      <c r="E177" s="114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08"/>
      <c r="B178" s="154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22" t="s">
        <v>23</v>
      </c>
      <c r="B179" s="160" t="s">
        <v>299</v>
      </c>
      <c r="C179" s="41"/>
      <c r="D179" s="160" t="s">
        <v>300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0" t="str">
        <f>B99</f>
        <v> Monthly in advance </v>
      </c>
      <c r="B180" s="133">
        <f>B90*B57</f>
        <v>1636.19685461144</v>
      </c>
      <c r="C180" s="154"/>
      <c r="D180" s="133">
        <f>IF(A105="YES",B89*B57,0)</f>
        <v>62.868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28" t="s">
        <v>304</v>
      </c>
      <c r="B182" s="105" t="s">
        <v>305</v>
      </c>
      <c r="C182" s="161"/>
      <c r="D182" s="55" t="s">
        <v>208</v>
      </c>
      <c r="E182" s="110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34">
        <f>B91*B57</f>
        <v>1699.06485461144</v>
      </c>
      <c r="B183" s="133">
        <f>E114</f>
        <v>4000</v>
      </c>
      <c r="C183" s="154"/>
      <c r="D183" s="162">
        <f>B58</f>
        <v>34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34"/>
      <c r="B184" s="163"/>
      <c r="C184" s="154"/>
      <c r="D184" s="154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7" t="s">
        <v>119</v>
      </c>
      <c r="B185" s="164" t="s">
        <v>294</v>
      </c>
      <c r="C185" s="154"/>
      <c r="D185" s="154" t="s">
        <v>295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f>B90</f>
        <v>1636.19685461144</v>
      </c>
      <c r="B186" s="133">
        <f>IF(A105="YES",B89,0)</f>
        <v>62.868</v>
      </c>
      <c r="C186" s="154"/>
      <c r="D186" s="133">
        <f>B91</f>
        <v>1699.06485461144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08"/>
      <c r="B187" s="154"/>
      <c r="C187" s="154"/>
      <c r="D187" s="154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39" t="s">
        <v>67</v>
      </c>
      <c r="B188" s="165" t="s">
        <v>312</v>
      </c>
      <c r="C188" s="133"/>
      <c r="D188" s="165" t="s">
        <v>73</v>
      </c>
      <c r="E188" s="14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>
        <f>(G18*0.000006)*1.2*100</f>
        <v>41.6772</v>
      </c>
      <c r="B189" s="166">
        <f>IF(A105="YES",G18*0.000002,0)*1.2*100</f>
        <v>13.8924</v>
      </c>
      <c r="C189" s="154"/>
      <c r="D189" s="166">
        <f>A189+B189</f>
        <v>55.5696</v>
      </c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42"/>
      <c r="B190" s="166"/>
      <c r="C190" s="154"/>
      <c r="D190" s="166"/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9" t="s">
        <v>316</v>
      </c>
      <c r="B191" s="165" t="s">
        <v>53</v>
      </c>
      <c r="C191" s="133"/>
      <c r="D191" s="165" t="s">
        <v>282</v>
      </c>
      <c r="E191" s="110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34">
        <v>0</v>
      </c>
      <c r="B192" s="133">
        <f>E118</f>
        <v>199.99</v>
      </c>
      <c r="C192" s="154"/>
      <c r="D192" s="144">
        <f>B102</f>
        <v>0</v>
      </c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34"/>
      <c r="B193" s="133"/>
      <c r="C193" s="154"/>
      <c r="D193" s="133"/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45" t="s">
        <v>319</v>
      </c>
      <c r="B194" s="146"/>
      <c r="C194" s="147"/>
      <c r="D194" s="146"/>
      <c r="E194" s="14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42"/>
      <c r="B195" s="166"/>
      <c r="C195" s="154"/>
      <c r="D195" s="166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320</v>
      </c>
      <c r="B196" s="154" t="s">
        <v>321</v>
      </c>
      <c r="C196" s="154"/>
      <c r="D196" s="154" t="s">
        <v>322</v>
      </c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B67</f>
        <v>1133.58125</v>
      </c>
      <c r="B197" s="133">
        <f>B102</f>
        <v>0</v>
      </c>
      <c r="C197" s="133"/>
      <c r="D197" s="133">
        <f>IF(A105="YES",(B40*B105)*B125,0)*0.1</f>
        <v>36.673</v>
      </c>
      <c r="E197" s="14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08"/>
      <c r="B198" s="154"/>
      <c r="C198" s="154"/>
      <c r="D198" s="154"/>
      <c r="E198" s="110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108" t="s">
        <v>324</v>
      </c>
      <c r="B199" s="154" t="s">
        <v>318</v>
      </c>
      <c r="C199" s="154"/>
      <c r="D199" s="154" t="s">
        <v>315</v>
      </c>
      <c r="E199" s="110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134">
        <f>E118-100</f>
        <v>99.99</v>
      </c>
      <c r="B200" s="133">
        <f>(A148+B148+D148+A151)*(A143/B64)</f>
        <v>0</v>
      </c>
      <c r="C200" s="133"/>
      <c r="D200" s="133">
        <f>(A148+B148+D148+A151)-B151</f>
        <v>1270.24425</v>
      </c>
      <c r="E200" s="14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08"/>
      <c r="B201" s="154"/>
      <c r="C201" s="154"/>
      <c r="D201" s="154"/>
      <c r="E201" s="110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 t="s">
        <v>325</v>
      </c>
      <c r="B202" s="154"/>
      <c r="C202" s="154"/>
      <c r="D202" s="154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34">
        <f>D102</f>
        <v>0</v>
      </c>
      <c r="B203" s="133"/>
      <c r="C203" s="154"/>
      <c r="D203" s="154"/>
      <c r="E203" s="110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69"/>
      <c r="B204" s="170"/>
      <c r="C204" s="170"/>
      <c r="D204" s="170"/>
      <c r="E204" s="17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53" t="s">
        <v>214</v>
      </c>
      <c r="B207" s="153"/>
      <c r="C207" s="153"/>
      <c r="D207" s="153"/>
      <c r="E207" s="15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09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111" t="s">
        <v>215</v>
      </c>
      <c r="B209" s="172">
        <f>H35</f>
        <v>0.065</v>
      </c>
      <c r="C209" s="113" t="s">
        <v>217</v>
      </c>
      <c r="D209" s="173">
        <f>D64</f>
        <v>5993.509375</v>
      </c>
      <c r="E209" s="114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116"/>
      <c r="B210" s="117"/>
      <c r="C210" s="118"/>
      <c r="D210" s="117"/>
      <c r="E210" s="114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11" t="s">
        <v>218</v>
      </c>
      <c r="B211" s="113">
        <f>B219</f>
        <v>1133.58125</v>
      </c>
      <c r="C211" s="112" t="s">
        <v>219</v>
      </c>
      <c r="D211" s="173">
        <f>B225+E221+B221+B223</f>
        <v>466.72</v>
      </c>
      <c r="E211" s="114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11"/>
      <c r="B212" s="174"/>
      <c r="C212" s="113"/>
      <c r="D212" s="112"/>
      <c r="E212" s="114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16" t="s">
        <v>220</v>
      </c>
      <c r="B213" s="113">
        <f>E223</f>
        <v>5326.648125</v>
      </c>
      <c r="C213" s="118"/>
      <c r="D213" s="113"/>
      <c r="E213" s="114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08"/>
      <c r="B214" s="138"/>
      <c r="C214" s="109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39" t="s">
        <v>215</v>
      </c>
      <c r="B215" s="175">
        <v>0.065</v>
      </c>
      <c r="C215" s="124"/>
      <c r="D215" s="123"/>
      <c r="E215" s="110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0"/>
      <c r="B216" s="129"/>
      <c r="C216" s="109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217</v>
      </c>
      <c r="B217" s="48">
        <f>D64</f>
        <v>5993.509375</v>
      </c>
      <c r="C217" s="177" t="s">
        <v>223</v>
      </c>
      <c r="D217" s="109"/>
      <c r="E217" s="178">
        <f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32"/>
      <c r="B218" s="129"/>
      <c r="C218" s="130"/>
      <c r="D218" s="131"/>
      <c r="E218" s="110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34" t="s">
        <v>223</v>
      </c>
      <c r="B219" s="48">
        <f>B67</f>
        <v>1133.58125</v>
      </c>
      <c r="C219" s="130" t="s">
        <v>326</v>
      </c>
      <c r="D219" s="135"/>
      <c r="E219" s="179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34"/>
      <c r="B220" s="138"/>
      <c r="C220" s="130"/>
      <c r="D220" s="109"/>
      <c r="E220" s="110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34" t="s">
        <v>326</v>
      </c>
      <c r="B221" s="55">
        <f>(B77-(B77*(E219*100)))*0.1</f>
        <v>0</v>
      </c>
      <c r="C221" s="130" t="s">
        <v>225</v>
      </c>
      <c r="D221" s="109"/>
      <c r="E221" s="180">
        <f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34"/>
      <c r="B222" s="129"/>
      <c r="C222" s="130"/>
      <c r="D222" s="127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76" t="s">
        <v>327</v>
      </c>
      <c r="B223" s="55">
        <f>B78-(B78*(E219*100))</f>
        <v>0</v>
      </c>
      <c r="C223" s="130" t="s">
        <v>220</v>
      </c>
      <c r="D223" s="109"/>
      <c r="E223" s="180">
        <f>(B217-B211+D211)</f>
        <v>5326.648125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81"/>
      <c r="B224" s="140"/>
      <c r="C224" s="127"/>
      <c r="D224" s="140"/>
      <c r="E224" s="106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81" t="s">
        <v>328</v>
      </c>
      <c r="B225" s="140">
        <f>D197/0.1</f>
        <v>366.73</v>
      </c>
      <c r="C225" s="127"/>
      <c r="D225" s="140"/>
      <c r="E225" s="106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81"/>
      <c r="B226" s="140"/>
      <c r="C226" s="127"/>
      <c r="D226" s="140"/>
      <c r="E226" s="106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6" customFormat="1" ht="18.75" customHeight="1" spans="1:26">
      <c r="A227" s="145" t="s">
        <v>329</v>
      </c>
      <c r="B227" s="182"/>
      <c r="C227" s="147"/>
      <c r="D227" s="146"/>
      <c r="E227" s="14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42"/>
      <c r="B228" s="183"/>
      <c r="C228" s="109"/>
      <c r="D228" s="143"/>
      <c r="E228" s="1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42" t="s">
        <v>227</v>
      </c>
      <c r="B229" s="48">
        <f>B71</f>
        <v>200</v>
      </c>
      <c r="C229" s="130" t="s">
        <v>228</v>
      </c>
      <c r="D229" s="143"/>
      <c r="E229" s="184">
        <f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42"/>
      <c r="B230" s="183"/>
      <c r="C230" s="130" t="s">
        <v>229</v>
      </c>
      <c r="D230" s="143"/>
      <c r="E230" s="180">
        <f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42" t="s">
        <v>230</v>
      </c>
      <c r="B231" s="185">
        <f>B68</f>
        <v>0.0075</v>
      </c>
      <c r="C231" s="130" t="s">
        <v>231</v>
      </c>
      <c r="D231" s="143"/>
      <c r="E231" s="178">
        <f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42"/>
      <c r="B232" s="183"/>
      <c r="C232" s="130" t="s">
        <v>232</v>
      </c>
      <c r="D232" s="143"/>
      <c r="E232" s="180">
        <f>B86</f>
        <v>481.041875255763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42" t="s">
        <v>233</v>
      </c>
      <c r="B233" s="48">
        <f>B79</f>
        <v>200</v>
      </c>
      <c r="C233" s="186" t="s">
        <v>330</v>
      </c>
      <c r="D233" s="187"/>
      <c r="E233" s="184">
        <f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76"/>
      <c r="B234" s="138"/>
      <c r="C234" s="186"/>
      <c r="D234" s="188"/>
      <c r="E234" s="18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 t="s">
        <v>234</v>
      </c>
      <c r="B235" s="48">
        <f>B80</f>
        <v>200</v>
      </c>
      <c r="C235" s="190" t="s">
        <v>331</v>
      </c>
      <c r="D235" s="190"/>
      <c r="E235" s="184">
        <f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08"/>
      <c r="B236" s="109"/>
      <c r="C236" s="109"/>
      <c r="D236" s="109"/>
      <c r="E236" s="110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108"/>
      <c r="B237" s="109"/>
      <c r="C237" s="109"/>
      <c r="D237" s="109"/>
      <c r="E237" s="110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134"/>
      <c r="B238" s="127"/>
      <c r="C238" s="127"/>
      <c r="D238" s="127"/>
      <c r="E238" s="14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108"/>
      <c r="B239" s="109"/>
      <c r="C239" s="109"/>
      <c r="D239" s="109"/>
      <c r="E239" s="110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108"/>
      <c r="B240" s="109"/>
      <c r="C240" s="109"/>
      <c r="D240" s="109"/>
      <c r="E240" s="110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134"/>
      <c r="B241" s="127"/>
      <c r="C241" s="109"/>
      <c r="D241" s="109"/>
      <c r="E241" s="110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169"/>
      <c r="B242" s="170"/>
      <c r="C242" s="170"/>
      <c r="D242" s="170"/>
      <c r="E242" s="17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H150:I150"/>
    <mergeCell ref="H151:I151"/>
    <mergeCell ref="H152:I152"/>
    <mergeCell ref="N153:O153"/>
    <mergeCell ref="N154:O154"/>
    <mergeCell ref="N155:O155"/>
    <mergeCell ref="B159:C159"/>
    <mergeCell ref="B160:C160"/>
    <mergeCell ref="B161:C161"/>
    <mergeCell ref="A171:E171"/>
    <mergeCell ref="A207:E207"/>
    <mergeCell ref="A50:A51"/>
    <mergeCell ref="A159:A160"/>
    <mergeCell ref="G150:G151"/>
    <mergeCell ref="M153:M154"/>
  </mergeCells>
  <dataValidations count="3">
    <dataValidation type="list" allowBlank="1" showErrorMessage="1" sqref="B26 A105 B110">
      <formula1>'Formula1-BCH'!$I$3:$I$4</formula1>
    </dataValidation>
    <dataValidation type="list" allowBlank="1" showErrorMessage="1" sqref="B99">
      <formula1>'Formula1-BCH'!$Y$97:$Y$105</formula1>
    </dataValidation>
    <dataValidation type="list" allowBlank="1" showErrorMessage="1" sqref="H99 N99 G105 M105 O107 H110 N110 A18:A2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zoomScale="85" zoomScaleNormal="85" topLeftCell="A94" workbookViewId="0">
      <selection activeCell="B97" sqref="B97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46854.17</v>
      </c>
      <c r="C3" s="7">
        <v>0</v>
      </c>
      <c r="D3" s="7">
        <v>833.33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9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46854.17</v>
      </c>
      <c r="C7" s="12">
        <f>C3-C6</f>
        <v>0</v>
      </c>
      <c r="D7" s="12">
        <f>D3-D6</f>
        <v>833.33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47687.5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550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9647.5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55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58525</v>
      </c>
      <c r="F15" s="2"/>
      <c r="G15" s="19">
        <f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IF(A32=Z103,D38,IF(A32=Z104,D38,IF(A32=Z105,(D38*3),IF(A32=Z106,(D38*6),IF(A32=Z107,(D38*9),IF(A32=Z108,(D38*12),IF(A32=Z109,D38,IF(A32=Z110,D38,IF(A32=Z111,D38,0)))))))))</f>
        <v>500</v>
      </c>
      <c r="C32" s="37"/>
      <c r="D32" s="37">
        <f>IF(A32=Z103,A41,IF(A32=Z104,A41,IF(A32=Z105,(A41*3),IF(A32=Z106,(A41*6),IF(A32=Z107,(A41*9),IF(A32=Z108,(A41*12),IF(A32=Z109,A41,IF(A32=Z110,A41,IF(A32=Z111,A41,0)))))))))</f>
        <v>50</v>
      </c>
      <c r="E32" s="37"/>
      <c r="F32" s="2"/>
      <c r="G32" s="38" t="s">
        <v>243</v>
      </c>
      <c r="H32" s="36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 t="s">
        <v>60</v>
      </c>
      <c r="H33" s="36">
        <f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253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50</v>
      </c>
      <c r="B41" s="55">
        <f>IF(B38="YES",D38+A41,D38)</f>
        <v>550</v>
      </c>
      <c r="C41" s="55"/>
      <c r="D41" s="48">
        <v>6000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141</v>
      </c>
      <c r="B43" s="52" t="s">
        <v>254</v>
      </c>
      <c r="C43" s="41"/>
      <c r="D43" s="52" t="s">
        <v>255</v>
      </c>
      <c r="E43" s="57"/>
      <c r="F43" s="2"/>
      <c r="G43" s="2" t="s">
        <v>256</v>
      </c>
      <c r="H43" s="50">
        <f>((((D38*(B35-1))+B32)/B35)+(A44/B35))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12</v>
      </c>
      <c r="B44" s="48">
        <v>1</v>
      </c>
      <c r="C44" s="48"/>
      <c r="D44" s="48">
        <v>1</v>
      </c>
      <c r="E44" s="48"/>
      <c r="F44" s="2"/>
      <c r="G44" s="2" t="s">
        <v>257</v>
      </c>
      <c r="H44" s="50">
        <f>H32</f>
        <v>50</v>
      </c>
      <c r="I44" s="193">
        <f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51" t="s">
        <v>259</v>
      </c>
      <c r="B46" s="52" t="s">
        <v>260</v>
      </c>
      <c r="C46" s="41"/>
      <c r="D46" s="52" t="s">
        <v>261</v>
      </c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131">
        <v>0</v>
      </c>
      <c r="B47" s="192">
        <v>0.01</v>
      </c>
      <c r="C47" s="192"/>
      <c r="D47" s="48">
        <v>1</v>
      </c>
      <c r="E47" s="48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49"/>
      <c r="B48" s="41"/>
      <c r="C48" s="41"/>
      <c r="D48" s="41"/>
      <c r="E48" s="57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49" t="s">
        <v>383</v>
      </c>
      <c r="B49" s="41"/>
      <c r="C49" s="41"/>
      <c r="D49" s="41"/>
      <c r="E49" s="57"/>
      <c r="F49" s="2"/>
      <c r="G49" s="2"/>
      <c r="H49" s="50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32" t="s">
        <v>19</v>
      </c>
      <c r="B50" s="41"/>
      <c r="C50" s="41"/>
      <c r="D50" s="41"/>
      <c r="E50" s="57"/>
      <c r="F50" s="2"/>
      <c r="G50" s="2"/>
      <c r="H50" s="50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49"/>
      <c r="B51" s="41"/>
      <c r="C51" s="41"/>
      <c r="D51" s="41"/>
      <c r="E51" s="57"/>
      <c r="F51" s="2"/>
      <c r="G51" s="2"/>
      <c r="H51" s="50"/>
      <c r="I51" s="5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61" t="s">
        <v>274</v>
      </c>
      <c r="B52" s="41"/>
      <c r="C52" s="41"/>
      <c r="D52" s="41"/>
      <c r="E52" s="57"/>
      <c r="F52" s="2"/>
      <c r="G52" s="2"/>
      <c r="H52" s="50"/>
      <c r="I52" s="50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49"/>
      <c r="B53" s="41"/>
      <c r="C53" s="41"/>
      <c r="D53" s="41"/>
      <c r="E53" s="57"/>
      <c r="F53" s="2"/>
      <c r="G53" s="2"/>
      <c r="H53" s="50"/>
      <c r="I53" s="5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62" t="s">
        <v>82</v>
      </c>
      <c r="B54" s="13"/>
      <c r="C54" s="13"/>
      <c r="D54" s="63"/>
      <c r="E54" s="64"/>
      <c r="F54" s="2"/>
      <c r="G54" s="2"/>
      <c r="H54" s="50"/>
      <c r="I54" s="50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6"/>
      <c r="B55" s="65"/>
      <c r="C55" s="65"/>
      <c r="D55" s="13"/>
      <c r="E55" s="14"/>
      <c r="F55" s="2"/>
      <c r="G55" s="2"/>
      <c r="H55" s="66"/>
      <c r="I55" s="50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67" t="s">
        <v>83</v>
      </c>
      <c r="B56" s="68" t="s">
        <v>84</v>
      </c>
      <c r="C56" s="68"/>
      <c r="D56" s="13"/>
      <c r="E56" s="14"/>
      <c r="F56" s="2"/>
      <c r="G56" s="2"/>
      <c r="H56" s="2"/>
      <c r="I56" s="50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7"/>
      <c r="B57" s="69">
        <f>H30</f>
        <v>5000</v>
      </c>
      <c r="C57" s="69"/>
      <c r="D57" s="13"/>
      <c r="E57" s="14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70">
        <f>H29</f>
        <v>12</v>
      </c>
      <c r="B58" s="71">
        <f>H45</f>
        <v>551</v>
      </c>
      <c r="C58" s="71"/>
      <c r="D58" s="13"/>
      <c r="E58" s="14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72"/>
      <c r="B60" s="73"/>
      <c r="C60" s="73"/>
      <c r="D60" s="73"/>
      <c r="E60" s="74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13"/>
      <c r="B61" s="13"/>
      <c r="C61" s="13"/>
      <c r="D61" s="13"/>
      <c r="E61" s="13"/>
      <c r="F61" s="2"/>
      <c r="G61" s="13"/>
      <c r="H61" s="13"/>
      <c r="I61" s="13"/>
      <c r="J61" s="13"/>
      <c r="K61" s="13"/>
      <c r="L61" s="2"/>
      <c r="M61" s="13"/>
      <c r="N61" s="13"/>
      <c r="O61" s="13"/>
      <c r="P61" s="13"/>
      <c r="Q61" s="13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5"/>
      <c r="B62" s="76"/>
      <c r="C62" s="76"/>
      <c r="D62" s="76"/>
      <c r="E62" s="77"/>
      <c r="F62" s="2"/>
      <c r="G62" s="75"/>
      <c r="H62" s="76"/>
      <c r="I62" s="76"/>
      <c r="J62" s="76"/>
      <c r="K62" s="77"/>
      <c r="L62" s="2"/>
      <c r="M62" s="75"/>
      <c r="N62" s="76"/>
      <c r="O62" s="76"/>
      <c r="P62" s="76"/>
      <c r="Q62" s="77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85</v>
      </c>
      <c r="B63" s="13">
        <f>IF(B105=Z103,1,IF(B105=Z104,1,IF(B105=Z105,3,IF(B105=Z106,6,IF(B105=Z107,9,IF(B105=Z108,12,IF(B105=Z109,3,IF(B105=Z110,6,IF(B105=Z111,9,0)))))))))</f>
        <v>12</v>
      </c>
      <c r="C63" s="13"/>
      <c r="D63" s="13"/>
      <c r="E63" s="14"/>
      <c r="F63" s="2"/>
      <c r="G63" s="6" t="s">
        <v>85</v>
      </c>
      <c r="H63" s="13">
        <f>IF(H105=Y103,1,IF(H105=Y104,1,IF(H105=Y105,3,IF(H105=Y106,6,IF(H105=Y107,9,IF(H105=Y108,12,IF(H105=Y109,3,IF(H105=Y110,6,IF(H105=Y111,9,0)))))))))</f>
        <v>0</v>
      </c>
      <c r="I63" s="13"/>
      <c r="J63" s="13"/>
      <c r="K63" s="14"/>
      <c r="L63" s="2"/>
      <c r="M63" s="6" t="s">
        <v>85</v>
      </c>
      <c r="N63" s="13">
        <f>IF(N105=Y103,1,IF(N105=Y104,1,IF(N105=Y105,3,IF(N105=Y106,6,IF(N105=Y107,9,IF(N105=Y108,12,IF(N105=Y109,3,IF(N105=Y110,6,IF(N105=Y111,9,0)))))))))</f>
        <v>0</v>
      </c>
      <c r="O63" s="13"/>
      <c r="P63" s="13"/>
      <c r="Q63" s="14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6" t="s">
        <v>86</v>
      </c>
      <c r="B64" s="13">
        <f>IF(B105=Z103,H29-B63,IF(B105=Z104,H29-B63,IF(B105=Z105,H29-1,IF(B105=Z106,H29-1,IF(B105=Z107,H29-1,IF(B105=Z108,H29-1,IF(B105=Z109,H29-B63,IF(B105=Z110,H29-B63,IF(B105=Z111,H29-B63,0)))))))))</f>
        <v>11</v>
      </c>
      <c r="C64" s="13"/>
      <c r="D64" s="13"/>
      <c r="E64" s="14"/>
      <c r="F64" s="2"/>
      <c r="G64" s="6" t="s">
        <v>86</v>
      </c>
      <c r="H64" s="13">
        <f>IF(H105=Y103,H29-H63,IF(H105=Y104,H29-H63,IF(H105=Y105,H29-1,IF(H105=Y106,H29-1,IF(H105=Y107,H29-1,IF(H105=Y108,H29-1,IF(H105=Y109,H29-H63,IF(H105=Y110,H29-H63,IF(H105=Y111,H29-H63,0)))))))))</f>
        <v>0</v>
      </c>
      <c r="I64" s="13"/>
      <c r="J64" s="13"/>
      <c r="K64" s="14"/>
      <c r="L64" s="2"/>
      <c r="M64" s="6" t="s">
        <v>86</v>
      </c>
      <c r="N64" s="13">
        <f>IF(N105=Y103,H29-N63,IF(N105=Y104,H29-N63,IF(N105=Y105,H29-1,IF(N105=Y106,H29-1,IF(N105=Y107,H29-1,IF(N105=Y108,H29-1,IF(N105=Y109,H29-N63,IF(N105=Y110,H29-N63,IF(N105=Y111,H29-N63,0)))))))))</f>
        <v>0</v>
      </c>
      <c r="O64" s="13"/>
      <c r="P64" s="13"/>
      <c r="Q64" s="14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6"/>
      <c r="B65" s="13"/>
      <c r="C65" s="13"/>
      <c r="D65" s="13"/>
      <c r="E65" s="14"/>
      <c r="F65" s="2"/>
      <c r="G65" s="6"/>
      <c r="H65" s="13"/>
      <c r="I65" s="13"/>
      <c r="J65" s="13"/>
      <c r="K65" s="14"/>
      <c r="L65" s="2"/>
      <c r="M65" s="6"/>
      <c r="N65" s="13"/>
      <c r="O65" s="13"/>
      <c r="P65" s="13"/>
      <c r="Q65" s="14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/>
      <c r="B66" s="13"/>
      <c r="C66" s="13"/>
      <c r="D66" s="13"/>
      <c r="E66" s="14"/>
      <c r="F66" s="2"/>
      <c r="G66" s="6"/>
      <c r="H66" s="13"/>
      <c r="I66" s="13"/>
      <c r="J66" s="13"/>
      <c r="K66" s="14"/>
      <c r="L66" s="2"/>
      <c r="M66" s="6"/>
      <c r="N66" s="13"/>
      <c r="O66" s="13"/>
      <c r="P66" s="13"/>
      <c r="Q66" s="14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6" t="s">
        <v>14</v>
      </c>
      <c r="B67" s="12">
        <f>G18</f>
        <v>57885</v>
      </c>
      <c r="C67" s="13"/>
      <c r="D67" s="13"/>
      <c r="E67" s="14"/>
      <c r="F67" s="2"/>
      <c r="G67" s="6" t="s">
        <v>14</v>
      </c>
      <c r="H67" s="12">
        <f>G18</f>
        <v>57885</v>
      </c>
      <c r="I67" s="13"/>
      <c r="J67" s="13"/>
      <c r="K67" s="14"/>
      <c r="L67" s="2"/>
      <c r="M67" s="6" t="s">
        <v>14</v>
      </c>
      <c r="N67" s="12">
        <f>G18</f>
        <v>57885</v>
      </c>
      <c r="O67" s="13"/>
      <c r="P67" s="13"/>
      <c r="Q67" s="14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277</v>
      </c>
      <c r="B68" s="79">
        <v>0.07</v>
      </c>
      <c r="C68" s="13"/>
      <c r="D68" s="13"/>
      <c r="E68" s="14"/>
      <c r="F68" s="2"/>
      <c r="G68" s="78" t="s">
        <v>277</v>
      </c>
      <c r="H68" s="79">
        <v>0.07</v>
      </c>
      <c r="I68" s="13"/>
      <c r="J68" s="13"/>
      <c r="K68" s="14"/>
      <c r="L68" s="2"/>
      <c r="M68" s="78" t="s">
        <v>277</v>
      </c>
      <c r="N68" s="79">
        <v>0.07</v>
      </c>
      <c r="O68" s="13"/>
      <c r="P68" s="13"/>
      <c r="Q68" s="14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6" t="s">
        <v>278</v>
      </c>
      <c r="B69" s="10">
        <f>B68+(B68*0.25*(H29/12-1))</f>
        <v>0.07</v>
      </c>
      <c r="C69" s="13"/>
      <c r="D69" s="13"/>
      <c r="E69" s="14"/>
      <c r="F69" s="2"/>
      <c r="G69" s="6" t="s">
        <v>278</v>
      </c>
      <c r="H69" s="10">
        <f>H68+(H68*0.25*(H29/12-1))</f>
        <v>0.07</v>
      </c>
      <c r="I69" s="13"/>
      <c r="J69" s="13"/>
      <c r="K69" s="14"/>
      <c r="L69" s="2"/>
      <c r="M69" s="6" t="s">
        <v>278</v>
      </c>
      <c r="N69" s="10">
        <f>N68+(N68*0.25*(H29/12-1))</f>
        <v>0.07</v>
      </c>
      <c r="O69" s="13"/>
      <c r="P69" s="13"/>
      <c r="Q69" s="14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91</v>
      </c>
      <c r="B70" s="80">
        <f>B67*B69</f>
        <v>4051.95</v>
      </c>
      <c r="C70" s="13"/>
      <c r="D70" s="12">
        <f>B70-A151</f>
        <v>4051.95</v>
      </c>
      <c r="E70" s="14">
        <f>D70/12</f>
        <v>337.6625</v>
      </c>
      <c r="F70" s="2"/>
      <c r="G70" s="72" t="s">
        <v>91</v>
      </c>
      <c r="H70" s="80">
        <f>H67*H69</f>
        <v>4051.95</v>
      </c>
      <c r="I70" s="13"/>
      <c r="J70" s="12">
        <f>H70-G151</f>
        <v>4051.95</v>
      </c>
      <c r="K70" s="14"/>
      <c r="L70" s="2"/>
      <c r="M70" s="72" t="s">
        <v>91</v>
      </c>
      <c r="N70" s="80">
        <f>N67*N69</f>
        <v>4051.95</v>
      </c>
      <c r="O70" s="13"/>
      <c r="P70" s="12">
        <f>N70-M151</f>
        <v>4051.95</v>
      </c>
      <c r="Q70" s="14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92</v>
      </c>
      <c r="B71" s="79">
        <v>0.01</v>
      </c>
      <c r="C71" s="13"/>
      <c r="D71" s="13"/>
      <c r="E71" s="14"/>
      <c r="F71" s="2"/>
      <c r="G71" s="78" t="s">
        <v>92</v>
      </c>
      <c r="H71" s="79">
        <v>0.005</v>
      </c>
      <c r="I71" s="13"/>
      <c r="J71" s="13"/>
      <c r="K71" s="14"/>
      <c r="L71" s="2"/>
      <c r="M71" s="78" t="s">
        <v>92</v>
      </c>
      <c r="N71" s="79">
        <v>0.005</v>
      </c>
      <c r="O71" s="13"/>
      <c r="P71" s="13"/>
      <c r="Q71" s="14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6" t="s">
        <v>93</v>
      </c>
      <c r="B72" s="10">
        <f>B71+(B71*0.5*(H29/12-1))</f>
        <v>0.01</v>
      </c>
      <c r="C72" s="13"/>
      <c r="D72" s="13"/>
      <c r="E72" s="14"/>
      <c r="F72" s="2"/>
      <c r="G72" s="6" t="s">
        <v>93</v>
      </c>
      <c r="H72" s="10">
        <f>H71+(H71*0.5*(H29/12-1))</f>
        <v>0.005</v>
      </c>
      <c r="I72" s="13"/>
      <c r="J72" s="13"/>
      <c r="K72" s="14"/>
      <c r="L72" s="2"/>
      <c r="M72" s="6" t="s">
        <v>93</v>
      </c>
      <c r="N72" s="10">
        <f>N71+(N71*0.5*(H29/12-1))</f>
        <v>0.005</v>
      </c>
      <c r="O72" s="13"/>
      <c r="P72" s="13"/>
      <c r="Q72" s="14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94</v>
      </c>
      <c r="B73" s="80">
        <f>B67*B72</f>
        <v>578.85</v>
      </c>
      <c r="C73" s="13"/>
      <c r="D73" s="12"/>
      <c r="E73" s="14"/>
      <c r="F73" s="2"/>
      <c r="G73" s="72" t="s">
        <v>94</v>
      </c>
      <c r="H73" s="80">
        <f>H67*H72</f>
        <v>289.425</v>
      </c>
      <c r="I73" s="13"/>
      <c r="J73" s="12"/>
      <c r="K73" s="14"/>
      <c r="L73" s="2"/>
      <c r="M73" s="72" t="s">
        <v>94</v>
      </c>
      <c r="N73" s="80">
        <f>N67*N72</f>
        <v>289.425</v>
      </c>
      <c r="O73" s="13"/>
      <c r="P73" s="12"/>
      <c r="Q73" s="14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95</v>
      </c>
      <c r="B74" s="79">
        <v>0.0075</v>
      </c>
      <c r="C74" s="13"/>
      <c r="D74" s="13"/>
      <c r="E74" s="14"/>
      <c r="F74" s="2"/>
      <c r="G74" s="78" t="s">
        <v>95</v>
      </c>
      <c r="H74" s="79">
        <v>0.0075</v>
      </c>
      <c r="I74" s="13"/>
      <c r="J74" s="13"/>
      <c r="K74" s="14"/>
      <c r="L74" s="2"/>
      <c r="M74" s="78" t="s">
        <v>95</v>
      </c>
      <c r="N74" s="79">
        <v>0.0075</v>
      </c>
      <c r="O74" s="13"/>
      <c r="P74" s="13"/>
      <c r="Q74" s="14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96</v>
      </c>
      <c r="B75" s="85">
        <v>0.12</v>
      </c>
      <c r="C75" s="13"/>
      <c r="D75" s="13"/>
      <c r="E75" s="14"/>
      <c r="F75" s="2"/>
      <c r="G75" s="3" t="s">
        <v>96</v>
      </c>
      <c r="H75" s="85">
        <v>0.12</v>
      </c>
      <c r="I75" s="13"/>
      <c r="J75" s="13"/>
      <c r="K75" s="14"/>
      <c r="L75" s="2"/>
      <c r="M75" s="3" t="s">
        <v>96</v>
      </c>
      <c r="N75" s="85">
        <v>0.12</v>
      </c>
      <c r="O75" s="13"/>
      <c r="P75" s="13"/>
      <c r="Q75" s="14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97</v>
      </c>
      <c r="B76" s="86">
        <f>B74*(1+B75)</f>
        <v>0.0084</v>
      </c>
      <c r="C76" s="13"/>
      <c r="D76" s="13"/>
      <c r="E76" s="14"/>
      <c r="F76" s="2"/>
      <c r="G76" s="72" t="s">
        <v>97</v>
      </c>
      <c r="H76" s="86">
        <f>H74*(1+H75)</f>
        <v>0.0084</v>
      </c>
      <c r="I76" s="13"/>
      <c r="J76" s="13"/>
      <c r="K76" s="14"/>
      <c r="L76" s="2"/>
      <c r="M76" s="72" t="s">
        <v>97</v>
      </c>
      <c r="N76" s="86">
        <f>N74*(1+N75)</f>
        <v>0.0084</v>
      </c>
      <c r="O76" s="13"/>
      <c r="P76" s="13"/>
      <c r="Q76" s="14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98</v>
      </c>
      <c r="B77" s="87">
        <v>200</v>
      </c>
      <c r="C77" s="13"/>
      <c r="D77" s="13"/>
      <c r="E77" s="14"/>
      <c r="F77" s="2"/>
      <c r="G77" s="78" t="s">
        <v>98</v>
      </c>
      <c r="H77" s="87">
        <v>160</v>
      </c>
      <c r="I77" s="13"/>
      <c r="J77" s="13"/>
      <c r="K77" s="14"/>
      <c r="L77" s="2"/>
      <c r="M77" s="78" t="s">
        <v>98</v>
      </c>
      <c r="N77" s="87">
        <v>160</v>
      </c>
      <c r="O77" s="13"/>
      <c r="P77" s="13"/>
      <c r="Q77" s="14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3" t="s">
        <v>99</v>
      </c>
      <c r="B78" s="88">
        <v>5</v>
      </c>
      <c r="C78" s="13"/>
      <c r="D78" s="13"/>
      <c r="E78" s="14"/>
      <c r="F78" s="2"/>
      <c r="G78" s="3" t="s">
        <v>99</v>
      </c>
      <c r="H78" s="88">
        <v>4.5</v>
      </c>
      <c r="I78" s="13"/>
      <c r="J78" s="13"/>
      <c r="K78" s="14"/>
      <c r="L78" s="2"/>
      <c r="M78" s="3" t="s">
        <v>99</v>
      </c>
      <c r="N78" s="88">
        <v>4.5</v>
      </c>
      <c r="O78" s="13"/>
      <c r="P78" s="13"/>
      <c r="Q78" s="14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72" t="s">
        <v>100</v>
      </c>
      <c r="B79" s="80">
        <f>B78*H29</f>
        <v>60</v>
      </c>
      <c r="C79" s="13"/>
      <c r="D79" s="12">
        <f>B79+B77</f>
        <v>260</v>
      </c>
      <c r="E79" s="194">
        <f>D79+D85+D86</f>
        <v>660</v>
      </c>
      <c r="F79" s="2"/>
      <c r="G79" s="72" t="s">
        <v>100</v>
      </c>
      <c r="H79" s="80">
        <f>H78*H29</f>
        <v>54</v>
      </c>
      <c r="I79" s="13"/>
      <c r="J79" s="12">
        <f>H79+H77</f>
        <v>214</v>
      </c>
      <c r="K79" s="14"/>
      <c r="L79" s="2"/>
      <c r="M79" s="72" t="s">
        <v>100</v>
      </c>
      <c r="N79" s="80">
        <f>N78*H29</f>
        <v>54</v>
      </c>
      <c r="O79" s="13"/>
      <c r="P79" s="12">
        <f>N79+N77</f>
        <v>214</v>
      </c>
      <c r="Q79" s="14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78" t="s">
        <v>279</v>
      </c>
      <c r="B80" s="87">
        <v>0</v>
      </c>
      <c r="C80" s="13"/>
      <c r="D80" s="13"/>
      <c r="E80" s="194">
        <f>E79+D82</f>
        <v>660</v>
      </c>
      <c r="F80" s="2"/>
      <c r="G80" s="78" t="s">
        <v>279</v>
      </c>
      <c r="H80" s="87">
        <v>150</v>
      </c>
      <c r="I80" s="13"/>
      <c r="J80" s="13"/>
      <c r="K80" s="14"/>
      <c r="L80" s="2"/>
      <c r="M80" s="198" t="s">
        <v>279</v>
      </c>
      <c r="N80" s="199">
        <v>0</v>
      </c>
      <c r="O80" s="13"/>
      <c r="P80" s="13"/>
      <c r="Q80" s="14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3" t="s">
        <v>280</v>
      </c>
      <c r="B81" s="88">
        <v>0</v>
      </c>
      <c r="C81" s="13"/>
      <c r="D81" s="13"/>
      <c r="E81" s="14">
        <f>E80/12</f>
        <v>55</v>
      </c>
      <c r="F81" s="2"/>
      <c r="G81" s="3" t="s">
        <v>280</v>
      </c>
      <c r="H81" s="88">
        <f>IF(G18&gt;40000,325,0)</f>
        <v>325</v>
      </c>
      <c r="I81" s="13"/>
      <c r="J81" s="13"/>
      <c r="K81" s="14"/>
      <c r="L81" s="2"/>
      <c r="M81" s="200" t="s">
        <v>280</v>
      </c>
      <c r="N81" s="201">
        <v>0</v>
      </c>
      <c r="O81" s="13"/>
      <c r="P81" s="13"/>
      <c r="Q81" s="14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72" t="s">
        <v>281</v>
      </c>
      <c r="B82" s="80">
        <f>((B80+B81)/12)*(H29-11)</f>
        <v>0</v>
      </c>
      <c r="C82" s="13"/>
      <c r="D82" s="12">
        <f>IF(A50="YES",0,B82)</f>
        <v>0</v>
      </c>
      <c r="E82" s="14"/>
      <c r="F82" s="2"/>
      <c r="G82" s="72" t="s">
        <v>281</v>
      </c>
      <c r="H82" s="80">
        <f>((H80+H81)/12)*(H29-11)</f>
        <v>39.5833333333333</v>
      </c>
      <c r="I82" s="13"/>
      <c r="J82" s="12">
        <f>IF(A50="YES",0,H82)</f>
        <v>39.5833333333333</v>
      </c>
      <c r="K82" s="14"/>
      <c r="L82" s="2"/>
      <c r="M82" s="202" t="s">
        <v>281</v>
      </c>
      <c r="N82" s="203">
        <f>((N80+N81)/12)*(H29-11)</f>
        <v>0</v>
      </c>
      <c r="O82" s="13"/>
      <c r="P82" s="12">
        <f>IF(A50="YES",0,N82)</f>
        <v>0</v>
      </c>
      <c r="Q82" s="14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78" t="s">
        <v>282</v>
      </c>
      <c r="B83" s="87">
        <v>0</v>
      </c>
      <c r="C83" s="13"/>
      <c r="D83" s="12">
        <f>B83</f>
        <v>0</v>
      </c>
      <c r="E83" s="14">
        <f>D83/12</f>
        <v>0</v>
      </c>
      <c r="F83" s="2"/>
      <c r="G83" s="78" t="s">
        <v>282</v>
      </c>
      <c r="H83" s="87">
        <f>H108</f>
        <v>1200</v>
      </c>
      <c r="I83" s="13"/>
      <c r="J83" s="12">
        <f>H83</f>
        <v>1200</v>
      </c>
      <c r="K83" s="14"/>
      <c r="L83" s="2"/>
      <c r="M83" s="78" t="s">
        <v>282</v>
      </c>
      <c r="N83" s="87">
        <f>N108</f>
        <v>1200</v>
      </c>
      <c r="O83" s="13"/>
      <c r="P83" s="12">
        <f>N83</f>
        <v>1200</v>
      </c>
      <c r="Q83" s="14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 t="s">
        <v>340</v>
      </c>
      <c r="B84" s="11">
        <v>0</v>
      </c>
      <c r="C84" s="13"/>
      <c r="D84" s="12">
        <f>B84</f>
        <v>0</v>
      </c>
      <c r="E84" s="14"/>
      <c r="F84" s="2"/>
      <c r="G84" s="6" t="s">
        <v>283</v>
      </c>
      <c r="H84" s="11">
        <f>J108</f>
        <v>1500</v>
      </c>
      <c r="I84" s="13"/>
      <c r="J84" s="12">
        <f>H84</f>
        <v>1500</v>
      </c>
      <c r="K84" s="14"/>
      <c r="L84" s="2"/>
      <c r="M84" s="6" t="s">
        <v>283</v>
      </c>
      <c r="N84" s="11">
        <f>P108</f>
        <v>1500</v>
      </c>
      <c r="O84" s="13"/>
      <c r="P84" s="12">
        <f>N84</f>
        <v>1500</v>
      </c>
      <c r="Q84" s="14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3" t="s">
        <v>101</v>
      </c>
      <c r="B85" s="88">
        <v>200</v>
      </c>
      <c r="C85" s="13"/>
      <c r="D85" s="12">
        <f>B85</f>
        <v>200</v>
      </c>
      <c r="E85" s="14"/>
      <c r="F85" s="2"/>
      <c r="G85" s="3" t="s">
        <v>101</v>
      </c>
      <c r="H85" s="88">
        <v>100</v>
      </c>
      <c r="I85" s="13"/>
      <c r="J85" s="12">
        <f>H85</f>
        <v>100</v>
      </c>
      <c r="K85" s="14"/>
      <c r="L85" s="2"/>
      <c r="M85" s="3" t="s">
        <v>101</v>
      </c>
      <c r="N85" s="88">
        <v>100</v>
      </c>
      <c r="O85" s="13"/>
      <c r="P85" s="12">
        <f>N85</f>
        <v>100</v>
      </c>
      <c r="Q85" s="14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89" t="s">
        <v>102</v>
      </c>
      <c r="B86" s="90">
        <v>200</v>
      </c>
      <c r="C86" s="13"/>
      <c r="D86" s="12">
        <f>B86</f>
        <v>200</v>
      </c>
      <c r="E86" s="14"/>
      <c r="F86" s="2"/>
      <c r="G86" s="89" t="s">
        <v>102</v>
      </c>
      <c r="H86" s="90">
        <v>100</v>
      </c>
      <c r="I86" s="13"/>
      <c r="J86" s="12">
        <f>H86</f>
        <v>100</v>
      </c>
      <c r="K86" s="14"/>
      <c r="L86" s="2"/>
      <c r="M86" s="89" t="s">
        <v>102</v>
      </c>
      <c r="N86" s="90">
        <v>100</v>
      </c>
      <c r="O86" s="13"/>
      <c r="P86" s="12">
        <f>N86</f>
        <v>100</v>
      </c>
      <c r="Q86" s="14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91" t="s">
        <v>103</v>
      </c>
      <c r="B87" s="92">
        <f>SUM(D70:D86)</f>
        <v>4711.95</v>
      </c>
      <c r="C87" s="13"/>
      <c r="D87" s="13"/>
      <c r="E87" s="14"/>
      <c r="F87" s="2"/>
      <c r="G87" s="91" t="s">
        <v>103</v>
      </c>
      <c r="H87" s="92">
        <f>SUM(J70:J86)</f>
        <v>7205.53333333333</v>
      </c>
      <c r="I87" s="13"/>
      <c r="J87" s="13"/>
      <c r="K87" s="14"/>
      <c r="L87" s="2"/>
      <c r="M87" s="91" t="s">
        <v>103</v>
      </c>
      <c r="N87" s="92">
        <f>SUM(P70:P86)</f>
        <v>7165.95</v>
      </c>
      <c r="O87" s="13"/>
      <c r="P87" s="13"/>
      <c r="Q87" s="14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 t="s">
        <v>104</v>
      </c>
      <c r="B88" s="11">
        <f>B87/H29</f>
        <v>392.6625</v>
      </c>
      <c r="C88" s="13"/>
      <c r="D88" s="13"/>
      <c r="E88" s="14"/>
      <c r="F88" s="2"/>
      <c r="G88" s="6" t="s">
        <v>104</v>
      </c>
      <c r="H88" s="11">
        <f>H87/H29</f>
        <v>600.461111111111</v>
      </c>
      <c r="I88" s="13"/>
      <c r="J88" s="13"/>
      <c r="K88" s="14"/>
      <c r="L88" s="2"/>
      <c r="M88" s="6" t="s">
        <v>104</v>
      </c>
      <c r="N88" s="11">
        <f>N87/H29</f>
        <v>597.1625</v>
      </c>
      <c r="O88" s="13"/>
      <c r="P88" s="13"/>
      <c r="Q88" s="14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3" t="s">
        <v>105</v>
      </c>
      <c r="B89" s="94">
        <f>H46</f>
        <v>501</v>
      </c>
      <c r="C89" s="13"/>
      <c r="D89" s="13"/>
      <c r="E89" s="14"/>
      <c r="F89" s="2"/>
      <c r="G89" s="93" t="s">
        <v>105</v>
      </c>
      <c r="H89" s="94">
        <f>H46</f>
        <v>501</v>
      </c>
      <c r="I89" s="13"/>
      <c r="J89" s="13"/>
      <c r="K89" s="14"/>
      <c r="L89" s="2"/>
      <c r="M89" s="93" t="s">
        <v>105</v>
      </c>
      <c r="N89" s="94">
        <f>H46</f>
        <v>501</v>
      </c>
      <c r="O89" s="13"/>
      <c r="P89" s="13"/>
      <c r="Q89" s="14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6"/>
      <c r="B90" s="12"/>
      <c r="C90" s="13"/>
      <c r="D90" s="13"/>
      <c r="E90" s="14"/>
      <c r="F90" s="2"/>
      <c r="G90" s="6"/>
      <c r="H90" s="12"/>
      <c r="I90" s="13"/>
      <c r="J90" s="13"/>
      <c r="K90" s="14"/>
      <c r="L90" s="2"/>
      <c r="M90" s="6"/>
      <c r="N90" s="12"/>
      <c r="O90" s="13"/>
      <c r="P90" s="13"/>
      <c r="Q90" s="14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75" t="s">
        <v>115</v>
      </c>
      <c r="B91" s="95">
        <f>((B89*H29)+B87)</f>
        <v>10723.95</v>
      </c>
      <c r="C91" s="13"/>
      <c r="D91" s="13"/>
      <c r="E91" s="14"/>
      <c r="F91" s="2"/>
      <c r="G91" s="75" t="s">
        <v>115</v>
      </c>
      <c r="H91" s="95">
        <f>((H89*H29)+H87)*1.2</f>
        <v>15861.04</v>
      </c>
      <c r="I91" s="13"/>
      <c r="J91" s="13"/>
      <c r="K91" s="14"/>
      <c r="L91" s="2"/>
      <c r="M91" s="75" t="s">
        <v>115</v>
      </c>
      <c r="N91" s="95">
        <f>((N89*H29)+N87)</f>
        <v>13177.95</v>
      </c>
      <c r="O91" s="13"/>
      <c r="P91" s="13"/>
      <c r="Q91" s="14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6" t="s">
        <v>116</v>
      </c>
      <c r="B92" s="11">
        <f>(((B89*H29)+B87)/(1-B76))*B76</f>
        <v>90.8442718838241</v>
      </c>
      <c r="C92" s="13"/>
      <c r="D92" s="13"/>
      <c r="E92" s="195"/>
      <c r="F92" s="2"/>
      <c r="G92" s="6" t="s">
        <v>116</v>
      </c>
      <c r="H92" s="11">
        <f>(((H89*H29)+H87)/(1-H76))*H76</f>
        <v>111.967809600645</v>
      </c>
      <c r="I92" s="13"/>
      <c r="J92" s="13"/>
      <c r="K92" s="14"/>
      <c r="L92" s="2"/>
      <c r="M92" s="6" t="s">
        <v>116</v>
      </c>
      <c r="N92" s="11">
        <f>(N91/(1-N76))*N76</f>
        <v>111.632492940702</v>
      </c>
      <c r="O92" s="13"/>
      <c r="P92" s="13"/>
      <c r="Q92" s="14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72" t="s">
        <v>117</v>
      </c>
      <c r="B93" s="80">
        <f>IF(B116="YES",((B91+B92)-E120),(B91+B92))</f>
        <v>10814.7942718838</v>
      </c>
      <c r="C93" s="13"/>
      <c r="D93" s="13"/>
      <c r="E93" s="14"/>
      <c r="F93" s="2"/>
      <c r="G93" s="72" t="s">
        <v>117</v>
      </c>
      <c r="H93" s="80">
        <f>IF(H116="YES",((H91+H92)-K120),(H91+H92))</f>
        <v>17973.0078096006</v>
      </c>
      <c r="I93" s="13"/>
      <c r="J93" s="13"/>
      <c r="K93" s="14"/>
      <c r="L93" s="2"/>
      <c r="M93" s="72" t="s">
        <v>117</v>
      </c>
      <c r="N93" s="80">
        <f>IF(N116="YES",((N91+N92)-K120),(N91+N92))</f>
        <v>15289.5824929407</v>
      </c>
      <c r="O93" s="13"/>
      <c r="P93" s="13"/>
      <c r="Q93" s="14"/>
      <c r="R93" s="2"/>
      <c r="S93" s="2"/>
      <c r="T93" s="2"/>
      <c r="U93" s="2"/>
      <c r="V93" s="2"/>
      <c r="W93" s="2"/>
      <c r="X93" s="2"/>
      <c r="Y93" s="2"/>
      <c r="Z93" s="2"/>
    </row>
    <row r="94" ht="18.75" customHeight="1" spans="1:26">
      <c r="A94" s="6"/>
      <c r="B94" s="12"/>
      <c r="C94" s="13"/>
      <c r="D94" s="13"/>
      <c r="E94" s="14"/>
      <c r="F94" s="2"/>
      <c r="G94" s="6"/>
      <c r="H94" s="12"/>
      <c r="I94" s="13"/>
      <c r="J94" s="13"/>
      <c r="K94" s="14"/>
      <c r="L94" s="2"/>
      <c r="M94" s="6"/>
      <c r="N94" s="12"/>
      <c r="O94" s="13"/>
      <c r="P94" s="13"/>
      <c r="Q94" s="14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91" t="s">
        <v>118</v>
      </c>
      <c r="B95" s="92">
        <f>((H44*B35)+((H44*B35)*B111))/(B63+B64)</f>
        <v>31.304347826087</v>
      </c>
      <c r="C95" s="13"/>
      <c r="D95" s="13"/>
      <c r="E95" s="14"/>
      <c r="F95" s="2"/>
      <c r="G95" s="91" t="s">
        <v>118</v>
      </c>
      <c r="H95" s="92" t="e">
        <f>(((H44*B35)+((H44*B35)*H111))/(H63+H64))*1.2</f>
        <v>#DIV/0!</v>
      </c>
      <c r="I95" s="13"/>
      <c r="J95" s="13"/>
      <c r="K95" s="14"/>
      <c r="L95" s="2"/>
      <c r="M95" s="91" t="s">
        <v>118</v>
      </c>
      <c r="N95" s="92" t="e">
        <f>((H44*B35)+((H44*B35)*N111))/(N63+N64)</f>
        <v>#DIV/0!</v>
      </c>
      <c r="O95" s="13"/>
      <c r="P95" s="13"/>
      <c r="Q95" s="14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97" t="s">
        <v>119</v>
      </c>
      <c r="B96" s="98">
        <f>IF(B105=Y104,(B93-D111)/(B64),B93/(B63+B64))</f>
        <v>470.208446603645</v>
      </c>
      <c r="C96" s="13"/>
      <c r="D96" s="13"/>
      <c r="E96" s="14"/>
      <c r="F96" s="2"/>
      <c r="G96" s="97" t="s">
        <v>119</v>
      </c>
      <c r="H96" s="98" t="e">
        <f>IF(H105=Y104,(H93-J111)/(H64),H93/(H63+H64))</f>
        <v>#DIV/0!</v>
      </c>
      <c r="I96" s="13"/>
      <c r="J96" s="13"/>
      <c r="K96" s="14"/>
      <c r="L96" s="2"/>
      <c r="M96" s="97" t="s">
        <v>119</v>
      </c>
      <c r="N96" s="98" t="e">
        <f>IF(N105=Y104,(N93-P111)/(N64),N93/(N63+N64))</f>
        <v>#DIV/0!</v>
      </c>
      <c r="O96" s="13"/>
      <c r="P96" s="13"/>
      <c r="Q96" s="14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99" t="s">
        <v>120</v>
      </c>
      <c r="B97" s="100">
        <f>IF(A111="YES",B96+B95,B96)</f>
        <v>501.512794429731</v>
      </c>
      <c r="C97" s="13"/>
      <c r="D97" s="196"/>
      <c r="E97" s="14"/>
      <c r="F97" s="2"/>
      <c r="G97" s="99" t="s">
        <v>120</v>
      </c>
      <c r="H97" s="100" t="e">
        <f>IF(G111="YES",H96+H95,H96)</f>
        <v>#DIV/0!</v>
      </c>
      <c r="I97" s="13"/>
      <c r="J97" s="13"/>
      <c r="K97" s="14"/>
      <c r="L97" s="2"/>
      <c r="M97" s="99" t="s">
        <v>120</v>
      </c>
      <c r="N97" s="100" t="e">
        <f>IF(M111="YES",N96+N95,N96)</f>
        <v>#DIV/0!</v>
      </c>
      <c r="O97" s="13"/>
      <c r="P97" s="13"/>
      <c r="Q97" s="14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72"/>
      <c r="B98" s="73"/>
      <c r="C98" s="73"/>
      <c r="D98" s="73"/>
      <c r="E98" s="74"/>
      <c r="F98" s="2"/>
      <c r="G98" s="72"/>
      <c r="H98" s="73"/>
      <c r="I98" s="73"/>
      <c r="J98" s="73"/>
      <c r="K98" s="74"/>
      <c r="L98" s="2"/>
      <c r="M98" s="72"/>
      <c r="N98" s="73"/>
      <c r="O98" s="73"/>
      <c r="P98" s="73"/>
      <c r="Q98" s="74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13"/>
      <c r="B99" s="13"/>
      <c r="C99" s="13"/>
      <c r="D99" s="13"/>
      <c r="E99" s="13"/>
      <c r="F99" s="2"/>
      <c r="G99" s="13"/>
      <c r="H99" s="13"/>
      <c r="I99" s="13"/>
      <c r="J99" s="13"/>
      <c r="K99" s="13"/>
      <c r="L99" s="2"/>
      <c r="M99" s="13"/>
      <c r="N99" s="13"/>
      <c r="O99" s="13"/>
      <c r="P99" s="13"/>
      <c r="Q99" s="13"/>
      <c r="R99" s="2"/>
      <c r="S99" s="2"/>
      <c r="T99" s="2"/>
      <c r="U99" s="2"/>
      <c r="V99" s="2"/>
      <c r="W99" s="2"/>
      <c r="X99" s="2"/>
      <c r="Y99" s="2"/>
      <c r="Z99" s="2"/>
    </row>
    <row r="100" ht="48.75" customHeight="1" spans="1:26">
      <c r="A100" s="26" t="s">
        <v>332</v>
      </c>
      <c r="B100" s="26"/>
      <c r="C100" s="26"/>
      <c r="D100" s="26"/>
      <c r="E100" s="26"/>
      <c r="F100" s="2"/>
      <c r="G100" s="26" t="s">
        <v>284</v>
      </c>
      <c r="H100" s="26"/>
      <c r="I100" s="26"/>
      <c r="J100" s="26"/>
      <c r="K100" s="26"/>
      <c r="L100" s="2"/>
      <c r="M100" s="26" t="s">
        <v>341</v>
      </c>
      <c r="N100" s="26"/>
      <c r="O100" s="26"/>
      <c r="P100" s="26"/>
      <c r="Q100" s="26"/>
      <c r="R100" s="2"/>
      <c r="S100" s="2"/>
      <c r="T100" s="2"/>
      <c r="U100" s="2"/>
      <c r="V100" s="2"/>
      <c r="W100" s="2"/>
      <c r="X100" s="2"/>
      <c r="Y100" s="2"/>
      <c r="Z100" s="2"/>
    </row>
    <row r="101" ht="18.75" customHeight="1" spans="1:26">
      <c r="A101" s="6"/>
      <c r="B101" s="13"/>
      <c r="C101" s="13"/>
      <c r="D101" s="13"/>
      <c r="E101" s="14"/>
      <c r="F101" s="2"/>
      <c r="G101" s="6"/>
      <c r="H101" s="13"/>
      <c r="I101" s="13"/>
      <c r="J101" s="13"/>
      <c r="K101" s="14"/>
      <c r="L101" s="2"/>
      <c r="M101" s="6"/>
      <c r="N101" s="13"/>
      <c r="O101" s="13"/>
      <c r="P101" s="13"/>
      <c r="Q101" s="14"/>
      <c r="R101" s="2"/>
      <c r="S101" s="2"/>
      <c r="T101" s="2"/>
      <c r="U101" s="2"/>
      <c r="V101" s="2"/>
      <c r="W101" s="2"/>
      <c r="X101" s="2"/>
      <c r="Y101" s="2"/>
      <c r="Z101" s="2"/>
    </row>
    <row r="102" ht="18.75" customHeight="1" spans="1:26">
      <c r="A102" s="27" t="s">
        <v>126</v>
      </c>
      <c r="B102" s="27"/>
      <c r="C102" s="27"/>
      <c r="D102" s="27"/>
      <c r="E102" s="27"/>
      <c r="F102" s="2"/>
      <c r="G102" s="27" t="s">
        <v>126</v>
      </c>
      <c r="H102" s="27"/>
      <c r="I102" s="27"/>
      <c r="J102" s="27"/>
      <c r="K102" s="27"/>
      <c r="L102" s="2"/>
      <c r="M102" s="27" t="s">
        <v>126</v>
      </c>
      <c r="N102" s="27"/>
      <c r="O102" s="27"/>
      <c r="P102" s="27"/>
      <c r="Q102" s="27"/>
      <c r="R102" s="2"/>
      <c r="S102" s="2"/>
      <c r="T102" s="2"/>
      <c r="U102" s="2"/>
      <c r="V102" s="2"/>
      <c r="W102" s="2"/>
      <c r="X102" s="2"/>
      <c r="Y102" s="2"/>
      <c r="Z102" s="2"/>
    </row>
    <row r="103" ht="18.75" customHeight="1" spans="1:26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6"/>
      <c r="N103" s="13"/>
      <c r="O103" s="13"/>
      <c r="P103" s="13"/>
      <c r="Q103" s="14"/>
      <c r="R103" s="2"/>
      <c r="S103" s="2"/>
      <c r="T103" s="2"/>
      <c r="U103" s="2"/>
      <c r="V103" s="2"/>
      <c r="W103" s="2"/>
      <c r="X103" s="2"/>
      <c r="Y103" s="2"/>
      <c r="Z103" s="2" t="s">
        <v>130</v>
      </c>
    </row>
    <row r="104" ht="18.75" customHeight="1" spans="1:26">
      <c r="A104" s="6" t="s">
        <v>127</v>
      </c>
      <c r="B104" s="13" t="s">
        <v>23</v>
      </c>
      <c r="C104" s="13"/>
      <c r="D104" s="13" t="s">
        <v>285</v>
      </c>
      <c r="E104" s="14"/>
      <c r="F104" s="2"/>
      <c r="G104" s="6" t="s">
        <v>127</v>
      </c>
      <c r="H104" s="13" t="s">
        <v>23</v>
      </c>
      <c r="I104" s="13"/>
      <c r="J104" s="13" t="s">
        <v>285</v>
      </c>
      <c r="K104" s="14"/>
      <c r="L104" s="2"/>
      <c r="M104" s="6" t="s">
        <v>127</v>
      </c>
      <c r="N104" s="13" t="s">
        <v>23</v>
      </c>
      <c r="O104" s="13"/>
      <c r="P104" s="13" t="s">
        <v>285</v>
      </c>
      <c r="Q104" s="14"/>
      <c r="R104" s="2"/>
      <c r="S104" s="2"/>
      <c r="T104" s="2"/>
      <c r="U104" s="2"/>
      <c r="V104" s="2"/>
      <c r="W104" s="2"/>
      <c r="X104" s="2"/>
      <c r="Y104" s="2"/>
      <c r="Z104" s="2" t="s">
        <v>263</v>
      </c>
    </row>
    <row r="105" ht="18.75" customHeight="1" spans="1:26">
      <c r="A105" s="30" t="s">
        <v>286</v>
      </c>
      <c r="B105" s="101" t="s">
        <v>267</v>
      </c>
      <c r="C105" s="101"/>
      <c r="D105" s="197">
        <v>0</v>
      </c>
      <c r="E105" s="197"/>
      <c r="F105" s="2"/>
      <c r="G105" s="30" t="s">
        <v>286</v>
      </c>
      <c r="H105" s="101" t="s">
        <v>268</v>
      </c>
      <c r="I105" s="101"/>
      <c r="J105" s="197">
        <v>5000</v>
      </c>
      <c r="K105" s="197"/>
      <c r="L105" s="2"/>
      <c r="M105" s="30" t="s">
        <v>286</v>
      </c>
      <c r="N105" s="101" t="s">
        <v>267</v>
      </c>
      <c r="O105" s="101"/>
      <c r="P105" s="197">
        <v>0</v>
      </c>
      <c r="Q105" s="197"/>
      <c r="R105" s="2"/>
      <c r="S105" s="2"/>
      <c r="T105" s="2"/>
      <c r="U105" s="2"/>
      <c r="V105" s="2"/>
      <c r="W105" s="2"/>
      <c r="X105" s="2"/>
      <c r="Y105" s="2"/>
      <c r="Z105" s="2" t="s">
        <v>264</v>
      </c>
    </row>
    <row r="106" ht="18.75" customHeight="1" spans="1:26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6"/>
      <c r="N106" s="13"/>
      <c r="O106" s="13"/>
      <c r="P106" s="13"/>
      <c r="Q106" s="14"/>
      <c r="R106" s="2"/>
      <c r="S106" s="2"/>
      <c r="T106" s="2"/>
      <c r="U106" s="2"/>
      <c r="V106" s="2"/>
      <c r="W106" s="2"/>
      <c r="X106" s="2"/>
      <c r="Y106" s="2"/>
      <c r="Z106" s="2" t="s">
        <v>265</v>
      </c>
    </row>
    <row r="107" ht="18.75" customHeight="1" spans="1:26">
      <c r="A107" s="6" t="s">
        <v>287</v>
      </c>
      <c r="B107" s="13" t="s">
        <v>288</v>
      </c>
      <c r="C107" s="13"/>
      <c r="D107" s="13" t="s">
        <v>289</v>
      </c>
      <c r="E107" s="14"/>
      <c r="F107" s="2"/>
      <c r="G107" s="6" t="s">
        <v>287</v>
      </c>
      <c r="H107" s="13" t="s">
        <v>288</v>
      </c>
      <c r="I107" s="13"/>
      <c r="J107" s="13" t="s">
        <v>289</v>
      </c>
      <c r="K107" s="14"/>
      <c r="L107" s="2"/>
      <c r="M107" s="6" t="s">
        <v>287</v>
      </c>
      <c r="N107" s="13" t="s">
        <v>288</v>
      </c>
      <c r="O107" s="13"/>
      <c r="P107" s="13" t="s">
        <v>289</v>
      </c>
      <c r="Q107" s="14"/>
      <c r="R107" s="2"/>
      <c r="S107" s="2"/>
      <c r="T107" s="2"/>
      <c r="U107" s="2"/>
      <c r="V107" s="2"/>
      <c r="W107" s="2"/>
      <c r="X107" s="2"/>
      <c r="Y107" s="2"/>
      <c r="Z107" s="2" t="s">
        <v>266</v>
      </c>
    </row>
    <row r="108" ht="18.75" customHeight="1" spans="1:26">
      <c r="A108" s="103">
        <v>199.99</v>
      </c>
      <c r="B108" s="102">
        <v>0</v>
      </c>
      <c r="C108" s="102"/>
      <c r="D108" s="102">
        <v>0</v>
      </c>
      <c r="E108" s="102"/>
      <c r="F108" s="2"/>
      <c r="G108" s="103">
        <f>199.99*1.2</f>
        <v>239.988</v>
      </c>
      <c r="H108" s="102">
        <v>1200</v>
      </c>
      <c r="I108" s="102"/>
      <c r="J108" s="102">
        <v>1500</v>
      </c>
      <c r="K108" s="102"/>
      <c r="L108" s="2"/>
      <c r="M108" s="103">
        <v>199.99</v>
      </c>
      <c r="N108" s="102">
        <v>1200</v>
      </c>
      <c r="O108" s="102"/>
      <c r="P108" s="102">
        <v>1500</v>
      </c>
      <c r="Q108" s="102"/>
      <c r="R108" s="2"/>
      <c r="S108" s="2"/>
      <c r="T108" s="2"/>
      <c r="U108" s="2"/>
      <c r="V108" s="2"/>
      <c r="W108" s="2"/>
      <c r="X108" s="2"/>
      <c r="Y108" s="2"/>
      <c r="Z108" s="2" t="s">
        <v>267</v>
      </c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6"/>
      <c r="N109" s="13"/>
      <c r="O109" s="13"/>
      <c r="P109" s="13"/>
      <c r="Q109" s="14"/>
      <c r="R109" s="2"/>
      <c r="S109" s="2"/>
      <c r="T109" s="2"/>
      <c r="U109" s="2"/>
      <c r="V109" s="2"/>
      <c r="W109" s="2"/>
      <c r="X109" s="2"/>
      <c r="Y109" s="2"/>
      <c r="Z109" s="2" t="s">
        <v>268</v>
      </c>
    </row>
    <row r="110" ht="18.75" customHeight="1" spans="1:26">
      <c r="A110" s="30" t="s">
        <v>128</v>
      </c>
      <c r="B110" s="2" t="s">
        <v>131</v>
      </c>
      <c r="C110" s="13"/>
      <c r="D110" s="13" t="s">
        <v>142</v>
      </c>
      <c r="E110" s="14"/>
      <c r="F110" s="2"/>
      <c r="G110" s="30" t="s">
        <v>128</v>
      </c>
      <c r="H110" s="2" t="s">
        <v>131</v>
      </c>
      <c r="I110" s="13"/>
      <c r="J110" s="13" t="s">
        <v>142</v>
      </c>
      <c r="K110" s="14"/>
      <c r="L110" s="2"/>
      <c r="M110" s="30" t="s">
        <v>128</v>
      </c>
      <c r="N110" s="2" t="s">
        <v>131</v>
      </c>
      <c r="O110" s="13"/>
      <c r="P110" s="13" t="s">
        <v>142</v>
      </c>
      <c r="Q110" s="14"/>
      <c r="R110" s="2"/>
      <c r="S110" s="2"/>
      <c r="T110" s="2"/>
      <c r="U110" s="2"/>
      <c r="V110" s="2"/>
      <c r="W110" s="2"/>
      <c r="X110" s="2"/>
      <c r="Y110" s="2"/>
      <c r="Z110" s="2" t="s">
        <v>269</v>
      </c>
    </row>
    <row r="111" ht="18.75" customHeight="1" spans="1:26">
      <c r="A111" s="32" t="s">
        <v>18</v>
      </c>
      <c r="B111" s="104">
        <v>0.2</v>
      </c>
      <c r="C111" s="104"/>
      <c r="D111" s="102">
        <v>200</v>
      </c>
      <c r="E111" s="102"/>
      <c r="F111" s="2"/>
      <c r="G111" s="32" t="s">
        <v>18</v>
      </c>
      <c r="H111" s="104">
        <v>0.2</v>
      </c>
      <c r="I111" s="104"/>
      <c r="J111" s="102">
        <v>5000</v>
      </c>
      <c r="K111" s="102"/>
      <c r="L111" s="2"/>
      <c r="M111" s="32" t="s">
        <v>18</v>
      </c>
      <c r="N111" s="104">
        <v>0.2</v>
      </c>
      <c r="O111" s="104"/>
      <c r="P111" s="102">
        <v>5000</v>
      </c>
      <c r="Q111" s="102"/>
      <c r="R111" s="2"/>
      <c r="S111" s="2"/>
      <c r="T111" s="2"/>
      <c r="U111" s="2"/>
      <c r="V111" s="2"/>
      <c r="W111" s="2"/>
      <c r="X111" s="2"/>
      <c r="Y111" s="2"/>
      <c r="Z111" s="2" t="s">
        <v>270</v>
      </c>
    </row>
    <row r="112" ht="18.75" customHeight="1" spans="1:26">
      <c r="A112" s="6"/>
      <c r="B112" s="13"/>
      <c r="C112" s="13"/>
      <c r="D112" s="13"/>
      <c r="E112" s="14"/>
      <c r="F112" s="2"/>
      <c r="G112" s="6"/>
      <c r="H112" s="13"/>
      <c r="I112" s="13"/>
      <c r="J112" s="13"/>
      <c r="K112" s="14"/>
      <c r="L112" s="2"/>
      <c r="M112" s="6"/>
      <c r="N112" s="13"/>
      <c r="O112" s="13"/>
      <c r="P112" s="13"/>
      <c r="Q112" s="14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/>
      <c r="B113" s="13"/>
      <c r="C113" s="13"/>
      <c r="D113" s="13"/>
      <c r="E113" s="14"/>
      <c r="F113" s="2"/>
      <c r="G113" s="6"/>
      <c r="H113" s="13"/>
      <c r="I113" s="13"/>
      <c r="J113" s="13"/>
      <c r="K113" s="14"/>
      <c r="L113" s="2"/>
      <c r="M113" s="6"/>
      <c r="N113" s="13" t="s">
        <v>342</v>
      </c>
      <c r="O113" s="32" t="s">
        <v>18</v>
      </c>
      <c r="P113" s="13"/>
      <c r="Q113" s="14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27" t="s">
        <v>290</v>
      </c>
      <c r="B114" s="27"/>
      <c r="C114" s="27"/>
      <c r="D114" s="27"/>
      <c r="E114" s="27"/>
      <c r="F114" s="2"/>
      <c r="G114" s="27" t="s">
        <v>290</v>
      </c>
      <c r="H114" s="27"/>
      <c r="I114" s="27"/>
      <c r="J114" s="27"/>
      <c r="K114" s="27"/>
      <c r="L114" s="2"/>
      <c r="M114" s="27" t="s">
        <v>290</v>
      </c>
      <c r="N114" s="27"/>
      <c r="O114" s="27"/>
      <c r="P114" s="27"/>
      <c r="Q114" s="27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/>
      <c r="B115" s="13"/>
      <c r="C115" s="13"/>
      <c r="D115" s="13"/>
      <c r="E115" s="14"/>
      <c r="F115" s="2"/>
      <c r="G115" s="6"/>
      <c r="H115" s="13"/>
      <c r="I115" s="13"/>
      <c r="J115" s="13"/>
      <c r="K115" s="14"/>
      <c r="L115" s="2"/>
      <c r="M115" s="6"/>
      <c r="N115" s="13"/>
      <c r="O115" s="13"/>
      <c r="P115" s="13"/>
      <c r="Q115" s="14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 t="s">
        <v>291</v>
      </c>
      <c r="B116" s="32" t="s">
        <v>19</v>
      </c>
      <c r="C116" s="13"/>
      <c r="D116" s="13"/>
      <c r="E116" s="14"/>
      <c r="F116" s="2"/>
      <c r="G116" s="6" t="s">
        <v>291</v>
      </c>
      <c r="H116" s="32" t="s">
        <v>18</v>
      </c>
      <c r="I116" s="13"/>
      <c r="J116" s="13"/>
      <c r="K116" s="14"/>
      <c r="L116" s="2"/>
      <c r="M116" s="6" t="s">
        <v>291</v>
      </c>
      <c r="N116" s="32" t="s">
        <v>18</v>
      </c>
      <c r="O116" s="13"/>
      <c r="P116" s="13"/>
      <c r="Q116" s="14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6"/>
      <c r="B117" s="13"/>
      <c r="C117" s="13"/>
      <c r="D117" s="13"/>
      <c r="E117" s="14"/>
      <c r="F117" s="2"/>
      <c r="G117" s="6"/>
      <c r="H117" s="13"/>
      <c r="I117" s="13"/>
      <c r="J117" s="13"/>
      <c r="K117" s="14"/>
      <c r="L117" s="2"/>
      <c r="M117" s="6"/>
      <c r="N117" s="13"/>
      <c r="O117" s="13"/>
      <c r="P117" s="13"/>
      <c r="Q117" s="14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176</v>
      </c>
      <c r="B118" s="13"/>
      <c r="C118" s="13"/>
      <c r="D118" s="103">
        <v>0</v>
      </c>
      <c r="E118" s="102">
        <v>0</v>
      </c>
      <c r="F118" s="2"/>
      <c r="G118" s="6" t="s">
        <v>176</v>
      </c>
      <c r="H118" s="13"/>
      <c r="I118" s="13"/>
      <c r="J118" s="103">
        <v>10000</v>
      </c>
      <c r="K118" s="102">
        <v>5000</v>
      </c>
      <c r="L118" s="2"/>
      <c r="M118" s="6" t="s">
        <v>176</v>
      </c>
      <c r="N118" s="13"/>
      <c r="O118" s="13"/>
      <c r="P118" s="103">
        <v>10000</v>
      </c>
      <c r="Q118" s="102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6" t="s">
        <v>177</v>
      </c>
      <c r="B119" s="13"/>
      <c r="C119" s="13"/>
      <c r="D119" s="105">
        <f>E119</f>
        <v>0</v>
      </c>
      <c r="E119" s="102">
        <v>0</v>
      </c>
      <c r="F119" s="2"/>
      <c r="G119" s="6" t="s">
        <v>177</v>
      </c>
      <c r="H119" s="13"/>
      <c r="I119" s="13"/>
      <c r="J119" s="105">
        <f>K119</f>
        <v>7000</v>
      </c>
      <c r="K119" s="102">
        <v>7000</v>
      </c>
      <c r="L119" s="2"/>
      <c r="M119" s="6" t="s">
        <v>177</v>
      </c>
      <c r="N119" s="13"/>
      <c r="O119" s="13"/>
      <c r="P119" s="105">
        <f>Q119</f>
        <v>7000</v>
      </c>
      <c r="Q119" s="102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 t="s">
        <v>178</v>
      </c>
      <c r="B120" s="13"/>
      <c r="C120" s="13"/>
      <c r="D120" s="105">
        <f>D118-D119</f>
        <v>0</v>
      </c>
      <c r="E120" s="106">
        <f>E118-E119</f>
        <v>0</v>
      </c>
      <c r="F120" s="2"/>
      <c r="G120" s="6" t="s">
        <v>178</v>
      </c>
      <c r="H120" s="13"/>
      <c r="I120" s="13"/>
      <c r="J120" s="105">
        <f>J118-J119</f>
        <v>3000</v>
      </c>
      <c r="K120" s="106">
        <f>K118-K119</f>
        <v>-2000</v>
      </c>
      <c r="L120" s="2"/>
      <c r="M120" s="6" t="s">
        <v>178</v>
      </c>
      <c r="N120" s="13"/>
      <c r="O120" s="13"/>
      <c r="P120" s="105">
        <f>P118-P119</f>
        <v>3000</v>
      </c>
      <c r="Q120" s="106">
        <f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 t="s">
        <v>179</v>
      </c>
      <c r="B121" s="13"/>
      <c r="C121" s="13"/>
      <c r="D121" s="105">
        <f>D120-E120</f>
        <v>0</v>
      </c>
      <c r="E121" s="14"/>
      <c r="F121" s="2"/>
      <c r="G121" s="6" t="s">
        <v>179</v>
      </c>
      <c r="H121" s="13"/>
      <c r="I121" s="13"/>
      <c r="J121" s="105">
        <f>J120-K120</f>
        <v>5000</v>
      </c>
      <c r="K121" s="14"/>
      <c r="L121" s="2"/>
      <c r="M121" s="6" t="s">
        <v>179</v>
      </c>
      <c r="N121" s="13"/>
      <c r="O121" s="13"/>
      <c r="P121" s="105">
        <f>P120-Q120</f>
        <v>5000</v>
      </c>
      <c r="Q121" s="14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6"/>
      <c r="B122" s="13"/>
      <c r="C122" s="13"/>
      <c r="D122" s="13"/>
      <c r="E122" s="14"/>
      <c r="F122" s="2"/>
      <c r="G122" s="6"/>
      <c r="H122" s="13"/>
      <c r="I122" s="13"/>
      <c r="J122" s="13"/>
      <c r="K122" s="14"/>
      <c r="L122" s="2"/>
      <c r="M122" s="6"/>
      <c r="N122" s="13"/>
      <c r="O122" s="13"/>
      <c r="P122" s="13"/>
      <c r="Q122" s="14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75" t="s">
        <v>138</v>
      </c>
      <c r="B123" s="76"/>
      <c r="C123" s="76"/>
      <c r="D123" s="76"/>
      <c r="E123" s="95">
        <f>D105</f>
        <v>0</v>
      </c>
      <c r="F123" s="2"/>
      <c r="G123" s="75" t="s">
        <v>138</v>
      </c>
      <c r="H123" s="76"/>
      <c r="I123" s="76"/>
      <c r="J123" s="76"/>
      <c r="K123" s="95">
        <f>J105</f>
        <v>5000</v>
      </c>
      <c r="L123" s="2"/>
      <c r="M123" s="75" t="s">
        <v>138</v>
      </c>
      <c r="N123" s="76"/>
      <c r="O123" s="76"/>
      <c r="P123" s="76"/>
      <c r="Q123" s="95">
        <f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6" t="s">
        <v>53</v>
      </c>
      <c r="B124" s="13"/>
      <c r="C124" s="13"/>
      <c r="D124" s="13"/>
      <c r="E124" s="11">
        <f>A108</f>
        <v>199.99</v>
      </c>
      <c r="F124" s="2"/>
      <c r="G124" s="6" t="s">
        <v>53</v>
      </c>
      <c r="H124" s="13"/>
      <c r="I124" s="13"/>
      <c r="J124" s="13"/>
      <c r="K124" s="11">
        <f>G108</f>
        <v>239.988</v>
      </c>
      <c r="L124" s="2"/>
      <c r="M124" s="6" t="s">
        <v>53</v>
      </c>
      <c r="N124" s="13"/>
      <c r="O124" s="13"/>
      <c r="P124" s="13"/>
      <c r="Q124" s="11">
        <f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07" t="s">
        <v>292</v>
      </c>
      <c r="B125" s="73"/>
      <c r="C125" s="73"/>
      <c r="D125" s="73"/>
      <c r="E125" s="80">
        <f>(E124+E123)-E120</f>
        <v>199.99</v>
      </c>
      <c r="F125" s="2"/>
      <c r="G125" s="107" t="s">
        <v>292</v>
      </c>
      <c r="H125" s="73"/>
      <c r="I125" s="73"/>
      <c r="J125" s="73"/>
      <c r="K125" s="80">
        <f>(K124+K123)-K120</f>
        <v>7239.988</v>
      </c>
      <c r="L125" s="2"/>
      <c r="M125" s="107" t="s">
        <v>292</v>
      </c>
      <c r="N125" s="73"/>
      <c r="O125" s="73"/>
      <c r="P125" s="73"/>
      <c r="Q125" s="80">
        <f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6"/>
      <c r="B126" s="13"/>
      <c r="C126" s="13"/>
      <c r="D126" s="13"/>
      <c r="E126" s="14"/>
      <c r="F126" s="2"/>
      <c r="G126" s="6"/>
      <c r="H126" s="13"/>
      <c r="I126" s="13"/>
      <c r="J126" s="13"/>
      <c r="K126" s="14"/>
      <c r="L126" s="2"/>
      <c r="M126" s="6"/>
      <c r="N126" s="13"/>
      <c r="O126" s="13"/>
      <c r="P126" s="13"/>
      <c r="Q126" s="14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6"/>
      <c r="B127" s="13"/>
      <c r="C127" s="13"/>
      <c r="D127" s="13"/>
      <c r="E127" s="14"/>
      <c r="F127" s="2"/>
      <c r="G127" s="6"/>
      <c r="H127" s="13"/>
      <c r="I127" s="13"/>
      <c r="J127" s="13"/>
      <c r="K127" s="14"/>
      <c r="L127" s="2"/>
      <c r="M127" s="6"/>
      <c r="N127" s="13"/>
      <c r="O127" s="13"/>
      <c r="P127" s="13"/>
      <c r="Q127" s="14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27" t="s">
        <v>293</v>
      </c>
      <c r="B128" s="27"/>
      <c r="C128" s="27"/>
      <c r="D128" s="27"/>
      <c r="E128" s="27"/>
      <c r="F128" s="2"/>
      <c r="G128" s="27" t="s">
        <v>293</v>
      </c>
      <c r="H128" s="27"/>
      <c r="I128" s="27"/>
      <c r="J128" s="27"/>
      <c r="K128" s="27"/>
      <c r="L128" s="2"/>
      <c r="M128" s="27" t="s">
        <v>293</v>
      </c>
      <c r="N128" s="27"/>
      <c r="O128" s="27"/>
      <c r="P128" s="27"/>
      <c r="Q128" s="27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6">
      <c r="A129" s="6"/>
      <c r="B129" s="13"/>
      <c r="C129" s="13"/>
      <c r="D129" s="13"/>
      <c r="E129" s="14"/>
      <c r="F129" s="2"/>
      <c r="G129" s="6"/>
      <c r="H129" s="13"/>
      <c r="I129" s="13"/>
      <c r="J129" s="13"/>
      <c r="K129" s="14"/>
      <c r="L129" s="2"/>
      <c r="M129" s="6"/>
      <c r="N129" s="13"/>
      <c r="O129" s="13"/>
      <c r="P129" s="13"/>
      <c r="Q129" s="14"/>
      <c r="R129" s="2"/>
      <c r="S129" s="2"/>
      <c r="T129" s="2"/>
      <c r="U129" s="2"/>
      <c r="V129" s="2"/>
      <c r="W129" s="2"/>
      <c r="X129" s="2"/>
      <c r="Y129" s="2"/>
      <c r="Z129" s="2"/>
    </row>
    <row r="130" ht="18.75" customHeight="1" spans="1:26">
      <c r="A130" s="6" t="s">
        <v>183</v>
      </c>
      <c r="B130" s="115">
        <v>1200</v>
      </c>
      <c r="C130" s="115"/>
      <c r="D130" s="13"/>
      <c r="E130" s="14"/>
      <c r="F130" s="2"/>
      <c r="G130" s="6" t="s">
        <v>183</v>
      </c>
      <c r="H130" s="115">
        <v>0</v>
      </c>
      <c r="I130" s="115"/>
      <c r="J130" s="13"/>
      <c r="K130" s="14"/>
      <c r="L130" s="2"/>
      <c r="M130" s="6" t="s">
        <v>183</v>
      </c>
      <c r="N130" s="115">
        <v>0</v>
      </c>
      <c r="O130" s="115"/>
      <c r="P130" s="13"/>
      <c r="Q130" s="14"/>
      <c r="R130" s="2"/>
      <c r="S130" s="2"/>
      <c r="T130" s="2"/>
      <c r="U130" s="2"/>
      <c r="V130" s="2"/>
      <c r="W130" s="2"/>
      <c r="X130" s="2"/>
      <c r="Y130" s="2"/>
      <c r="Z130" s="2"/>
    </row>
    <row r="131" ht="18.75" customHeight="1" spans="1:26">
      <c r="A131" s="6"/>
      <c r="B131" s="13"/>
      <c r="C131" s="13"/>
      <c r="D131" s="13"/>
      <c r="E131" s="14"/>
      <c r="F131" s="2"/>
      <c r="G131" s="6"/>
      <c r="H131" s="13"/>
      <c r="I131" s="13"/>
      <c r="J131" s="13"/>
      <c r="K131" s="14"/>
      <c r="L131" s="2"/>
      <c r="M131" s="6"/>
      <c r="N131" s="13"/>
      <c r="O131" s="13"/>
      <c r="P131" s="13"/>
      <c r="Q131" s="14"/>
      <c r="R131" s="2"/>
      <c r="S131" s="2"/>
      <c r="T131" s="2"/>
      <c r="U131" s="2"/>
      <c r="V131" s="2"/>
      <c r="W131" s="2"/>
      <c r="X131" s="2"/>
      <c r="Y131" s="2"/>
      <c r="Z131" s="2"/>
    </row>
    <row r="132" ht="18.75" customHeight="1" spans="1:26">
      <c r="A132" s="6" t="s">
        <v>83</v>
      </c>
      <c r="B132" s="13" t="s">
        <v>84</v>
      </c>
      <c r="C132" s="13"/>
      <c r="D132" s="13" t="s">
        <v>86</v>
      </c>
      <c r="E132" s="14"/>
      <c r="F132" s="2"/>
      <c r="G132" s="6" t="s">
        <v>83</v>
      </c>
      <c r="H132" s="13" t="s">
        <v>84</v>
      </c>
      <c r="I132" s="13"/>
      <c r="J132" s="13" t="s">
        <v>86</v>
      </c>
      <c r="K132" s="14"/>
      <c r="L132" s="2"/>
      <c r="M132" s="6" t="s">
        <v>83</v>
      </c>
      <c r="N132" s="13" t="s">
        <v>84</v>
      </c>
      <c r="O132" s="13"/>
      <c r="P132" s="13" t="s">
        <v>86</v>
      </c>
      <c r="Q132" s="14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39">
        <f>A158</f>
        <v>12</v>
      </c>
      <c r="B133" s="40">
        <f>B157</f>
        <v>5000</v>
      </c>
      <c r="C133" s="41"/>
      <c r="D133" s="40">
        <f>B64</f>
        <v>11</v>
      </c>
      <c r="E133" s="14"/>
      <c r="F133" s="2"/>
      <c r="G133" s="39">
        <f>G158</f>
        <v>12</v>
      </c>
      <c r="H133" s="40">
        <f>B157</f>
        <v>5000</v>
      </c>
      <c r="I133" s="41"/>
      <c r="J133" s="40">
        <f>B64</f>
        <v>11</v>
      </c>
      <c r="K133" s="14"/>
      <c r="L133" s="2"/>
      <c r="M133" s="39">
        <f>M161</f>
        <v>12</v>
      </c>
      <c r="N133" s="40">
        <f>B157</f>
        <v>5000</v>
      </c>
      <c r="O133" s="41"/>
      <c r="P133" s="40">
        <f>B64</f>
        <v>11</v>
      </c>
      <c r="Q133" s="14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6"/>
      <c r="B134" s="13"/>
      <c r="C134" s="13"/>
      <c r="D134" s="13"/>
      <c r="E134" s="14"/>
      <c r="F134" s="2"/>
      <c r="G134" s="6"/>
      <c r="H134" s="13"/>
      <c r="I134" s="13"/>
      <c r="J134" s="13"/>
      <c r="K134" s="14"/>
      <c r="L134" s="2"/>
      <c r="M134" s="6"/>
      <c r="N134" s="13"/>
      <c r="O134" s="13"/>
      <c r="P134" s="13"/>
      <c r="Q134" s="14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20" t="s">
        <v>343</v>
      </c>
      <c r="B135" s="121" t="s">
        <v>252</v>
      </c>
      <c r="C135" s="121"/>
      <c r="D135" s="121" t="s">
        <v>120</v>
      </c>
      <c r="E135" s="14"/>
      <c r="F135" s="2"/>
      <c r="G135" s="120" t="s">
        <v>296</v>
      </c>
      <c r="H135" s="121" t="s">
        <v>297</v>
      </c>
      <c r="I135" s="121"/>
      <c r="J135" s="121" t="s">
        <v>298</v>
      </c>
      <c r="K135" s="14"/>
      <c r="L135" s="2"/>
      <c r="M135" s="120" t="s">
        <v>343</v>
      </c>
      <c r="N135" s="121" t="s">
        <v>252</v>
      </c>
      <c r="O135" s="121"/>
      <c r="P135" s="121" t="s">
        <v>120</v>
      </c>
      <c r="Q135" s="14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25">
        <f>B96</f>
        <v>470.208446603645</v>
      </c>
      <c r="B136" s="126">
        <f>IF(A111="YES",B95*B63,0)</f>
        <v>375.652173913043</v>
      </c>
      <c r="C136" s="126"/>
      <c r="D136" s="126">
        <f>B97</f>
        <v>501.512794429731</v>
      </c>
      <c r="E136" s="14"/>
      <c r="F136" s="2"/>
      <c r="G136" s="125" t="e">
        <f>H96</f>
        <v>#DIV/0!</v>
      </c>
      <c r="H136" s="126" t="e">
        <f>IF(G111="YES",H95*H63,0)</f>
        <v>#DIV/0!</v>
      </c>
      <c r="I136" s="126"/>
      <c r="J136" s="167" t="e">
        <f>H97</f>
        <v>#DIV/0!</v>
      </c>
      <c r="K136" s="14"/>
      <c r="L136" s="2"/>
      <c r="M136" s="125" t="e">
        <f>N96</f>
        <v>#DIV/0!</v>
      </c>
      <c r="N136" s="126" t="e">
        <f>IF(M111="YES",N95*N63,0)</f>
        <v>#DIV/0!</v>
      </c>
      <c r="O136" s="126"/>
      <c r="P136" s="126" t="e">
        <f>N97</f>
        <v>#DIV/0!</v>
      </c>
      <c r="Q136" s="14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6"/>
      <c r="B137" s="13"/>
      <c r="C137" s="13"/>
      <c r="D137" s="13"/>
      <c r="E137" s="14"/>
      <c r="F137" s="2"/>
      <c r="G137" s="6"/>
      <c r="H137" s="13"/>
      <c r="I137" s="13"/>
      <c r="J137" s="13"/>
      <c r="K137" s="14"/>
      <c r="L137" s="2"/>
      <c r="M137" s="6"/>
      <c r="N137" s="13"/>
      <c r="O137" s="13"/>
      <c r="P137" s="13"/>
      <c r="Q137" s="14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6" t="s">
        <v>344</v>
      </c>
      <c r="B138" s="13" t="s">
        <v>241</v>
      </c>
      <c r="C138" s="13"/>
      <c r="D138" s="13" t="s">
        <v>245</v>
      </c>
      <c r="E138" s="14"/>
      <c r="F138" s="2"/>
      <c r="G138" s="6" t="s">
        <v>301</v>
      </c>
      <c r="H138" s="13" t="s">
        <v>302</v>
      </c>
      <c r="I138" s="13"/>
      <c r="J138" s="13" t="s">
        <v>303</v>
      </c>
      <c r="K138" s="14"/>
      <c r="L138" s="2"/>
      <c r="M138" s="6" t="s">
        <v>344</v>
      </c>
      <c r="N138" s="13" t="s">
        <v>241</v>
      </c>
      <c r="O138" s="13"/>
      <c r="P138" s="13" t="s">
        <v>245</v>
      </c>
      <c r="Q138" s="14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2">
        <f>B96*B63</f>
        <v>5642.50135924373</v>
      </c>
      <c r="B139" s="133">
        <f>IF(A111="YES",B95*B63,0)</f>
        <v>375.652173913043</v>
      </c>
      <c r="C139" s="31"/>
      <c r="D139" s="53">
        <f>B97*B63</f>
        <v>6018.15353315678</v>
      </c>
      <c r="E139" s="14"/>
      <c r="F139" s="2"/>
      <c r="G139" s="132" t="e">
        <f>H96*H63</f>
        <v>#DIV/0!</v>
      </c>
      <c r="H139" s="133" t="e">
        <f>IF(G111="YES",H95*H63,0)</f>
        <v>#DIV/0!</v>
      </c>
      <c r="I139" s="31"/>
      <c r="J139" s="133" t="e">
        <f>H97*H63</f>
        <v>#DIV/0!</v>
      </c>
      <c r="K139" s="14"/>
      <c r="L139" s="2"/>
      <c r="M139" s="132" t="e">
        <f>N96*N63</f>
        <v>#DIV/0!</v>
      </c>
      <c r="N139" s="133" t="e">
        <f>IF(M111="YES",N95*N63,0)</f>
        <v>#DIV/0!</v>
      </c>
      <c r="O139" s="31"/>
      <c r="P139" s="53" t="e">
        <f>N97*N63</f>
        <v>#DIV/0!</v>
      </c>
      <c r="Q139" s="14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6"/>
      <c r="B140" s="13"/>
      <c r="C140" s="13"/>
      <c r="D140" s="13"/>
      <c r="E140" s="14"/>
      <c r="F140" s="2"/>
      <c r="G140" s="6"/>
      <c r="H140" s="13"/>
      <c r="I140" s="13"/>
      <c r="J140" s="13"/>
      <c r="K140" s="14"/>
      <c r="L140" s="2"/>
      <c r="M140" s="6"/>
      <c r="N140" s="13"/>
      <c r="O140" s="13"/>
      <c r="P140" s="13"/>
      <c r="Q140" s="14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6" t="s">
        <v>254</v>
      </c>
      <c r="B141" s="13" t="s">
        <v>255</v>
      </c>
      <c r="C141" s="13"/>
      <c r="D141" s="13" t="s">
        <v>259</v>
      </c>
      <c r="E141" s="14"/>
      <c r="F141" s="2"/>
      <c r="G141" s="6" t="s">
        <v>306</v>
      </c>
      <c r="H141" s="13" t="s">
        <v>307</v>
      </c>
      <c r="I141" s="13"/>
      <c r="J141" s="13" t="s">
        <v>308</v>
      </c>
      <c r="K141" s="14"/>
      <c r="L141" s="2"/>
      <c r="M141" s="6" t="s">
        <v>254</v>
      </c>
      <c r="N141" s="13" t="s">
        <v>255</v>
      </c>
      <c r="O141" s="13"/>
      <c r="P141" s="13" t="s">
        <v>259</v>
      </c>
      <c r="Q141" s="14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4">
        <f>E15*0.000006</f>
        <v>0.35115</v>
      </c>
      <c r="B142" s="133">
        <f>IF(A111="YES",E15*0.000002,0)</f>
        <v>0.11705</v>
      </c>
      <c r="C142" s="133"/>
      <c r="D142" s="133">
        <f>A142+B142</f>
        <v>0.4682</v>
      </c>
      <c r="E142" s="141"/>
      <c r="F142" s="2"/>
      <c r="G142" s="134">
        <f>E15*0.000006</f>
        <v>0.35115</v>
      </c>
      <c r="H142" s="133">
        <f>IF(G111="YES",E15*0.000002,0)</f>
        <v>0.11705</v>
      </c>
      <c r="I142" s="133"/>
      <c r="J142" s="133">
        <f>G142+H142</f>
        <v>0.4682</v>
      </c>
      <c r="K142" s="141"/>
      <c r="L142" s="2"/>
      <c r="M142" s="134">
        <f>E15*0.000006</f>
        <v>0.35115</v>
      </c>
      <c r="N142" s="133">
        <f>IF(M111="YES",E15*0.000002,0)</f>
        <v>0.11705</v>
      </c>
      <c r="O142" s="133"/>
      <c r="P142" s="133">
        <f>M142+N142</f>
        <v>0.4682</v>
      </c>
      <c r="Q142" s="141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6"/>
      <c r="B143" s="13"/>
      <c r="C143" s="13"/>
      <c r="D143" s="13"/>
      <c r="E143" s="14"/>
      <c r="F143" s="2"/>
      <c r="G143" s="6"/>
      <c r="H143" s="13"/>
      <c r="I143" s="13"/>
      <c r="J143" s="13"/>
      <c r="K143" s="14"/>
      <c r="L143" s="2"/>
      <c r="M143" s="6"/>
      <c r="N143" s="13"/>
      <c r="O143" s="13"/>
      <c r="P143" s="13"/>
      <c r="Q143" s="14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6" t="s">
        <v>141</v>
      </c>
      <c r="B144" s="13" t="s">
        <v>310</v>
      </c>
      <c r="C144" s="13"/>
      <c r="D144" s="13" t="s">
        <v>311</v>
      </c>
      <c r="E144" s="14"/>
      <c r="F144" s="2"/>
      <c r="G144" s="6" t="s">
        <v>309</v>
      </c>
      <c r="H144" s="13" t="s">
        <v>310</v>
      </c>
      <c r="I144" s="13"/>
      <c r="J144" s="13" t="s">
        <v>311</v>
      </c>
      <c r="K144" s="14"/>
      <c r="L144" s="2"/>
      <c r="M144" s="6" t="s">
        <v>141</v>
      </c>
      <c r="N144" s="13" t="s">
        <v>310</v>
      </c>
      <c r="O144" s="13"/>
      <c r="P144" s="13" t="s">
        <v>311</v>
      </c>
      <c r="Q144" s="14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34">
        <f>A108</f>
        <v>199.99</v>
      </c>
      <c r="B145" s="133">
        <f>B73/1.2</f>
        <v>482.375</v>
      </c>
      <c r="C145" s="133"/>
      <c r="D145" s="133">
        <f>B108*0.9</f>
        <v>0</v>
      </c>
      <c r="E145" s="141"/>
      <c r="F145" s="2"/>
      <c r="G145" s="134">
        <f>G108</f>
        <v>239.988</v>
      </c>
      <c r="H145" s="133">
        <f>H73/1.2</f>
        <v>241.1875</v>
      </c>
      <c r="I145" s="133"/>
      <c r="J145" s="133">
        <f>H108*0.9</f>
        <v>1080</v>
      </c>
      <c r="K145" s="141"/>
      <c r="L145" s="2"/>
      <c r="M145" s="134">
        <f>M108</f>
        <v>199.99</v>
      </c>
      <c r="N145" s="133">
        <f>N73/1.2</f>
        <v>241.1875</v>
      </c>
      <c r="O145" s="133"/>
      <c r="P145" s="133">
        <f>N108*0.9</f>
        <v>1080</v>
      </c>
      <c r="Q145" s="141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6"/>
      <c r="B146" s="13"/>
      <c r="C146" s="13"/>
      <c r="D146" s="13"/>
      <c r="E146" s="14"/>
      <c r="F146" s="2"/>
      <c r="G146" s="6"/>
      <c r="H146" s="13"/>
      <c r="I146" s="13"/>
      <c r="J146" s="13"/>
      <c r="K146" s="14"/>
      <c r="L146" s="2"/>
      <c r="M146" s="6"/>
      <c r="N146" s="13"/>
      <c r="O146" s="13"/>
      <c r="P146" s="13"/>
      <c r="Q146" s="14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6" t="s">
        <v>313</v>
      </c>
      <c r="B147" s="13" t="s">
        <v>314</v>
      </c>
      <c r="C147" s="13"/>
      <c r="D147" s="13" t="s">
        <v>315</v>
      </c>
      <c r="E147" s="14"/>
      <c r="F147" s="2"/>
      <c r="G147" s="6" t="s">
        <v>313</v>
      </c>
      <c r="H147" s="13" t="s">
        <v>314</v>
      </c>
      <c r="I147" s="13"/>
      <c r="J147" s="13" t="s">
        <v>315</v>
      </c>
      <c r="K147" s="14"/>
      <c r="L147" s="2"/>
      <c r="M147" s="6" t="s">
        <v>313</v>
      </c>
      <c r="N147" s="13" t="s">
        <v>314</v>
      </c>
      <c r="O147" s="13"/>
      <c r="P147" s="13" t="s">
        <v>315</v>
      </c>
      <c r="Q147" s="14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IF(A111="YES",((A41*B111)*0.1)*(A133),0)</f>
        <v>12</v>
      </c>
      <c r="B148" s="133">
        <f>A108-100</f>
        <v>99.99</v>
      </c>
      <c r="C148" s="133"/>
      <c r="D148" s="133">
        <f>(B145+D145+A148+B148)-B151</f>
        <v>594.365</v>
      </c>
      <c r="E148" s="141"/>
      <c r="F148" s="2"/>
      <c r="G148" s="134">
        <f>IF(G111="YES",((A41*H111)*0.1)*(G133),0)</f>
        <v>12</v>
      </c>
      <c r="H148" s="133">
        <f>G108-100</f>
        <v>139.988</v>
      </c>
      <c r="I148" s="133"/>
      <c r="J148" s="133">
        <f>(H145+J145+G148+H148)-H151</f>
        <v>1473.1755</v>
      </c>
      <c r="K148" s="141"/>
      <c r="L148" s="2"/>
      <c r="M148" s="134">
        <f>IF(M111="YES",((A41*N111)*0.1)*(M133),0)</f>
        <v>12</v>
      </c>
      <c r="N148" s="133">
        <f>M108-100</f>
        <v>99.99</v>
      </c>
      <c r="O148" s="133"/>
      <c r="P148" s="133">
        <f>(N145+P145+M148+N148)-N151</f>
        <v>1433.1775</v>
      </c>
      <c r="Q148" s="141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6"/>
      <c r="B149" s="13"/>
      <c r="C149" s="13"/>
      <c r="D149" s="13"/>
      <c r="E149" s="14"/>
      <c r="F149" s="2"/>
      <c r="G149" s="6"/>
      <c r="H149" s="13"/>
      <c r="I149" s="13"/>
      <c r="J149" s="13"/>
      <c r="K149" s="14"/>
      <c r="L149" s="2"/>
      <c r="M149" s="6"/>
      <c r="N149" s="13"/>
      <c r="O149" s="13"/>
      <c r="P149" s="13"/>
      <c r="Q149" s="14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6" t="s">
        <v>317</v>
      </c>
      <c r="B150" s="13" t="s">
        <v>318</v>
      </c>
      <c r="C150" s="13"/>
      <c r="D150" s="13"/>
      <c r="E150" s="14"/>
      <c r="F150" s="2"/>
      <c r="G150" s="6" t="s">
        <v>317</v>
      </c>
      <c r="H150" s="13" t="s">
        <v>318</v>
      </c>
      <c r="I150" s="13"/>
      <c r="J150" s="13"/>
      <c r="K150" s="14"/>
      <c r="L150" s="2"/>
      <c r="M150" s="6" t="s">
        <v>317</v>
      </c>
      <c r="N150" s="13" t="s">
        <v>318</v>
      </c>
      <c r="O150" s="13"/>
      <c r="P150" s="13"/>
      <c r="Q150" s="14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v>0</v>
      </c>
      <c r="B151" s="133">
        <f>(B145+D145+A148+B148)*(A151/B70)</f>
        <v>0</v>
      </c>
      <c r="C151" s="13"/>
      <c r="D151" s="13"/>
      <c r="E151" s="14"/>
      <c r="F151" s="2"/>
      <c r="G151" s="134">
        <f>IF((1200-H108)&lt;=0,0,(1200-H108))</f>
        <v>0</v>
      </c>
      <c r="H151" s="133">
        <f>(H145+J145+G148+H148)*(G151/H70)</f>
        <v>0</v>
      </c>
      <c r="I151" s="13"/>
      <c r="J151" s="13"/>
      <c r="K151" s="14"/>
      <c r="L151" s="2"/>
      <c r="M151" s="134">
        <f>IF((1200-N108)&lt;=0,0,(1200-N108))</f>
        <v>0</v>
      </c>
      <c r="N151" s="133">
        <f>(N145+P145+M148+N148)*(M151/N70)</f>
        <v>0</v>
      </c>
      <c r="O151" s="13"/>
      <c r="P151" s="13"/>
      <c r="Q151" s="14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6"/>
      <c r="B152" s="13"/>
      <c r="C152" s="13"/>
      <c r="D152" s="13"/>
      <c r="E152" s="14"/>
      <c r="F152" s="2"/>
      <c r="G152" s="6"/>
      <c r="H152" s="13"/>
      <c r="I152" s="13"/>
      <c r="J152" s="13"/>
      <c r="K152" s="14"/>
      <c r="L152" s="2"/>
      <c r="M152" s="134"/>
      <c r="N152" s="133"/>
      <c r="O152" s="13"/>
      <c r="P152" s="13"/>
      <c r="Q152" s="14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6"/>
      <c r="B153" s="13"/>
      <c r="C153" s="13"/>
      <c r="D153" s="13"/>
      <c r="E153" s="14"/>
      <c r="F153" s="2"/>
      <c r="G153" s="6"/>
      <c r="H153" s="13"/>
      <c r="I153" s="13"/>
      <c r="J153" s="13"/>
      <c r="K153" s="14"/>
      <c r="L153" s="2"/>
      <c r="M153" s="137" t="s">
        <v>345</v>
      </c>
      <c r="N153" s="105" t="s">
        <v>346</v>
      </c>
      <c r="O153" s="13"/>
      <c r="P153" s="13"/>
      <c r="Q153" s="14"/>
      <c r="R153" s="2"/>
      <c r="S153" s="2"/>
      <c r="T153" s="2"/>
      <c r="U153" s="2"/>
      <c r="V153" s="2"/>
      <c r="W153" s="2"/>
      <c r="X153" s="2"/>
      <c r="Y153" s="2"/>
      <c r="Z153" s="2"/>
    </row>
    <row r="154" ht="18.75" customHeight="1" spans="1:26">
      <c r="A154" s="62" t="s">
        <v>323</v>
      </c>
      <c r="B154" s="13"/>
      <c r="C154" s="13"/>
      <c r="D154" s="63"/>
      <c r="E154" s="64"/>
      <c r="F154" s="2"/>
      <c r="G154" s="62" t="s">
        <v>323</v>
      </c>
      <c r="H154" s="13"/>
      <c r="I154" s="13"/>
      <c r="J154" s="63"/>
      <c r="K154" s="64"/>
      <c r="L154" s="2"/>
      <c r="M154" s="204">
        <f>H40</f>
        <v>0</v>
      </c>
      <c r="N154" s="205">
        <v>0.99</v>
      </c>
      <c r="O154" s="205"/>
      <c r="P154" s="13"/>
      <c r="Q154" s="14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6"/>
      <c r="B155" s="65"/>
      <c r="C155" s="65"/>
      <c r="D155" s="13"/>
      <c r="E155" s="14"/>
      <c r="F155" s="2"/>
      <c r="G155" s="6"/>
      <c r="H155" s="65"/>
      <c r="I155" s="65"/>
      <c r="J155" s="13"/>
      <c r="K155" s="14"/>
      <c r="L155" s="2"/>
      <c r="M155" s="6"/>
      <c r="N155" s="13"/>
      <c r="O155" s="13"/>
      <c r="P155" s="13"/>
      <c r="Q155" s="14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67" t="s">
        <v>83</v>
      </c>
      <c r="B156" s="68" t="s">
        <v>84</v>
      </c>
      <c r="C156" s="68"/>
      <c r="D156" s="13"/>
      <c r="E156" s="14"/>
      <c r="F156" s="2"/>
      <c r="G156" s="67" t="s">
        <v>83</v>
      </c>
      <c r="H156" s="68" t="s">
        <v>84</v>
      </c>
      <c r="I156" s="68"/>
      <c r="J156" s="13"/>
      <c r="K156" s="14"/>
      <c r="L156" s="2"/>
      <c r="M156" s="6"/>
      <c r="N156" s="13"/>
      <c r="O156" s="13"/>
      <c r="P156" s="13"/>
      <c r="Q156" s="14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67"/>
      <c r="B157" s="69">
        <f>B57</f>
        <v>5000</v>
      </c>
      <c r="C157" s="69"/>
      <c r="D157" s="13"/>
      <c r="E157" s="14"/>
      <c r="F157" s="2"/>
      <c r="G157" s="67"/>
      <c r="H157" s="69">
        <f>B57</f>
        <v>5000</v>
      </c>
      <c r="I157" s="69"/>
      <c r="J157" s="13"/>
      <c r="K157" s="14"/>
      <c r="L157" s="2"/>
      <c r="M157" s="62" t="s">
        <v>323</v>
      </c>
      <c r="N157" s="13"/>
      <c r="O157" s="13"/>
      <c r="P157" s="63"/>
      <c r="Q157" s="64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70">
        <f>A58</f>
        <v>12</v>
      </c>
      <c r="B158" s="71">
        <f>B97</f>
        <v>501.512794429731</v>
      </c>
      <c r="C158" s="71"/>
      <c r="D158" s="13"/>
      <c r="E158" s="14"/>
      <c r="F158" s="2"/>
      <c r="G158" s="70">
        <f>A58</f>
        <v>12</v>
      </c>
      <c r="H158" s="71" t="e">
        <f>H97</f>
        <v>#DIV/0!</v>
      </c>
      <c r="I158" s="71"/>
      <c r="J158" s="13"/>
      <c r="K158" s="14"/>
      <c r="L158" s="2"/>
      <c r="M158" s="6"/>
      <c r="N158" s="65"/>
      <c r="O158" s="65"/>
      <c r="P158" s="13"/>
      <c r="Q158" s="14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"/>
      <c r="B159" s="13"/>
      <c r="C159" s="13"/>
      <c r="D159" s="13"/>
      <c r="E159" s="14"/>
      <c r="F159" s="2"/>
      <c r="G159" s="6"/>
      <c r="H159" s="13"/>
      <c r="I159" s="13"/>
      <c r="J159" s="13"/>
      <c r="K159" s="14"/>
      <c r="L159" s="2"/>
      <c r="M159" s="67" t="s">
        <v>83</v>
      </c>
      <c r="N159" s="68" t="s">
        <v>84</v>
      </c>
      <c r="O159" s="68"/>
      <c r="P159" s="13"/>
      <c r="Q159" s="14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"/>
      <c r="B160" s="13"/>
      <c r="C160" s="13"/>
      <c r="D160" s="13"/>
      <c r="E160" s="14"/>
      <c r="F160" s="2"/>
      <c r="G160" s="6"/>
      <c r="H160" s="13"/>
      <c r="I160" s="13"/>
      <c r="J160" s="13"/>
      <c r="K160" s="14"/>
      <c r="L160" s="2"/>
      <c r="M160" s="67"/>
      <c r="N160" s="69">
        <f>B57</f>
        <v>5000</v>
      </c>
      <c r="O160" s="69"/>
      <c r="P160" s="13"/>
      <c r="Q160" s="14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6"/>
      <c r="B161" s="13"/>
      <c r="C161" s="13"/>
      <c r="D161" s="13"/>
      <c r="E161" s="14"/>
      <c r="F161" s="2"/>
      <c r="G161" s="6"/>
      <c r="H161" s="13"/>
      <c r="I161" s="13"/>
      <c r="J161" s="13"/>
      <c r="K161" s="14"/>
      <c r="L161" s="2"/>
      <c r="M161" s="70">
        <f>A58</f>
        <v>12</v>
      </c>
      <c r="N161" s="71" t="e">
        <f>N97</f>
        <v>#DIV/0!</v>
      </c>
      <c r="O161" s="71"/>
      <c r="P161" s="13"/>
      <c r="Q161" s="14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6"/>
      <c r="B162" s="13"/>
      <c r="C162" s="13"/>
      <c r="D162" s="13"/>
      <c r="E162" s="14"/>
      <c r="F162" s="2"/>
      <c r="G162" s="6"/>
      <c r="H162" s="13"/>
      <c r="I162" s="13"/>
      <c r="J162" s="13"/>
      <c r="K162" s="14"/>
      <c r="L162" s="2"/>
      <c r="M162" s="6"/>
      <c r="N162" s="13"/>
      <c r="O162" s="13"/>
      <c r="P162" s="13"/>
      <c r="Q162" s="14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72"/>
      <c r="B163" s="73"/>
      <c r="C163" s="73"/>
      <c r="D163" s="73"/>
      <c r="E163" s="74"/>
      <c r="F163" s="2"/>
      <c r="G163" s="72"/>
      <c r="H163" s="73"/>
      <c r="I163" s="73"/>
      <c r="J163" s="73"/>
      <c r="K163" s="74"/>
      <c r="L163" s="2"/>
      <c r="M163" s="6"/>
      <c r="N163" s="13"/>
      <c r="O163" s="13"/>
      <c r="P163" s="13"/>
      <c r="Q163" s="14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6"/>
      <c r="N164" s="13"/>
      <c r="O164" s="13"/>
      <c r="P164" s="13"/>
      <c r="Q164" s="14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6"/>
      <c r="N165" s="13"/>
      <c r="O165" s="13"/>
      <c r="P165" s="13"/>
      <c r="Q165" s="14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6"/>
      <c r="N166" s="13"/>
      <c r="O166" s="13"/>
      <c r="P166" s="13"/>
      <c r="Q166" s="14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6"/>
      <c r="N167" s="13"/>
      <c r="O167" s="13"/>
      <c r="P167" s="13"/>
      <c r="Q167" s="14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72"/>
      <c r="N168" s="73"/>
      <c r="O168" s="73"/>
      <c r="P168" s="73"/>
      <c r="Q168" s="74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8.75" customHeight="1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8.75" customHeight="1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8.75" customHeight="1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8.75" customHeight="1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8.75" customHeight="1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8.75" customHeight="1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8.75" customHeight="1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8.75" customHeight="1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8.75" customHeight="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B156:C156"/>
    <mergeCell ref="H156:I156"/>
    <mergeCell ref="B157:C157"/>
    <mergeCell ref="H157:I157"/>
    <mergeCell ref="B158:C158"/>
    <mergeCell ref="H158:I158"/>
    <mergeCell ref="N159:O159"/>
    <mergeCell ref="N160:O160"/>
    <mergeCell ref="N161:O161"/>
    <mergeCell ref="A56:A57"/>
    <mergeCell ref="A156:A157"/>
    <mergeCell ref="G156:G157"/>
    <mergeCell ref="M159:M160"/>
  </mergeCells>
  <dataValidations count="4">
    <dataValidation type="list" allowBlank="1" showErrorMessage="1" sqref="A32 H105 N105">
      <formula1>$Y$103:$Y$112</formula1>
    </dataValidation>
    <dataValidation type="list" allowBlank="1" showErrorMessage="1" sqref="B38 A50 A111 G111 M111 O113 B116 H116 N116">
      <formula1>$Z$19:$Z$20</formula1>
    </dataValidation>
    <dataValidation type="list" allowBlank="1" showErrorMessage="1" sqref="B65 B105">
      <formula1>'FL (Formula 3) - BCH, PCH, FL'!$Z$103:$Z$111</formula1>
    </dataValidation>
    <dataValidation type="list" allowBlank="1" showErrorMessage="1" sqref="A18:A20">
      <formula1>$Y$16:$Y$18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topLeftCell="A55" workbookViewId="0">
      <selection activeCell="B64" sqref="B64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>
        <v>16745</v>
      </c>
      <c r="C3" s="7">
        <v>0</v>
      </c>
      <c r="D3" s="7">
        <v>0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>
        <v>0</v>
      </c>
      <c r="C4" s="191">
        <v>0</v>
      </c>
      <c r="D4" s="9">
        <v>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>
        <v>0</v>
      </c>
      <c r="C5" s="7">
        <v>0</v>
      </c>
      <c r="D5" s="7">
        <v>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16745</v>
      </c>
      <c r="C7" s="12">
        <f>C3-C6</f>
        <v>0</v>
      </c>
      <c r="D7" s="12">
        <f>D3-D6</f>
        <v>0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340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16745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>
        <v>695</v>
      </c>
      <c r="F10" s="2"/>
      <c r="G10" s="2"/>
      <c r="H10" s="2"/>
      <c r="I10" s="83" t="s">
        <v>1</v>
      </c>
      <c r="J10" s="82">
        <f>E15-E11-J8</f>
        <v>17440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3488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>
        <v>275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>
        <v>65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21268</v>
      </c>
      <c r="F15" s="2"/>
      <c r="G15" s="19">
        <f>E15</f>
        <v>21268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(B3+C3+E10+D3+E3)*1.2</f>
        <v>20928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21268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50</v>
      </c>
      <c r="E32" s="37"/>
      <c r="F32" s="2"/>
      <c r="G32" s="38" t="s">
        <v>243</v>
      </c>
      <c r="H32" s="36">
        <f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550</v>
      </c>
      <c r="B35" s="33">
        <v>12</v>
      </c>
      <c r="C35" s="33"/>
      <c r="D35" s="33">
        <v>5000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18</v>
      </c>
      <c r="C38" s="33"/>
      <c r="D38" s="48">
        <v>500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2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>
        <v>50</v>
      </c>
      <c r="B41" s="55">
        <f>IF(B38="YES",D38+A41,D38)</f>
        <v>550</v>
      </c>
      <c r="C41" s="55"/>
      <c r="D41" s="48">
        <v>12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>
        <v>1</v>
      </c>
      <c r="B44" s="48">
        <v>1</v>
      </c>
      <c r="C44" s="48"/>
      <c r="D44" s="59">
        <f>A44+B44</f>
        <v>2</v>
      </c>
      <c r="E44" s="59"/>
      <c r="F44" s="2"/>
      <c r="G44" s="2" t="s">
        <v>257</v>
      </c>
      <c r="H44" s="50">
        <f>((A41*(B35-1))+D32)/B35</f>
        <v>50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551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/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551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9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3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/>
      <c r="B60" s="13"/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20928</v>
      </c>
      <c r="C61" s="13"/>
      <c r="D61" s="13"/>
      <c r="E61" s="14"/>
      <c r="F61" s="2"/>
      <c r="G61" s="6" t="s">
        <v>14</v>
      </c>
      <c r="H61" s="12">
        <f>G18</f>
        <v>20928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B61*B63</f>
        <v>1464.96</v>
      </c>
      <c r="C64" s="13">
        <v>10000</v>
      </c>
      <c r="D64" s="12">
        <f>B64</f>
        <v>1464.96</v>
      </c>
      <c r="E64" s="14"/>
      <c r="F64" s="2"/>
      <c r="G64" s="72" t="s">
        <v>91</v>
      </c>
      <c r="H64" s="80">
        <f>H61*H63</f>
        <v>1464.96</v>
      </c>
      <c r="I64" s="13"/>
      <c r="J64" s="12">
        <f>H64</f>
        <v>1464.96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B61*B66</f>
        <v>209.28</v>
      </c>
      <c r="C67" s="13"/>
      <c r="D67" s="12"/>
      <c r="E67" s="14"/>
      <c r="F67" s="2"/>
      <c r="G67" s="72" t="s">
        <v>94</v>
      </c>
      <c r="H67" s="80">
        <f>H61*H66</f>
        <v>104.64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>
        <v>200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>
        <v>5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>
        <v>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>
        <v>0</v>
      </c>
      <c r="C75" s="13">
        <f>IF(G18&gt;40000,325,0)</f>
        <v>0</v>
      </c>
      <c r="D75" s="13"/>
      <c r="E75" s="14"/>
      <c r="F75" s="2"/>
      <c r="G75" s="3" t="s">
        <v>280</v>
      </c>
      <c r="H75" s="88">
        <f>IF(G18&gt;40000,325,0)</f>
        <v>0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12.5</v>
      </c>
      <c r="I76" s="13"/>
      <c r="J76" s="12">
        <f>H76</f>
        <v>12.5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>
        <v>200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>
        <v>200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2791.62666666667</v>
      </c>
      <c r="C81" s="13"/>
      <c r="D81" s="13"/>
      <c r="E81" s="14"/>
      <c r="F81" s="2"/>
      <c r="G81" s="91" t="s">
        <v>103</v>
      </c>
      <c r="H81" s="92">
        <f>SUM(J64:J80)</f>
        <v>3091.46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232.635555555556</v>
      </c>
      <c r="C82" s="13"/>
      <c r="D82" s="13"/>
      <c r="E82" s="14"/>
      <c r="F82" s="2"/>
      <c r="G82" s="6" t="s">
        <v>104</v>
      </c>
      <c r="H82" s="11">
        <f>H81/H29</f>
        <v>257.621666666667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((B83*(H29)+B81))*1.2</f>
        <v>10564.352</v>
      </c>
      <c r="C85" s="13"/>
      <c r="D85" s="13"/>
      <c r="E85" s="14"/>
      <c r="F85" s="2"/>
      <c r="G85" s="75" t="s">
        <v>115</v>
      </c>
      <c r="H85" s="95">
        <f>((H83*(H27+H28))+H81)*1.2</f>
        <v>10924.152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(((B83*(H29))+B81)/(1-B70))*B70</f>
        <v>74.5769100443727</v>
      </c>
      <c r="C86" s="13"/>
      <c r="D86" s="13"/>
      <c r="E86" s="14"/>
      <c r="F86" s="2"/>
      <c r="G86" s="6" t="s">
        <v>116</v>
      </c>
      <c r="H86" s="11">
        <f>(((H83*(H27+H28))+H81)/(1-H70))*H70</f>
        <v>77.1168455022186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10638.9289100444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10901.2788455022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IF(B99=Z102,(((H44*B35)+(H44*B35)*(B105/100))/(B58))*1.2,(((H44*B35)+(H44*B35)*(B105/100))/(B57+B58))*1.2)</f>
        <v>72</v>
      </c>
      <c r="C89" s="13"/>
      <c r="D89" s="13"/>
      <c r="E89" s="14"/>
      <c r="F89" s="2"/>
      <c r="G89" s="91" t="s">
        <v>118</v>
      </c>
      <c r="H89" s="92">
        <f>(A41+(A41*H105))*1.2</f>
        <v>72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886.577409170364</v>
      </c>
      <c r="C90" s="13"/>
      <c r="D90" s="13"/>
      <c r="E90" s="14"/>
      <c r="F90" s="2"/>
      <c r="G90" s="97" t="s">
        <v>119</v>
      </c>
      <c r="H90" s="98">
        <f>IF(H99=AE98,(H87-J105)/(H58),H87/(H57+H58))</f>
        <v>908.439903791851</v>
      </c>
      <c r="I90" s="13"/>
      <c r="J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958.577409170364</v>
      </c>
      <c r="C91" s="13"/>
      <c r="D91" s="13"/>
      <c r="E91" s="14"/>
      <c r="F91" s="2"/>
      <c r="G91" s="99" t="s">
        <v>120</v>
      </c>
      <c r="H91" s="100">
        <f>IF(G105="YES",H90+H89,H90)</f>
        <v>980.439903791851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284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351</v>
      </c>
      <c r="C99" s="101"/>
      <c r="D99" s="102">
        <v>1000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>
        <f>199.99*1.2</f>
        <v>239.988</v>
      </c>
      <c r="B102" s="102">
        <v>400</v>
      </c>
      <c r="C102" s="102"/>
      <c r="D102" s="102">
        <v>200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18</v>
      </c>
      <c r="B105" s="101">
        <v>20</v>
      </c>
      <c r="C105" s="101"/>
      <c r="D105" s="102" t="s">
        <v>352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/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>
        <v>0</v>
      </c>
      <c r="E112" s="102">
        <v>6000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>
        <v>2000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239.988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((E118)+E117)-E114</f>
        <v>-2760.012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>
        <v>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886.577409170364</v>
      </c>
      <c r="B128" s="113">
        <f>IF(A105="YES",B89,0)</f>
        <v>72</v>
      </c>
      <c r="C128" s="119"/>
      <c r="D128" s="113">
        <f>B91</f>
        <v>958.577409170364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908.439903791851</v>
      </c>
      <c r="H130" s="126">
        <f>IF(G105="YES",H89*H57,0)</f>
        <v>72</v>
      </c>
      <c r="I130" s="126"/>
      <c r="J130" s="167">
        <f>H91</f>
        <v>980.439903791851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Terminal pause with 9 down </v>
      </c>
      <c r="B131" s="127">
        <f>B90*B57</f>
        <v>7979.19668253328</v>
      </c>
      <c r="C131" s="109"/>
      <c r="D131" s="127">
        <f>IF(A105="YES",B89*B57,0)</f>
        <v>648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908.439903791851</v>
      </c>
      <c r="H133" s="133">
        <f>IF(G105="YES",H89*H57,0)</f>
        <v>72</v>
      </c>
      <c r="I133" s="31"/>
      <c r="J133" s="53">
        <f>H91*H57</f>
        <v>980.439903791851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8627.19668253328</v>
      </c>
      <c r="B134" s="127">
        <f>E114</f>
        <v>4000</v>
      </c>
      <c r="C134" s="109"/>
      <c r="D134" s="135">
        <f>B58</f>
        <v>3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0.127608</v>
      </c>
      <c r="H136" s="133">
        <f>IF(G105="YES",E15*0.000002,0)</f>
        <v>0.042536</v>
      </c>
      <c r="I136" s="133"/>
      <c r="J136" s="133">
        <f>G136+H136</f>
        <v>0.170144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886.577409170364</v>
      </c>
      <c r="B137" s="127">
        <f>IF(A105="YES",B89,0)</f>
        <v>72</v>
      </c>
      <c r="C137" s="109"/>
      <c r="D137" s="127">
        <f>B91</f>
        <v>958.577409170364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104.64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15.06816</v>
      </c>
      <c r="B140" s="143">
        <f>G18*0.000002*1.2*100</f>
        <v>5.02272</v>
      </c>
      <c r="C140" s="109"/>
      <c r="D140" s="143">
        <f>A140+B140</f>
        <v>20.09088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7.2</v>
      </c>
      <c r="H142" s="133">
        <f>G102-100</f>
        <v>139.988</v>
      </c>
      <c r="I142" s="133"/>
      <c r="J142" s="133">
        <f>(H139+J139+G142+H142)-H145</f>
        <v>1331.828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239.988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209.28</v>
      </c>
      <c r="B148" s="127">
        <f>B102</f>
        <v>400</v>
      </c>
      <c r="C148" s="127"/>
      <c r="D148" s="127">
        <f>IF(A105="YES",(A38/100*B105)*B125,0)*0.001</f>
        <v>12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(E118/1.2)-100</f>
        <v>99.99</v>
      </c>
      <c r="B151" s="127">
        <f>(A148+B148+D148+A151)*(A143/B64)</f>
        <v>0</v>
      </c>
      <c r="C151" s="127"/>
      <c r="D151" s="127">
        <f>(A148+B148+D148+A151)-B151</f>
        <v>721.27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980.439903791851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958.577409170364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886.577409170364</v>
      </c>
      <c r="B171" s="156">
        <f>IF(A105="YES",B89,0)</f>
        <v>72</v>
      </c>
      <c r="C171" s="159"/>
      <c r="D171" s="156">
        <f>B91</f>
        <v>958.577409170364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Terminal pause with 9 down </v>
      </c>
      <c r="B174" s="133">
        <f>B90*B57</f>
        <v>7979.19668253328</v>
      </c>
      <c r="C174" s="154"/>
      <c r="D174" s="133">
        <f>IF(A105="YES",B89*B57,0)</f>
        <v>648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8627.19668253328</v>
      </c>
      <c r="B177" s="133">
        <f>E114</f>
        <v>4000</v>
      </c>
      <c r="C177" s="154"/>
      <c r="D177" s="162">
        <f>B58</f>
        <v>3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886.577409170364</v>
      </c>
      <c r="B180" s="133">
        <f>IF(A105="YES",B89,0)</f>
        <v>72</v>
      </c>
      <c r="C180" s="154"/>
      <c r="D180" s="133">
        <f>B91</f>
        <v>958.577409170364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15.06816</v>
      </c>
      <c r="B183" s="166">
        <f>G18*0.000002*1.2*100</f>
        <v>5.02272</v>
      </c>
      <c r="C183" s="154"/>
      <c r="D183" s="166">
        <f>A183+B183</f>
        <v>20.09088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239.988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209.28</v>
      </c>
      <c r="B191" s="133">
        <f>B102</f>
        <v>400</v>
      </c>
      <c r="C191" s="133"/>
      <c r="D191" s="133">
        <f>IF(A105="YES",(A38/100*B105)*B125,0)*0.001</f>
        <v>12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(E118/1.2)-100</f>
        <v>99.99</v>
      </c>
      <c r="B194" s="133">
        <f>(A148+B148+D148+A151)*(A143/B64)</f>
        <v>0</v>
      </c>
      <c r="C194" s="133"/>
      <c r="D194" s="133">
        <f>(A148+B148+D148+A151)-B151</f>
        <v>721.27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B209</f>
        <v>0.065</v>
      </c>
      <c r="C203" s="113" t="s">
        <v>217</v>
      </c>
      <c r="D203" s="173">
        <f>D64</f>
        <v>1464.96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209.28</v>
      </c>
      <c r="C205" s="112" t="s">
        <v>219</v>
      </c>
      <c r="D205" s="173">
        <f>B219+E215+B215+B217</f>
        <v>459.99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1715.67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1464.96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209.28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1715.67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120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74.5769100443727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</mergeCells>
  <dataValidations count="4">
    <dataValidation type="list" allowBlank="1" showErrorMessage="1" sqref="A32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</dataValidation>
    <dataValidation type="list" allowBlank="1" showErrorMessage="1" sqref="B38 A105 B110">
      <formula1>"NO,YES"</formula1>
    </dataValidation>
    <dataValidation type="list" allowBlank="1" showErrorMessage="1" sqref="B99">
      <formula1>'BCH (Formula 3) - PCH'!$Z$101:$Z$109</formula1>
    </dataValidation>
    <dataValidation type="list" allowBlank="1" showErrorMessage="1" sqref="H99 N99:O99 G105 M105 O107 H110 N110 A18:A2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00"/>
  <sheetViews>
    <sheetView zoomScale="85" zoomScaleNormal="85" topLeftCell="A58" workbookViewId="0">
      <selection activeCell="B204" sqref="B204"/>
    </sheetView>
  </sheetViews>
  <sheetFormatPr defaultColWidth="10.8416666666667" defaultRowHeight="14.25"/>
  <cols>
    <col min="1" max="1" customWidth="true" width="40.0"/>
    <col min="2" max="5" customWidth="true" width="18.1166666666667"/>
    <col min="7" max="7" customWidth="true" width="40.0"/>
    <col min="8" max="11" customWidth="true" width="18.1166666666667"/>
    <col min="12" max="12" customWidth="true" width="8.0"/>
    <col min="13" max="13" customWidth="true" width="40.0"/>
    <col min="14" max="17" customWidth="true" width="18.1166666666667"/>
    <col min="18" max="26" customWidth="true" width="8.0"/>
  </cols>
  <sheetData>
    <row r="1" ht="18.75" customHeight="1" spans="1:26">
      <c r="A1" s="1" t="s">
        <v>380</v>
      </c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 spans="1:26">
      <c r="A2" s="3"/>
      <c r="B2" s="4" t="s">
        <v>145</v>
      </c>
      <c r="C2" s="4" t="s">
        <v>146</v>
      </c>
      <c r="D2" s="4" t="s">
        <v>147</v>
      </c>
      <c r="E2" s="5" t="s">
        <v>148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75" customHeight="1" spans="1:26">
      <c r="A3" s="6" t="s">
        <v>151</v>
      </c>
      <c r="B3" s="7" t="n">
        <v>46854.17</v>
      </c>
      <c r="C3" s="7" t="n">
        <v>0.0</v>
      </c>
      <c r="D3" s="7" t="n">
        <v>833.33</v>
      </c>
      <c r="E3" s="8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75" customHeight="1" spans="1:26">
      <c r="A4" s="6" t="s">
        <v>152</v>
      </c>
      <c r="B4" s="9" t="n">
        <v>0.0</v>
      </c>
      <c r="C4" s="9" t="n">
        <v>0.0</v>
      </c>
      <c r="D4" s="9" t="n">
        <v>0.0</v>
      </c>
      <c r="E4" s="1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8.75" customHeight="1" spans="1:26">
      <c r="A5" s="6" t="s">
        <v>153</v>
      </c>
      <c r="B5" s="7" t="n">
        <v>0.0</v>
      </c>
      <c r="C5" s="7" t="n">
        <v>0.0</v>
      </c>
      <c r="D5" s="7" t="n">
        <v>0.0</v>
      </c>
      <c r="E5" s="1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75" customHeight="1" spans="1:26">
      <c r="A6" s="6" t="s">
        <v>154</v>
      </c>
      <c r="B6" s="12">
        <f>(B3*B4/100)+B5</f>
        <v>0</v>
      </c>
      <c r="C6" s="12">
        <f>(C3*C4/100)+C5</f>
        <v>0</v>
      </c>
      <c r="D6" s="12">
        <f>(D3*D4/100)+D5</f>
        <v>0</v>
      </c>
      <c r="E6" s="1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 spans="1:26">
      <c r="A7" s="6" t="s">
        <v>155</v>
      </c>
      <c r="B7" s="12">
        <f>B3-B6</f>
        <v>46854.17</v>
      </c>
      <c r="C7" s="12">
        <f>C3-C6</f>
        <v>0</v>
      </c>
      <c r="D7" s="12">
        <f>D3-D6</f>
        <v>833.33</v>
      </c>
      <c r="E7" s="1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 spans="1:26">
      <c r="A8" s="6"/>
      <c r="B8" s="13"/>
      <c r="C8" s="13"/>
      <c r="D8" s="13"/>
      <c r="E8" s="14"/>
      <c r="F8" s="2"/>
      <c r="G8" s="2"/>
      <c r="H8" s="2"/>
      <c r="I8" s="81" t="s">
        <v>3</v>
      </c>
      <c r="J8" s="82">
        <f>E13+E14</f>
        <v>650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 spans="1:26">
      <c r="A9" s="15" t="s">
        <v>163</v>
      </c>
      <c r="B9" s="15"/>
      <c r="C9" s="15"/>
      <c r="D9" s="15"/>
      <c r="E9" s="16">
        <f>B7+C7+D7+E3</f>
        <v>47687.5</v>
      </c>
      <c r="F9" s="2"/>
      <c r="G9" s="2"/>
      <c r="H9" s="2"/>
      <c r="I9" s="82"/>
      <c r="J9" s="8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 spans="1:26">
      <c r="A10" s="17" t="s">
        <v>164</v>
      </c>
      <c r="B10" s="17"/>
      <c r="C10" s="17"/>
      <c r="D10" s="17"/>
      <c r="E10" s="8" t="n">
        <v>550.0</v>
      </c>
      <c r="F10" s="2"/>
      <c r="G10" s="2"/>
      <c r="H10" s="2"/>
      <c r="I10" s="83" t="s">
        <v>1</v>
      </c>
      <c r="J10" s="82">
        <f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 spans="1:26">
      <c r="A11" s="17" t="s">
        <v>165</v>
      </c>
      <c r="B11" s="17"/>
      <c r="C11" s="17"/>
      <c r="D11" s="17"/>
      <c r="E11" s="11">
        <f>(E9+E10)*20%</f>
        <v>9647.5</v>
      </c>
      <c r="F11" s="2"/>
      <c r="G11" s="2"/>
      <c r="H11" s="2"/>
      <c r="I11" s="82"/>
      <c r="J11" s="8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 spans="1:26">
      <c r="A12" s="17" t="s">
        <v>166</v>
      </c>
      <c r="B12" s="17"/>
      <c r="C12" s="17"/>
      <c r="D12" s="17"/>
      <c r="E12" s="8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 spans="1:26">
      <c r="A13" s="17" t="s">
        <v>167</v>
      </c>
      <c r="B13" s="17"/>
      <c r="C13" s="17"/>
      <c r="D13" s="17"/>
      <c r="E13" s="8" t="n">
        <v>585.0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 spans="1:26">
      <c r="A14" s="17" t="s">
        <v>168</v>
      </c>
      <c r="B14" s="17"/>
      <c r="C14" s="17"/>
      <c r="D14" s="17"/>
      <c r="E14" s="8" t="n">
        <v>65.0</v>
      </c>
      <c r="F14" s="2"/>
      <c r="G14" s="2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 spans="1:26">
      <c r="A15" s="17" t="s">
        <v>169</v>
      </c>
      <c r="B15" s="17"/>
      <c r="C15" s="17"/>
      <c r="D15" s="17"/>
      <c r="E15" s="18">
        <f>(E9+E10+E13+E14+E11)-E12</f>
        <v>58535</v>
      </c>
      <c r="F15" s="2"/>
      <c r="G15" s="19">
        <f>E15</f>
        <v>58535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 spans="1:26">
      <c r="A16" s="17" t="s">
        <v>170</v>
      </c>
      <c r="B16" s="17"/>
      <c r="C16" s="17"/>
      <c r="D16" s="17"/>
      <c r="E16" s="8" t="n">
        <v>0.0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84" t="s">
        <v>13</v>
      </c>
      <c r="Z16" s="2"/>
    </row>
    <row r="17" ht="18.75" customHeight="1" spans="1:26">
      <c r="A17" s="20" t="s">
        <v>171</v>
      </c>
      <c r="B17" s="20"/>
      <c r="C17" s="20"/>
      <c r="D17" s="20"/>
      <c r="E17" s="14"/>
      <c r="F17" s="2"/>
      <c r="G17" s="2" t="s">
        <v>14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84" t="s">
        <v>15</v>
      </c>
      <c r="Z17" s="2"/>
    </row>
    <row r="18" ht="18.75" customHeight="1" spans="1:26">
      <c r="A18" s="21" t="s">
        <v>13</v>
      </c>
      <c r="B18" s="22" t="s">
        <v>172</v>
      </c>
      <c r="C18" s="22"/>
      <c r="D18" s="22"/>
      <c r="E18" s="23">
        <v>0</v>
      </c>
      <c r="F18" s="2"/>
      <c r="G18" s="19">
        <f>(B3+C3+E10+D3+E3)*1.2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84" t="s">
        <v>16</v>
      </c>
      <c r="Z18" s="2"/>
    </row>
    <row r="19" ht="18.75" customHeight="1" spans="1:26">
      <c r="A19" s="21" t="s">
        <v>15</v>
      </c>
      <c r="B19" s="22" t="s">
        <v>172</v>
      </c>
      <c r="C19" s="22"/>
      <c r="D19" s="22"/>
      <c r="E19" s="23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18</v>
      </c>
    </row>
    <row r="20" ht="18.75" customHeight="1" spans="1:26">
      <c r="A20" s="21" t="s">
        <v>16</v>
      </c>
      <c r="B20" s="22" t="s">
        <v>172</v>
      </c>
      <c r="C20" s="22"/>
      <c r="D20" s="22"/>
      <c r="E20" s="23" t="n">
        <v>0.0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19</v>
      </c>
    </row>
    <row r="21" ht="18.75" customHeight="1" spans="1:26">
      <c r="A21" s="24" t="s">
        <v>173</v>
      </c>
      <c r="B21" s="24"/>
      <c r="C21" s="24"/>
      <c r="D21" s="24"/>
      <c r="E21" s="25">
        <f>E15-((E18*1.2)+(E19*1.2)+(E20*1.2)+(E16*1.2))</f>
        <v>58535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 spans="1:26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 spans="1:26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45.75" customHeight="1" spans="1:26">
      <c r="A24" s="26" t="s">
        <v>236</v>
      </c>
      <c r="B24" s="26"/>
      <c r="C24" s="26"/>
      <c r="D24" s="26"/>
      <c r="E24" s="26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 spans="1:26">
      <c r="A25" s="6"/>
      <c r="B25" s="13"/>
      <c r="C25" s="13"/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 spans="1:26">
      <c r="A26" s="27" t="s">
        <v>237</v>
      </c>
      <c r="B26" s="27"/>
      <c r="C26" s="27"/>
      <c r="D26" s="27"/>
      <c r="E26" s="27"/>
      <c r="F26" s="2"/>
      <c r="G26" s="28"/>
      <c r="H26" s="28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 spans="1:26">
      <c r="A27" s="6"/>
      <c r="B27" s="13"/>
      <c r="C27" s="13"/>
      <c r="D27" s="13"/>
      <c r="E27" s="14"/>
      <c r="F27" s="2"/>
      <c r="G27" s="29" t="s">
        <v>85</v>
      </c>
      <c r="H27" s="29">
        <f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 spans="1:26">
      <c r="A28" s="30" t="s">
        <v>29</v>
      </c>
      <c r="B28" s="31" t="s">
        <v>30</v>
      </c>
      <c r="C28" s="13"/>
      <c r="D28" s="31" t="s">
        <v>238</v>
      </c>
      <c r="E28" s="14"/>
      <c r="F28" s="2"/>
      <c r="G28" s="29" t="s">
        <v>86</v>
      </c>
      <c r="H28" s="29">
        <f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 spans="1:26">
      <c r="A29" s="32" t="s">
        <v>239</v>
      </c>
      <c r="B29" s="33">
        <v>12345</v>
      </c>
      <c r="C29" s="33"/>
      <c r="D29" s="34">
        <f ca="1">TODAY()+1</f>
        <v>45358</v>
      </c>
      <c r="E29" s="34"/>
      <c r="F29" s="2"/>
      <c r="G29" s="28" t="s">
        <v>28</v>
      </c>
      <c r="H29" s="28">
        <f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 spans="1:26">
      <c r="A30" s="6"/>
      <c r="B30" s="35"/>
      <c r="C30" s="35"/>
      <c r="D30" s="13"/>
      <c r="E30" s="14"/>
      <c r="F30" s="2"/>
      <c r="G30" s="28" t="s">
        <v>32</v>
      </c>
      <c r="H30" s="28">
        <f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 spans="1:26">
      <c r="A31" s="30" t="s">
        <v>23</v>
      </c>
      <c r="B31" s="31" t="s">
        <v>240</v>
      </c>
      <c r="C31" s="13"/>
      <c r="D31" s="31" t="s">
        <v>241</v>
      </c>
      <c r="E31" s="14"/>
      <c r="F31" s="2"/>
      <c r="G31" s="28" t="s">
        <v>242</v>
      </c>
      <c r="H31" s="36">
        <f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8.75" customHeight="1" spans="1:26">
      <c r="A32" s="32" t="s">
        <v>130</v>
      </c>
      <c r="B32" s="37">
        <f>IF(A32=Z101,D38,IF(A32=Z102,D38,IF(A32=Z103,(D38*3),IF(A32=Z104,(D38*6),IF(A32=Z105,(D38*9),IF(A32=Z106,(D38*12),IF(A32=Z107,D38,IF(A32=Z108,D38,IF(A32=Z109,D38,0)))))))))</f>
        <v>500</v>
      </c>
      <c r="C32" s="37"/>
      <c r="D32" s="37">
        <f>IF(A32=Z101,A41,IF(A32=Z102,A41,IF(A32=Z103,(A41*3),IF(A32=Z104,(A41*6),IF(A32=Z105,(A41*9),IF(A32=Z106,(A41*12),IF(A32=Z107,A41,IF(A32=Z108,A41,IF(A32=Z109,A41,0)))))))))</f>
        <v>0</v>
      </c>
      <c r="E32" s="37"/>
      <c r="F32" s="2"/>
      <c r="G32" s="38" t="s">
        <v>243</v>
      </c>
      <c r="H32" s="36">
        <f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8.75" customHeight="1" spans="1:26">
      <c r="A33" s="39"/>
      <c r="B33" s="40"/>
      <c r="C33" s="41"/>
      <c r="D33" s="42"/>
      <c r="E33" s="14"/>
      <c r="F33" s="2"/>
      <c r="G33" s="38"/>
      <c r="H33" s="2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8.75" customHeight="1" spans="1:26">
      <c r="A34" s="39" t="s">
        <v>245</v>
      </c>
      <c r="B34" s="43" t="s">
        <v>246</v>
      </c>
      <c r="C34" s="41"/>
      <c r="D34" s="44" t="s">
        <v>40</v>
      </c>
      <c r="E34" s="14"/>
      <c r="F34" s="2"/>
      <c r="G34" s="38" t="s">
        <v>247</v>
      </c>
      <c r="H34" s="36">
        <f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8.75" customHeight="1" spans="1:26">
      <c r="A35" s="37">
        <f>B32+D32</f>
        <v>500</v>
      </c>
      <c r="B35" s="33" t="n">
        <v>12.0</v>
      </c>
      <c r="C35" s="33"/>
      <c r="D35" s="33" t="n">
        <v>5000.0</v>
      </c>
      <c r="E35" s="33"/>
      <c r="F35" s="2"/>
      <c r="G35" s="45"/>
      <c r="H35" s="46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8.75" customHeight="1" spans="1:26">
      <c r="A36" s="6"/>
      <c r="B36" s="13"/>
      <c r="C36" s="13"/>
      <c r="D36" s="13"/>
      <c r="E36" s="14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8.75" customHeight="1" spans="1:26">
      <c r="A37" s="30" t="s">
        <v>41</v>
      </c>
      <c r="B37" s="31" t="s">
        <v>250</v>
      </c>
      <c r="C37" s="13"/>
      <c r="D37" s="31" t="s">
        <v>251</v>
      </c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8.75" customHeight="1" spans="1:26">
      <c r="A38" s="47">
        <f>(B35/12)*D35</f>
        <v>5000</v>
      </c>
      <c r="B38" s="33" t="s">
        <v>19</v>
      </c>
      <c r="C38" s="33"/>
      <c r="D38" s="48" t="n">
        <v>500.0</v>
      </c>
      <c r="E38" s="48"/>
      <c r="F38" s="2"/>
      <c r="G38" s="2"/>
      <c r="H38" s="2"/>
      <c r="I38" s="50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8.75" customHeight="1" spans="1:26">
      <c r="A39" s="49"/>
      <c r="B39" s="41"/>
      <c r="C39" s="41"/>
      <c r="D39" s="13"/>
      <c r="E39" s="14"/>
      <c r="F39" s="2"/>
      <c r="G39" s="2"/>
      <c r="H39" s="50"/>
      <c r="I39" s="50"/>
      <c r="J39" s="50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8.75" customHeight="1" spans="1:26">
      <c r="A40" s="51" t="s">
        <v>252</v>
      </c>
      <c r="B40" s="52" t="s">
        <v>120</v>
      </c>
      <c r="C40" s="41"/>
      <c r="D40" s="53" t="s">
        <v>141</v>
      </c>
      <c r="E40" s="14"/>
      <c r="F40" s="2"/>
      <c r="G40" s="54"/>
      <c r="H40" s="50"/>
      <c r="I40" s="50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8.75" customHeight="1" spans="1:26">
      <c r="A41" s="48" t="n">
        <v>0.0</v>
      </c>
      <c r="B41" s="55">
        <f>IF(B38="YES",D38+A41,D38)</f>
        <v>500</v>
      </c>
      <c r="C41" s="55"/>
      <c r="D41" s="48" t="n">
        <v>12.0</v>
      </c>
      <c r="E41" s="48"/>
      <c r="F41" s="2"/>
      <c r="G41" s="2"/>
      <c r="H41" s="56"/>
      <c r="I41" s="50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8.75" customHeight="1" spans="1:26">
      <c r="A42" s="49"/>
      <c r="B42" s="41"/>
      <c r="C42" s="41"/>
      <c r="D42" s="41"/>
      <c r="E42" s="57"/>
      <c r="F42" s="2"/>
      <c r="G42" s="58" t="s">
        <v>52</v>
      </c>
      <c r="H42" s="58"/>
      <c r="I42" s="50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8.75" customHeight="1" spans="1:26">
      <c r="A43" s="51" t="s">
        <v>254</v>
      </c>
      <c r="B43" s="52" t="s">
        <v>255</v>
      </c>
      <c r="C43" s="41"/>
      <c r="D43" s="52" t="s">
        <v>259</v>
      </c>
      <c r="E43" s="57"/>
      <c r="F43" s="2"/>
      <c r="G43" s="2" t="s">
        <v>256</v>
      </c>
      <c r="H43" s="50">
        <f>(((D38*(B35-1))+B32)/B35)+(D41/B35)</f>
        <v>501</v>
      </c>
      <c r="I43" s="50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8.75" customHeight="1" spans="1:26">
      <c r="A44" s="48" t="n">
        <v>1.0</v>
      </c>
      <c r="B44" s="48" t="n">
        <v>0.0</v>
      </c>
      <c r="C44" s="48"/>
      <c r="D44" s="59">
        <f>A44+B44</f>
        <v>1</v>
      </c>
      <c r="E44" s="59"/>
      <c r="F44" s="2"/>
      <c r="G44" s="2" t="s">
        <v>257</v>
      </c>
      <c r="H44" s="50">
        <f>((A41*(B35-1))+D32)/B35</f>
        <v>0</v>
      </c>
      <c r="I44" s="50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8.75" customHeight="1" spans="1:26">
      <c r="A45" s="49"/>
      <c r="B45" s="41"/>
      <c r="C45" s="41"/>
      <c r="D45" s="41"/>
      <c r="E45" s="57"/>
      <c r="F45" s="2"/>
      <c r="G45" s="2" t="s">
        <v>258</v>
      </c>
      <c r="H45" s="60">
        <f>H43+H44</f>
        <v>501</v>
      </c>
      <c r="I45" s="50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8.75" customHeight="1" spans="1:26">
      <c r="A46" s="61" t="s">
        <v>274</v>
      </c>
      <c r="B46" s="41"/>
      <c r="C46" s="41"/>
      <c r="D46" s="41"/>
      <c r="E46" s="57"/>
      <c r="F46" s="2"/>
      <c r="G46" s="2" t="s">
        <v>262</v>
      </c>
      <c r="H46" s="50">
        <f>H43</f>
        <v>501</v>
      </c>
      <c r="I46" s="50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8.75" customHeight="1" spans="1:26">
      <c r="A47" s="49"/>
      <c r="B47" s="41"/>
      <c r="C47" s="41"/>
      <c r="D47" s="41"/>
      <c r="E47" s="57"/>
      <c r="F47" s="2"/>
      <c r="G47" s="2"/>
      <c r="H47" s="50"/>
      <c r="I47" s="50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8.75" customHeight="1" spans="1:26">
      <c r="A48" s="62" t="s">
        <v>82</v>
      </c>
      <c r="B48" s="13"/>
      <c r="C48" s="13"/>
      <c r="D48" s="63"/>
      <c r="E48" s="64"/>
      <c r="F48" s="2"/>
      <c r="G48" s="2"/>
      <c r="H48" s="50">
        <f>(A41*(B58+B57))</f>
        <v>0</v>
      </c>
      <c r="I48" s="50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8.75" customHeight="1" spans="1:26">
      <c r="A49" s="6"/>
      <c r="B49" s="65"/>
      <c r="C49" s="65"/>
      <c r="D49" s="13"/>
      <c r="E49" s="14"/>
      <c r="F49" s="2"/>
      <c r="G49" s="2"/>
      <c r="H49" s="66"/>
      <c r="I49" s="50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8.75" customHeight="1" spans="1:26">
      <c r="A50" s="67" t="s">
        <v>83</v>
      </c>
      <c r="B50" s="68" t="s">
        <v>84</v>
      </c>
      <c r="C50" s="68"/>
      <c r="D50" s="13"/>
      <c r="E50" s="14"/>
      <c r="F50" s="2"/>
      <c r="G50" s="2"/>
      <c r="H50" s="2"/>
      <c r="I50" s="50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8.75" customHeight="1" spans="1:26">
      <c r="A51" s="67"/>
      <c r="B51" s="69">
        <f>H30</f>
        <v>5000</v>
      </c>
      <c r="C51" s="69"/>
      <c r="D51" s="13"/>
      <c r="E51" s="14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8.75" customHeight="1" spans="1:26">
      <c r="A52" s="70">
        <f>H29</f>
        <v>12</v>
      </c>
      <c r="B52" s="71">
        <f>H45</f>
        <v>501</v>
      </c>
      <c r="C52" s="71"/>
      <c r="D52" s="13"/>
      <c r="E52" s="14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8.75" customHeight="1" spans="1:26">
      <c r="A53" s="6"/>
      <c r="B53" s="13"/>
      <c r="C53" s="13"/>
      <c r="D53" s="13"/>
      <c r="E53" s="14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8.75" customHeight="1" spans="1:26">
      <c r="A54" s="72"/>
      <c r="B54" s="73"/>
      <c r="C54" s="73"/>
      <c r="D54" s="73"/>
      <c r="E54" s="7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8.75" customHeight="1" spans="1:26">
      <c r="A55" s="13"/>
      <c r="B55" s="13"/>
      <c r="C55" s="13"/>
      <c r="D55" s="13"/>
      <c r="E55" s="13"/>
      <c r="F55" s="2"/>
      <c r="G55" s="13"/>
      <c r="H55" s="13"/>
      <c r="I55" s="13"/>
      <c r="J55" s="13"/>
      <c r="K55" s="13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8.75" customHeight="1" spans="1:26">
      <c r="A56" s="75"/>
      <c r="B56" s="76"/>
      <c r="C56" s="76"/>
      <c r="D56" s="76"/>
      <c r="E56" s="77"/>
      <c r="F56" s="2"/>
      <c r="G56" s="75"/>
      <c r="H56" s="76"/>
      <c r="I56" s="76"/>
      <c r="J56" s="76"/>
      <c r="K56" s="7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8.75" customHeight="1" spans="1:26">
      <c r="A57" s="6" t="s">
        <v>85</v>
      </c>
      <c r="B57" s="13">
        <f>IF(B99=Z101,1,IF(B99=Z102,1,IF(B99=Z103,3,IF(B99=Z104,6,IF(B99=Z105,9,IF(B99=Z106,12,IF(B99=Z107,3,IF(B99=Z108,6,IF(B99=Z109,9,0)))))))))</f>
        <v>9</v>
      </c>
      <c r="C57" s="13"/>
      <c r="D57" s="13"/>
      <c r="E57" s="14"/>
      <c r="F57" s="2"/>
      <c r="G57" s="6" t="s">
        <v>85</v>
      </c>
      <c r="H57" s="13">
        <f>IF(H99=Z101,1,IF(H99=Z102,1,IF(H99=Z103,3,IF(H99=Z104,6,IF(H99=Z105,9,IF(H99=Z106,12,IF(H99=Z107,3,IF(H99=Z108,6,IF(H99=Z109,9,0)))))))))</f>
        <v>1</v>
      </c>
      <c r="I57" s="13"/>
      <c r="J57" s="13"/>
      <c r="K57" s="1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8.75" customHeight="1" spans="1:26">
      <c r="A58" s="6" t="s">
        <v>86</v>
      </c>
      <c r="B58" s="13">
        <f>IF(B99=Z101,H29-B57,IF(B99=Z102,H29-B57,IF(B99=Z103,H29-1,IF(B99=Z104,H29-1,IF(B99=Z105,H29-1,IF(B99=Z106,H29-1,IF(B99=Z107,H29-B57,IF(B99=Z108,H29-B57,IF(B99=Z109,H29-B57,0)))))))))</f>
        <v>3</v>
      </c>
      <c r="C58" s="13" t="s">
        <v>275</v>
      </c>
      <c r="D58" s="13"/>
      <c r="E58" s="14"/>
      <c r="F58" s="2"/>
      <c r="G58" s="6" t="s">
        <v>86</v>
      </c>
      <c r="H58" s="13">
        <f>IF(H99=Z101,H29-H57,IF(H99=Z102,H29-H57,IF(H99=Z103,H29-1,IF(H99=Z104,H29-1,IF(H99=Z105,H29-1,IF(H99=Z106,H29-1,IF(H99=Z107,H29-H57,IF(H99=Z108,H29-H57,IF(H99=Z109,H29-H57,0)))))))))</f>
        <v>11</v>
      </c>
      <c r="I58" s="13"/>
      <c r="J58" s="13"/>
      <c r="K58" s="1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8.75" customHeight="1" spans="1:26">
      <c r="A59" s="6"/>
      <c r="B59" s="13"/>
      <c r="C59" s="13"/>
      <c r="D59" s="13"/>
      <c r="E59" s="14"/>
      <c r="F59" s="2"/>
      <c r="G59" s="6"/>
      <c r="H59" s="13"/>
      <c r="I59" s="13"/>
      <c r="J59" s="13"/>
      <c r="K59" s="1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8.75" customHeight="1" spans="1:26">
      <c r="A60" s="6"/>
      <c r="B60" s="13"/>
      <c r="C60" s="13"/>
      <c r="D60" s="13"/>
      <c r="E60" s="14"/>
      <c r="F60" s="2"/>
      <c r="G60" s="6"/>
      <c r="H60" s="13"/>
      <c r="I60" s="13"/>
      <c r="J60" s="13"/>
      <c r="K60" s="1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8.75" customHeight="1" spans="1:26">
      <c r="A61" s="6" t="s">
        <v>14</v>
      </c>
      <c r="B61" s="12">
        <f>G18</f>
        <v>57885</v>
      </c>
      <c r="C61" s="13"/>
      <c r="D61" s="13"/>
      <c r="E61" s="14"/>
      <c r="F61" s="2"/>
      <c r="G61" s="6" t="s">
        <v>14</v>
      </c>
      <c r="H61" s="12">
        <f>G18</f>
        <v>57885</v>
      </c>
      <c r="I61" s="13"/>
      <c r="J61" s="13"/>
      <c r="K61" s="1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8.75" customHeight="1" spans="1:26">
      <c r="A62" s="78" t="s">
        <v>277</v>
      </c>
      <c r="B62" s="79" t="n">
        <v>0.07</v>
      </c>
      <c r="C62" s="13"/>
      <c r="D62" s="13"/>
      <c r="E62" s="14"/>
      <c r="F62" s="2"/>
      <c r="G62" s="78" t="s">
        <v>277</v>
      </c>
      <c r="H62" s="79">
        <v>0.07</v>
      </c>
      <c r="I62" s="13"/>
      <c r="J62" s="13"/>
      <c r="K62" s="1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8.75" customHeight="1" spans="1:26">
      <c r="A63" s="6" t="s">
        <v>278</v>
      </c>
      <c r="B63" s="10">
        <f>B62+(B62*0.25*(H29/12-1))</f>
        <v>0.07</v>
      </c>
      <c r="C63" s="13"/>
      <c r="D63" s="13"/>
      <c r="E63" s="14"/>
      <c r="F63" s="2"/>
      <c r="G63" s="6" t="s">
        <v>278</v>
      </c>
      <c r="H63" s="10">
        <f>H62+(H62*0.25*(H29/12-1))</f>
        <v>0.07</v>
      </c>
      <c r="I63" s="13"/>
      <c r="J63" s="13"/>
      <c r="K63" s="1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8.75" customHeight="1" spans="1:26">
      <c r="A64" s="72" t="s">
        <v>91</v>
      </c>
      <c r="B64" s="80">
        <f>B61*B63</f>
        <v>4051.95</v>
      </c>
      <c r="C64" s="13">
        <v>10000</v>
      </c>
      <c r="D64" s="12">
        <f>B64</f>
        <v>4051.95</v>
      </c>
      <c r="E64" s="14"/>
      <c r="F64" s="2"/>
      <c r="G64" s="72" t="s">
        <v>91</v>
      </c>
      <c r="H64" s="80">
        <f>H61*H63</f>
        <v>4051.95</v>
      </c>
      <c r="I64" s="13"/>
      <c r="J64" s="12">
        <f>H64</f>
        <v>4051.95</v>
      </c>
      <c r="K64" s="1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8.75" customHeight="1" spans="1:26">
      <c r="A65" s="78" t="s">
        <v>92</v>
      </c>
      <c r="B65" s="79" t="n">
        <v>0.01</v>
      </c>
      <c r="C65" s="13"/>
      <c r="D65" s="13"/>
      <c r="E65" s="14"/>
      <c r="F65" s="2"/>
      <c r="G65" s="78" t="s">
        <v>92</v>
      </c>
      <c r="H65" s="79">
        <v>0.005</v>
      </c>
      <c r="I65" s="13"/>
      <c r="J65" s="13"/>
      <c r="K65" s="1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8.75" customHeight="1" spans="1:26">
      <c r="A66" s="6" t="s">
        <v>93</v>
      </c>
      <c r="B66" s="10">
        <f>B65+(B65*0.5*(H29/12-1))</f>
        <v>0.01</v>
      </c>
      <c r="C66" s="13"/>
      <c r="D66" s="13"/>
      <c r="E66" s="14"/>
      <c r="F66" s="2"/>
      <c r="G66" s="6" t="s">
        <v>93</v>
      </c>
      <c r="H66" s="10">
        <f>H65+(H65*0.5*(H29/12-1))</f>
        <v>0.005</v>
      </c>
      <c r="I66" s="13"/>
      <c r="J66" s="13"/>
      <c r="K66" s="1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8.75" customHeight="1" spans="1:26">
      <c r="A67" s="72" t="s">
        <v>94</v>
      </c>
      <c r="B67" s="80">
        <f>B61*B66</f>
        <v>578.85</v>
      </c>
      <c r="C67" s="13"/>
      <c r="D67" s="12"/>
      <c r="E67" s="14"/>
      <c r="F67" s="2"/>
      <c r="G67" s="72" t="s">
        <v>94</v>
      </c>
      <c r="H67" s="80">
        <f>H61*H66</f>
        <v>289.425</v>
      </c>
      <c r="I67" s="13"/>
      <c r="J67" s="12"/>
      <c r="K67" s="1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8.75" customHeight="1" spans="1:26">
      <c r="A68" s="78" t="s">
        <v>95</v>
      </c>
      <c r="B68" s="79" t="n">
        <v>0.0075</v>
      </c>
      <c r="C68" s="13"/>
      <c r="D68" s="13"/>
      <c r="E68" s="14"/>
      <c r="F68" s="2"/>
      <c r="G68" s="78" t="s">
        <v>95</v>
      </c>
      <c r="H68" s="79">
        <v>0.0075</v>
      </c>
      <c r="I68" s="13"/>
      <c r="J68" s="13"/>
      <c r="K68" s="1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8.75" customHeight="1" spans="1:26">
      <c r="A69" s="3" t="s">
        <v>96</v>
      </c>
      <c r="B69" s="85" t="n">
        <v>0.12</v>
      </c>
      <c r="C69" s="13"/>
      <c r="D69" s="13"/>
      <c r="E69" s="14"/>
      <c r="F69" s="2"/>
      <c r="G69" s="3" t="s">
        <v>96</v>
      </c>
      <c r="H69" s="85">
        <v>0.12</v>
      </c>
      <c r="I69" s="13"/>
      <c r="J69" s="13"/>
      <c r="K69" s="1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8.75" customHeight="1" spans="1:26">
      <c r="A70" s="72" t="s">
        <v>97</v>
      </c>
      <c r="B70" s="86">
        <f>B68*(1+B69)</f>
        <v>0.0084</v>
      </c>
      <c r="C70" s="13"/>
      <c r="D70" s="13"/>
      <c r="E70" s="14"/>
      <c r="F70" s="2"/>
      <c r="G70" s="72" t="s">
        <v>97</v>
      </c>
      <c r="H70" s="86">
        <f>H68*(1+H69)</f>
        <v>0.0084</v>
      </c>
      <c r="I70" s="13"/>
      <c r="J70" s="13"/>
      <c r="K70" s="1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8.75" customHeight="1" spans="1:26">
      <c r="A71" s="78" t="s">
        <v>98</v>
      </c>
      <c r="B71" s="87" t="n">
        <v>200.0</v>
      </c>
      <c r="C71" s="13"/>
      <c r="D71" s="13"/>
      <c r="E71" s="14"/>
      <c r="F71" s="2"/>
      <c r="G71" s="78" t="s">
        <v>98</v>
      </c>
      <c r="H71" s="87">
        <v>160</v>
      </c>
      <c r="I71" s="13"/>
      <c r="J71" s="13"/>
      <c r="K71" s="1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8.75" customHeight="1" spans="1:26">
      <c r="A72" s="3" t="s">
        <v>99</v>
      </c>
      <c r="B72" s="88" t="n">
        <v>5.0</v>
      </c>
      <c r="C72" s="13"/>
      <c r="D72" s="13"/>
      <c r="E72" s="14"/>
      <c r="F72" s="2"/>
      <c r="G72" s="3" t="s">
        <v>99</v>
      </c>
      <c r="H72" s="88">
        <v>4.5</v>
      </c>
      <c r="I72" s="13"/>
      <c r="J72" s="13"/>
      <c r="K72" s="1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8.75" customHeight="1" spans="1:26">
      <c r="A73" s="72" t="s">
        <v>100</v>
      </c>
      <c r="B73" s="80">
        <f>B72*H29</f>
        <v>60</v>
      </c>
      <c r="C73" s="13"/>
      <c r="D73" s="12">
        <f>B73+B71</f>
        <v>260</v>
      </c>
      <c r="E73" s="14"/>
      <c r="F73" s="2"/>
      <c r="G73" s="72" t="s">
        <v>100</v>
      </c>
      <c r="H73" s="80">
        <f>H72*H29</f>
        <v>54</v>
      </c>
      <c r="I73" s="13"/>
      <c r="J73" s="12">
        <f>H73+H71</f>
        <v>214</v>
      </c>
      <c r="K73" s="1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8.75" customHeight="1" spans="1:26">
      <c r="A74" s="78" t="s">
        <v>279</v>
      </c>
      <c r="B74" s="87" t="n">
        <v>0.0</v>
      </c>
      <c r="C74" s="13"/>
      <c r="D74" s="13"/>
      <c r="E74" s="14"/>
      <c r="F74" s="2"/>
      <c r="G74" s="78" t="s">
        <v>279</v>
      </c>
      <c r="H74" s="87">
        <v>150</v>
      </c>
      <c r="I74" s="13"/>
      <c r="J74" s="13"/>
      <c r="K74" s="1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8.75" customHeight="1" spans="1:26">
      <c r="A75" s="3" t="s">
        <v>280</v>
      </c>
      <c r="B75" s="88" t="n">
        <v>0.0</v>
      </c>
      <c r="C75" s="13"/>
      <c r="D75" s="13"/>
      <c r="E75" s="14"/>
      <c r="F75" s="2"/>
      <c r="G75" s="3" t="s">
        <v>280</v>
      </c>
      <c r="H75" s="88">
        <f>IF(G18&gt;40000,325,0)</f>
        <v>325</v>
      </c>
      <c r="I75" s="13"/>
      <c r="J75" s="13"/>
      <c r="K75" s="1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8.75" customHeight="1" spans="1:26">
      <c r="A76" s="72" t="s">
        <v>281</v>
      </c>
      <c r="B76" s="80">
        <f>((B74+B75)/12)*(H29-11)</f>
        <v>0</v>
      </c>
      <c r="C76" s="13"/>
      <c r="D76" s="12">
        <f>B76</f>
        <v>0</v>
      </c>
      <c r="E76" s="14"/>
      <c r="F76" s="2"/>
      <c r="G76" s="72" t="s">
        <v>281</v>
      </c>
      <c r="H76" s="80">
        <f>((H74+H75)/12)*(H29-11)</f>
        <v>39.5833333333333</v>
      </c>
      <c r="I76" s="13"/>
      <c r="J76" s="12">
        <f>H76</f>
        <v>39.5833333333333</v>
      </c>
      <c r="K76" s="1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8.75" customHeight="1" spans="1:26">
      <c r="A77" s="78" t="s">
        <v>282</v>
      </c>
      <c r="B77" s="87">
        <f>B102/(1-0.1)</f>
        <v>444.444444444444</v>
      </c>
      <c r="C77" s="13"/>
      <c r="D77" s="12">
        <f>B77</f>
        <v>444.444444444444</v>
      </c>
      <c r="E77" s="14"/>
      <c r="F77" s="2"/>
      <c r="G77" s="78" t="s">
        <v>282</v>
      </c>
      <c r="H77" s="87">
        <f>H102</f>
        <v>1200</v>
      </c>
      <c r="I77" s="13"/>
      <c r="J77" s="12">
        <f>H77</f>
        <v>1200</v>
      </c>
      <c r="K77" s="1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8.75" customHeight="1" spans="1:26">
      <c r="A78" s="6" t="s">
        <v>283</v>
      </c>
      <c r="B78" s="11">
        <f>D102/(1-0.1)</f>
        <v>222.222222222222</v>
      </c>
      <c r="C78" s="13"/>
      <c r="D78" s="12">
        <f>B78</f>
        <v>222.222222222222</v>
      </c>
      <c r="E78" s="14"/>
      <c r="F78" s="2"/>
      <c r="G78" s="6" t="s">
        <v>283</v>
      </c>
      <c r="H78" s="11">
        <f>J102</f>
        <v>0</v>
      </c>
      <c r="I78" s="13"/>
      <c r="J78" s="12">
        <f>H78</f>
        <v>0</v>
      </c>
      <c r="K78" s="1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8.75" customHeight="1" spans="1:26">
      <c r="A79" s="3" t="s">
        <v>101</v>
      </c>
      <c r="B79" s="88" t="n">
        <v>200.0</v>
      </c>
      <c r="C79" s="13"/>
      <c r="D79" s="12">
        <f>B79</f>
        <v>200</v>
      </c>
      <c r="E79" s="14"/>
      <c r="F79" s="2"/>
      <c r="G79" s="3" t="s">
        <v>101</v>
      </c>
      <c r="H79" s="88">
        <v>100</v>
      </c>
      <c r="I79" s="13"/>
      <c r="J79" s="12">
        <f>H79</f>
        <v>100</v>
      </c>
      <c r="K79" s="1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8.75" customHeight="1" spans="1:26">
      <c r="A80" s="89" t="s">
        <v>102</v>
      </c>
      <c r="B80" s="90" t="n">
        <v>200.0</v>
      </c>
      <c r="C80" s="13"/>
      <c r="D80" s="12">
        <f>B80</f>
        <v>200</v>
      </c>
      <c r="E80" s="14"/>
      <c r="F80" s="2"/>
      <c r="G80" s="89" t="s">
        <v>102</v>
      </c>
      <c r="H80" s="90">
        <v>100</v>
      </c>
      <c r="I80" s="13"/>
      <c r="J80" s="12">
        <f>H80</f>
        <v>100</v>
      </c>
      <c r="K80" s="1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8.75" customHeight="1" spans="1:26">
      <c r="A81" s="91" t="s">
        <v>103</v>
      </c>
      <c r="B81" s="92">
        <f>SUM(D64:D80)</f>
        <v>5378.61666666667</v>
      </c>
      <c r="C81" s="13"/>
      <c r="D81" s="13"/>
      <c r="E81" s="14"/>
      <c r="F81" s="2"/>
      <c r="G81" s="91" t="s">
        <v>103</v>
      </c>
      <c r="H81" s="92">
        <f>SUM(J64:J80)</f>
        <v>5705.53333333333</v>
      </c>
      <c r="I81" s="13"/>
      <c r="J81" s="13"/>
      <c r="K81" s="1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8.75" customHeight="1" spans="1:26">
      <c r="A82" s="6" t="s">
        <v>104</v>
      </c>
      <c r="B82" s="11">
        <f>B81/H29</f>
        <v>448.218055555556</v>
      </c>
      <c r="C82" s="13"/>
      <c r="D82" s="13"/>
      <c r="E82" s="14"/>
      <c r="F82" s="2"/>
      <c r="G82" s="6" t="s">
        <v>104</v>
      </c>
      <c r="H82" s="11">
        <f>H81/H29</f>
        <v>475.461111111111</v>
      </c>
      <c r="I82" s="13"/>
      <c r="J82" s="13"/>
      <c r="K82" s="1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8.75" customHeight="1" spans="1:26">
      <c r="A83" s="93" t="s">
        <v>105</v>
      </c>
      <c r="B83" s="94">
        <f>H46</f>
        <v>501</v>
      </c>
      <c r="C83" s="13"/>
      <c r="D83" s="13"/>
      <c r="E83" s="14"/>
      <c r="F83" s="2"/>
      <c r="G83" s="93" t="s">
        <v>105</v>
      </c>
      <c r="H83" s="94">
        <f>H46</f>
        <v>501</v>
      </c>
      <c r="I83" s="13"/>
      <c r="J83" s="13"/>
      <c r="K83" s="1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8.75" customHeight="1" spans="1:26">
      <c r="A84" s="6"/>
      <c r="B84" s="12"/>
      <c r="C84" s="13"/>
      <c r="D84" s="13"/>
      <c r="E84" s="14"/>
      <c r="F84" s="2"/>
      <c r="G84" s="6"/>
      <c r="H84" s="12"/>
      <c r="I84" s="13"/>
      <c r="J84" s="13"/>
      <c r="K84" s="1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8.75" customHeight="1" spans="1:26">
      <c r="A85" s="75" t="s">
        <v>115</v>
      </c>
      <c r="B85" s="95">
        <f>((B83*(H29)+B81))</f>
        <v>11390.6166666667</v>
      </c>
      <c r="C85" s="13"/>
      <c r="D85" s="13"/>
      <c r="E85" s="14"/>
      <c r="F85" s="2"/>
      <c r="G85" s="75" t="s">
        <v>115</v>
      </c>
      <c r="H85" s="95">
        <f>((H83*(H27+H28))+H81)*1.2</f>
        <v>14061.04</v>
      </c>
      <c r="I85" s="13"/>
      <c r="J85" s="13"/>
      <c r="K85" s="1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8.75" customHeight="1" spans="1:26">
      <c r="A86" s="6" t="s">
        <v>116</v>
      </c>
      <c r="B86" s="11">
        <f>(B85/(1-B70))*B70</f>
        <v>96.4917103670835</v>
      </c>
      <c r="C86" s="13"/>
      <c r="D86" s="13"/>
      <c r="E86" s="14"/>
      <c r="F86" s="2"/>
      <c r="G86" s="6" t="s">
        <v>116</v>
      </c>
      <c r="H86" s="11">
        <f>(((H83*(H27+H28))+H81)/(1-H70))*H70</f>
        <v>99.2610730133118</v>
      </c>
      <c r="I86" s="13"/>
      <c r="J86" s="13"/>
      <c r="K86" s="1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8.75" customHeight="1" spans="1:26">
      <c r="A87" s="72" t="s">
        <v>117</v>
      </c>
      <c r="B87" s="80">
        <f>IF(B110="YES",((B85+B86)-E114),((B85+B86)))</f>
        <v>11487.1083770338</v>
      </c>
      <c r="C87" s="13"/>
      <c r="D87" s="13"/>
      <c r="E87" s="14"/>
      <c r="F87" s="2"/>
      <c r="G87" s="72" t="s">
        <v>117</v>
      </c>
      <c r="H87" s="80">
        <f>IF(H110="YES",((H85+H86)-A151-K114),((H85+H86)-A151))</f>
        <v>14060.3110730133</v>
      </c>
      <c r="I87" s="13"/>
      <c r="J87" s="13"/>
      <c r="K87" s="1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8.75" customHeight="1" spans="1:26">
      <c r="A88" s="6"/>
      <c r="B88" s="12"/>
      <c r="C88" s="13"/>
      <c r="D88" s="13"/>
      <c r="E88" s="14"/>
      <c r="F88" s="2"/>
      <c r="G88" s="6"/>
      <c r="H88" s="12"/>
      <c r="I88" s="13"/>
      <c r="J88" s="13"/>
      <c r="K88" s="1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8.75" customHeight="1" spans="1:26">
      <c r="A89" s="91" t="s">
        <v>118</v>
      </c>
      <c r="B89" s="96">
        <f>IF(B99=Z102,(((H44*B35)+(H44*B35)*(B105/100))/(B58)),(((H44*B35)+(H44*B35)*(B105/100))/(B57+B58)))</f>
        <v>0</v>
      </c>
      <c r="C89" s="13" t="s">
        <v>4</v>
      </c>
      <c r="D89" s="13"/>
      <c r="E89" s="14"/>
      <c r="F89" s="2"/>
      <c r="G89" s="91" t="s">
        <v>118</v>
      </c>
      <c r="H89" s="92">
        <f>(A41+(A41*H105))*1.2</f>
        <v>0</v>
      </c>
      <c r="I89" s="13"/>
      <c r="J89" s="13"/>
      <c r="K89" s="1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8.75" customHeight="1" spans="1:26">
      <c r="A90" s="97" t="s">
        <v>119</v>
      </c>
      <c r="B90" s="98">
        <f>IF(B99=Z102,(B87-D105)/(B58),B87/(B57+B58))</f>
        <v>957.259031419479</v>
      </c>
      <c r="C90" s="13"/>
      <c r="D90" s="13"/>
      <c r="E90" s="14"/>
      <c r="F90" s="2"/>
      <c r="G90" s="97" t="s">
        <v>119</v>
      </c>
      <c r="H90" s="98">
        <f>IF(H99=AE98,(H87-J105)/(H58),H87/(H57+H58))</f>
        <v>1171.69258941778</v>
      </c>
      <c r="I90" s="13"/>
      <c r="K90" s="1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8.75" customHeight="1" spans="1:26">
      <c r="A91" s="99" t="s">
        <v>120</v>
      </c>
      <c r="B91" s="100">
        <f>IF(A105="YES",B90+B89,B90)</f>
        <v>957.259031419479</v>
      </c>
      <c r="C91" s="13"/>
      <c r="D91" s="13"/>
      <c r="E91" s="14"/>
      <c r="F91" s="2"/>
      <c r="G91" s="99" t="s">
        <v>120</v>
      </c>
      <c r="H91" s="100">
        <f>IF(G105="YES",H90+H89,H90)</f>
        <v>1171.69258941778</v>
      </c>
      <c r="I91" s="13"/>
      <c r="J91" s="13"/>
      <c r="K91" s="1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8.75" customHeight="1" spans="1:26">
      <c r="A92" s="72"/>
      <c r="B92" s="73"/>
      <c r="C92" s="73"/>
      <c r="D92" s="73"/>
      <c r="E92" s="74"/>
      <c r="F92" s="2"/>
      <c r="G92" s="72"/>
      <c r="H92" s="73"/>
      <c r="I92" s="73"/>
      <c r="J92" s="73"/>
      <c r="K92" s="74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8.75" customHeight="1" spans="1:26">
      <c r="A93" s="13"/>
      <c r="B93" s="13"/>
      <c r="C93" s="13"/>
      <c r="D93" s="13"/>
      <c r="E93" s="13"/>
      <c r="F93" s="2"/>
      <c r="G93" s="13"/>
      <c r="H93" s="13"/>
      <c r="I93" s="13"/>
      <c r="J93" s="13"/>
      <c r="K93" s="1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46.5" customHeight="1" spans="1:26">
      <c r="A94" s="26" t="s">
        <v>332</v>
      </c>
      <c r="B94" s="26"/>
      <c r="C94" s="26"/>
      <c r="D94" s="26"/>
      <c r="E94" s="26"/>
      <c r="F94" s="2"/>
      <c r="G94" s="26" t="s">
        <v>284</v>
      </c>
      <c r="H94" s="26"/>
      <c r="I94" s="26"/>
      <c r="J94" s="26"/>
      <c r="K94" s="26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8.75" customHeight="1" spans="1:26">
      <c r="A95" s="6"/>
      <c r="B95" s="13"/>
      <c r="C95" s="13"/>
      <c r="D95" s="13"/>
      <c r="E95" s="14"/>
      <c r="F95" s="2"/>
      <c r="G95" s="6"/>
      <c r="H95" s="13"/>
      <c r="I95" s="13"/>
      <c r="J95" s="13"/>
      <c r="K95" s="14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8.75" customHeight="1" spans="1:26">
      <c r="A96" s="27" t="s">
        <v>126</v>
      </c>
      <c r="B96" s="27"/>
      <c r="C96" s="27"/>
      <c r="D96" s="27"/>
      <c r="E96" s="27"/>
      <c r="F96" s="2"/>
      <c r="G96" s="27" t="s">
        <v>126</v>
      </c>
      <c r="H96" s="27"/>
      <c r="I96" s="27"/>
      <c r="J96" s="27"/>
      <c r="K96" s="2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8.75" customHeight="1" spans="1:26">
      <c r="A97" s="6"/>
      <c r="B97" s="13"/>
      <c r="C97" s="13"/>
      <c r="D97" s="13"/>
      <c r="E97" s="14"/>
      <c r="F97" s="2"/>
      <c r="G97" s="6"/>
      <c r="H97" s="13"/>
      <c r="I97" s="13"/>
      <c r="J97" s="13"/>
      <c r="K97" s="14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8.75" customHeight="1" spans="1:26">
      <c r="A98" s="6" t="s">
        <v>127</v>
      </c>
      <c r="B98" s="13" t="s">
        <v>23</v>
      </c>
      <c r="C98" s="13"/>
      <c r="D98" s="13" t="s">
        <v>285</v>
      </c>
      <c r="E98" s="14"/>
      <c r="F98" s="2"/>
      <c r="G98" s="6" t="s">
        <v>127</v>
      </c>
      <c r="H98" s="13" t="s">
        <v>23</v>
      </c>
      <c r="I98" s="13"/>
      <c r="J98" s="13" t="s">
        <v>285</v>
      </c>
      <c r="K98" s="14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8.75" customHeight="1" spans="1:26">
      <c r="A99" s="30" t="s">
        <v>286</v>
      </c>
      <c r="B99" s="101" t="s">
        <v>351</v>
      </c>
      <c r="C99" s="101"/>
      <c r="D99" s="102">
        <v>1000</v>
      </c>
      <c r="E99" s="102"/>
      <c r="F99" s="2"/>
      <c r="G99" s="30" t="s">
        <v>286</v>
      </c>
      <c r="H99" s="101" t="s">
        <v>130</v>
      </c>
      <c r="I99" s="101"/>
      <c r="J99" s="102">
        <v>0</v>
      </c>
      <c r="K99" s="10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8.75" customHeight="1" spans="1:27">
      <c r="A100" s="6"/>
      <c r="B100" s="13"/>
      <c r="C100" s="13"/>
      <c r="D100" s="13"/>
      <c r="E100" s="14"/>
      <c r="F100" s="2"/>
      <c r="G100" s="6"/>
      <c r="H100" s="13"/>
      <c r="I100" s="13"/>
      <c r="J100" s="13"/>
      <c r="K100" s="14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8.75" customHeight="1" spans="1:27">
      <c r="A101" s="6" t="s">
        <v>287</v>
      </c>
      <c r="B101" s="13" t="s">
        <v>288</v>
      </c>
      <c r="C101" s="13"/>
      <c r="D101" s="13" t="s">
        <v>289</v>
      </c>
      <c r="E101" s="14"/>
      <c r="F101" s="2"/>
      <c r="G101" s="6" t="s">
        <v>287</v>
      </c>
      <c r="H101" s="13" t="s">
        <v>288</v>
      </c>
      <c r="I101" s="13"/>
      <c r="J101" s="13" t="s">
        <v>289</v>
      </c>
      <c r="K101" s="14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130</v>
      </c>
      <c r="AA101" s="2"/>
    </row>
    <row r="102" ht="18.75" customHeight="1" spans="1:27">
      <c r="A102" s="103" t="n">
        <v>199.99</v>
      </c>
      <c r="B102" s="102" t="n">
        <v>400.0</v>
      </c>
      <c r="C102" s="102"/>
      <c r="D102" s="102" t="n">
        <v>200.0</v>
      </c>
      <c r="E102" s="102"/>
      <c r="F102" s="2"/>
      <c r="G102" s="103">
        <f>199.99*1.2</f>
        <v>239.988</v>
      </c>
      <c r="H102" s="102">
        <v>1200</v>
      </c>
      <c r="I102" s="102"/>
      <c r="J102" s="102">
        <v>0</v>
      </c>
      <c r="K102" s="10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263</v>
      </c>
      <c r="AA102" s="2"/>
    </row>
    <row r="103" ht="18.75" customHeight="1" spans="1:27">
      <c r="A103" s="6"/>
      <c r="B103" s="13"/>
      <c r="C103" s="13"/>
      <c r="D103" s="13"/>
      <c r="E103" s="14"/>
      <c r="F103" s="2"/>
      <c r="G103" s="6"/>
      <c r="H103" s="13"/>
      <c r="I103" s="13"/>
      <c r="J103" s="13"/>
      <c r="K103" s="14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264</v>
      </c>
      <c r="AA103" s="2"/>
    </row>
    <row r="104" ht="18.75" customHeight="1" spans="1:27">
      <c r="A104" s="30" t="s">
        <v>128</v>
      </c>
      <c r="B104" s="2" t="s">
        <v>131</v>
      </c>
      <c r="C104" s="13"/>
      <c r="D104" s="13" t="s">
        <v>142</v>
      </c>
      <c r="E104" s="14"/>
      <c r="F104" s="2"/>
      <c r="G104" s="30" t="s">
        <v>128</v>
      </c>
      <c r="H104" s="2" t="s">
        <v>131</v>
      </c>
      <c r="I104" s="13"/>
      <c r="J104" s="13" t="s">
        <v>142</v>
      </c>
      <c r="K104" s="14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265</v>
      </c>
      <c r="AA104" s="2"/>
    </row>
    <row r="105" ht="18.75" customHeight="1" spans="1:27">
      <c r="A105" s="32" t="s">
        <v>19</v>
      </c>
      <c r="B105" s="101" t="n">
        <v>0.0</v>
      </c>
      <c r="C105" s="101"/>
      <c r="D105" s="102" t="s">
        <v>352</v>
      </c>
      <c r="E105" s="102"/>
      <c r="F105" s="2"/>
      <c r="G105" s="32" t="s">
        <v>18</v>
      </c>
      <c r="H105" s="104">
        <v>0.2</v>
      </c>
      <c r="I105" s="104"/>
      <c r="J105" s="102">
        <v>0</v>
      </c>
      <c r="K105" s="10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266</v>
      </c>
      <c r="AA105" s="2"/>
    </row>
    <row r="106" ht="18.75" customHeight="1" spans="1:27">
      <c r="A106" s="6"/>
      <c r="B106" s="13"/>
      <c r="C106" s="13"/>
      <c r="D106" s="13"/>
      <c r="E106" s="14"/>
      <c r="F106" s="2"/>
      <c r="G106" s="6"/>
      <c r="H106" s="13"/>
      <c r="I106" s="13"/>
      <c r="J106" s="13"/>
      <c r="K106" s="14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267</v>
      </c>
      <c r="AA106" s="2"/>
    </row>
    <row r="107" ht="18.75" customHeight="1" spans="1:27">
      <c r="A107" s="6"/>
      <c r="B107" s="13"/>
      <c r="C107" s="13"/>
      <c r="D107" s="13"/>
      <c r="E107" s="14"/>
      <c r="F107" s="2"/>
      <c r="G107" s="6"/>
      <c r="H107" s="13"/>
      <c r="I107" s="13"/>
      <c r="J107" s="13"/>
      <c r="K107" s="14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268</v>
      </c>
      <c r="AA107" s="2"/>
    </row>
    <row r="108" ht="18.75" customHeight="1" spans="1:27">
      <c r="A108" s="27" t="s">
        <v>290</v>
      </c>
      <c r="B108" s="27"/>
      <c r="C108" s="27"/>
      <c r="D108" s="27"/>
      <c r="E108" s="27"/>
      <c r="F108" s="2"/>
      <c r="G108" s="27" t="s">
        <v>290</v>
      </c>
      <c r="H108" s="27"/>
      <c r="I108" s="27"/>
      <c r="J108" s="27"/>
      <c r="K108" s="2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269</v>
      </c>
      <c r="AA108" s="2"/>
    </row>
    <row r="109" ht="18.75" customHeight="1" spans="1:26">
      <c r="A109" s="6"/>
      <c r="B109" s="13"/>
      <c r="C109" s="13"/>
      <c r="D109" s="13"/>
      <c r="E109" s="14"/>
      <c r="F109" s="2"/>
      <c r="G109" s="6"/>
      <c r="H109" s="13"/>
      <c r="I109" s="13"/>
      <c r="J109" s="13"/>
      <c r="K109" s="14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270</v>
      </c>
    </row>
    <row r="110" ht="18.75" customHeight="1" spans="1:26">
      <c r="A110" s="6" t="s">
        <v>291</v>
      </c>
      <c r="B110" s="32" t="s">
        <v>19</v>
      </c>
      <c r="C110" s="13"/>
      <c r="D110" s="13"/>
      <c r="E110" s="14"/>
      <c r="F110" s="2"/>
      <c r="G110" s="6" t="s">
        <v>291</v>
      </c>
      <c r="H110" s="32" t="s">
        <v>19</v>
      </c>
      <c r="I110" s="13"/>
      <c r="J110" s="13"/>
      <c r="K110" s="14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ht="18.75" customHeight="1" spans="1:26">
      <c r="A111" s="6"/>
      <c r="B111" s="13"/>
      <c r="C111" s="13"/>
      <c r="D111" s="13"/>
      <c r="E111" s="14"/>
      <c r="F111" s="2"/>
      <c r="G111" s="6"/>
      <c r="H111" s="13"/>
      <c r="I111" s="13"/>
      <c r="J111" s="13"/>
      <c r="K111" s="14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ht="18.75" customHeight="1" spans="1:26">
      <c r="A112" s="6" t="s">
        <v>176</v>
      </c>
      <c r="B112" s="13"/>
      <c r="C112" s="13"/>
      <c r="D112" s="103" t="n">
        <v>10000.0</v>
      </c>
      <c r="E112" s="102" t="n">
        <v>6000.0</v>
      </c>
      <c r="F112" s="2"/>
      <c r="G112" s="6" t="s">
        <v>176</v>
      </c>
      <c r="H112" s="13"/>
      <c r="I112" s="13"/>
      <c r="J112" s="103">
        <v>10000</v>
      </c>
      <c r="K112" s="102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8.75" customHeight="1" spans="1:26">
      <c r="A113" s="6" t="s">
        <v>177</v>
      </c>
      <c r="B113" s="13"/>
      <c r="C113" s="13"/>
      <c r="D113" s="105">
        <f>E113</f>
        <v>2000</v>
      </c>
      <c r="E113" s="102" t="n">
        <v>2000.0</v>
      </c>
      <c r="F113" s="2"/>
      <c r="G113" s="6" t="s">
        <v>177</v>
      </c>
      <c r="H113" s="13"/>
      <c r="I113" s="13"/>
      <c r="J113" s="105">
        <f>K113</f>
        <v>7000</v>
      </c>
      <c r="K113" s="102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8.75" customHeight="1" spans="1:26">
      <c r="A114" s="6" t="s">
        <v>178</v>
      </c>
      <c r="B114" s="13"/>
      <c r="C114" s="13"/>
      <c r="D114" s="105">
        <f>D112-D113</f>
        <v>-2000</v>
      </c>
      <c r="E114" s="106">
        <f>E112-E113</f>
        <v>4000</v>
      </c>
      <c r="F114" s="2"/>
      <c r="G114" s="6" t="s">
        <v>178</v>
      </c>
      <c r="H114" s="13"/>
      <c r="I114" s="13"/>
      <c r="J114" s="105">
        <f>J112-J113</f>
        <v>3000</v>
      </c>
      <c r="K114" s="106">
        <f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8.75" customHeight="1" spans="1:26">
      <c r="A115" s="6" t="s">
        <v>179</v>
      </c>
      <c r="B115" s="13"/>
      <c r="C115" s="13"/>
      <c r="D115" s="105">
        <f>D114-E114</f>
        <v>-6000</v>
      </c>
      <c r="E115" s="14"/>
      <c r="F115" s="2"/>
      <c r="G115" s="6" t="s">
        <v>179</v>
      </c>
      <c r="H115" s="13"/>
      <c r="I115" s="13"/>
      <c r="J115" s="105">
        <f>J114-K114</f>
        <v>5000</v>
      </c>
      <c r="K115" s="14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8.75" customHeight="1" spans="1:26">
      <c r="A116" s="6"/>
      <c r="B116" s="13"/>
      <c r="C116" s="13"/>
      <c r="D116" s="13"/>
      <c r="E116" s="14"/>
      <c r="F116" s="2"/>
      <c r="G116" s="6"/>
      <c r="H116" s="13"/>
      <c r="I116" s="13"/>
      <c r="J116" s="13"/>
      <c r="K116" s="14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8.75" customHeight="1" spans="1:26">
      <c r="A117" s="75" t="s">
        <v>138</v>
      </c>
      <c r="B117" s="76"/>
      <c r="C117" s="76"/>
      <c r="D117" s="76"/>
      <c r="E117" s="95">
        <f>D99</f>
        <v>1000</v>
      </c>
      <c r="F117" s="2"/>
      <c r="G117" s="75" t="s">
        <v>138</v>
      </c>
      <c r="H117" s="76"/>
      <c r="I117" s="76"/>
      <c r="J117" s="76"/>
      <c r="K117" s="95">
        <f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8.75" customHeight="1" spans="1:26">
      <c r="A118" s="6" t="s">
        <v>53</v>
      </c>
      <c r="B118" s="13"/>
      <c r="C118" s="13"/>
      <c r="D118" s="13"/>
      <c r="E118" s="11">
        <f>A102</f>
        <v>199.99</v>
      </c>
      <c r="F118" s="2"/>
      <c r="G118" s="6" t="s">
        <v>53</v>
      </c>
      <c r="H118" s="13"/>
      <c r="I118" s="13"/>
      <c r="J118" s="13"/>
      <c r="K118" s="11">
        <f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8.75" customHeight="1" spans="1:26">
      <c r="A119" s="107" t="s">
        <v>292</v>
      </c>
      <c r="B119" s="73"/>
      <c r="C119" s="73"/>
      <c r="D119" s="73"/>
      <c r="E119" s="80">
        <f>((E118*1.2)+E117)-E114</f>
        <v>-2760.012</v>
      </c>
      <c r="F119" s="2"/>
      <c r="G119" s="107" t="s">
        <v>292</v>
      </c>
      <c r="H119" s="73"/>
      <c r="I119" s="73"/>
      <c r="J119" s="73"/>
      <c r="K119" s="80">
        <f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8.75" customHeight="1" spans="1:26">
      <c r="A120" s="6"/>
      <c r="B120" s="13"/>
      <c r="C120" s="13"/>
      <c r="D120" s="13"/>
      <c r="E120" s="14"/>
      <c r="F120" s="2"/>
      <c r="G120" s="6"/>
      <c r="H120" s="13"/>
      <c r="I120" s="13"/>
      <c r="J120" s="13"/>
      <c r="K120" s="14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8.75" customHeight="1" spans="1:26">
      <c r="A121" s="6"/>
      <c r="B121" s="13"/>
      <c r="C121" s="13"/>
      <c r="D121" s="13"/>
      <c r="E121" s="14"/>
      <c r="F121" s="2"/>
      <c r="G121" s="6"/>
      <c r="H121" s="13"/>
      <c r="I121" s="13"/>
      <c r="J121" s="13"/>
      <c r="K121" s="14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8.75" customHeight="1" spans="1:26">
      <c r="A122" s="27" t="s">
        <v>293</v>
      </c>
      <c r="B122" s="27"/>
      <c r="C122" s="27"/>
      <c r="D122" s="27"/>
      <c r="E122" s="27"/>
      <c r="F122" s="2"/>
      <c r="G122" s="27" t="s">
        <v>293</v>
      </c>
      <c r="H122" s="27"/>
      <c r="I122" s="27"/>
      <c r="J122" s="27"/>
      <c r="K122" s="2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8.75" customHeight="1" spans="1:26">
      <c r="A123" s="108"/>
      <c r="B123" s="109"/>
      <c r="C123" s="109"/>
      <c r="D123" s="109"/>
      <c r="E123" s="110"/>
      <c r="F123" s="2"/>
      <c r="G123" s="6"/>
      <c r="H123" s="13"/>
      <c r="I123" s="13"/>
      <c r="J123" s="13"/>
      <c r="K123" s="14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8.75" customHeight="1" spans="1:26">
      <c r="A124" s="111" t="s">
        <v>127</v>
      </c>
      <c r="B124" s="112" t="n">
        <v>0.0</v>
      </c>
      <c r="C124" s="113"/>
      <c r="D124" s="112" t="s">
        <v>84</v>
      </c>
      <c r="E124" s="114"/>
      <c r="F124" s="2"/>
      <c r="G124" s="6" t="s">
        <v>183</v>
      </c>
      <c r="H124" s="115">
        <v>0</v>
      </c>
      <c r="I124" s="115"/>
      <c r="J124" s="13"/>
      <c r="K124" s="14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8.75" customHeight="1" spans="1:26">
      <c r="A125" s="116" t="s">
        <v>286</v>
      </c>
      <c r="B125" s="117">
        <f>A161</f>
        <v>12</v>
      </c>
      <c r="C125" s="118"/>
      <c r="D125" s="117">
        <f>B160</f>
        <v>5000</v>
      </c>
      <c r="E125" s="114"/>
      <c r="F125" s="2"/>
      <c r="G125" s="6"/>
      <c r="H125" s="13"/>
      <c r="I125" s="13"/>
      <c r="J125" s="13"/>
      <c r="K125" s="14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8.75" customHeight="1" spans="1:26">
      <c r="A126" s="111"/>
      <c r="B126" s="112"/>
      <c r="C126" s="112"/>
      <c r="D126" s="112"/>
      <c r="E126" s="114"/>
      <c r="F126" s="2"/>
      <c r="G126" s="6" t="s">
        <v>83</v>
      </c>
      <c r="H126" s="13" t="s">
        <v>84</v>
      </c>
      <c r="I126" s="13"/>
      <c r="J126" s="13" t="s">
        <v>86</v>
      </c>
      <c r="K126" s="14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8.75" customHeight="1" spans="1:26">
      <c r="A127" s="111" t="s">
        <v>119</v>
      </c>
      <c r="B127" s="112" t="s">
        <v>294</v>
      </c>
      <c r="C127" s="113"/>
      <c r="D127" s="112" t="s">
        <v>295</v>
      </c>
      <c r="E127" s="114"/>
      <c r="F127" s="2"/>
      <c r="G127" s="39">
        <f>G152</f>
        <v>12</v>
      </c>
      <c r="H127" s="40">
        <f>A152</f>
        <v>0</v>
      </c>
      <c r="I127" s="41"/>
      <c r="J127" s="40">
        <f>B151</f>
        <v>0</v>
      </c>
      <c r="K127" s="14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8.75" customHeight="1" spans="1:26">
      <c r="A128" s="116">
        <f>B90</f>
        <v>957.259031419479</v>
      </c>
      <c r="B128" s="113">
        <f>IF(A105="YES",B89,0)</f>
        <v>0</v>
      </c>
      <c r="C128" s="119"/>
      <c r="D128" s="113">
        <f>B91</f>
        <v>957.259031419479</v>
      </c>
      <c r="E128" s="114"/>
      <c r="F128" s="2"/>
      <c r="G128" s="6"/>
      <c r="H128" s="13"/>
      <c r="I128" s="13"/>
      <c r="J128" s="13"/>
      <c r="K128" s="14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8.75" customHeight="1" spans="1:27">
      <c r="A129" s="108"/>
      <c r="B129" s="109"/>
      <c r="C129" s="109"/>
      <c r="D129" s="109"/>
      <c r="E129" s="110"/>
      <c r="F129" s="2"/>
      <c r="G129" s="120" t="s">
        <v>296</v>
      </c>
      <c r="H129" s="121" t="s">
        <v>297</v>
      </c>
      <c r="I129" s="121"/>
      <c r="J129" s="121" t="s">
        <v>298</v>
      </c>
      <c r="K129" s="14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168"/>
    </row>
    <row r="130" ht="18.75" customHeight="1" spans="1:27">
      <c r="A130" s="122" t="s">
        <v>23</v>
      </c>
      <c r="B130" s="123" t="s">
        <v>299</v>
      </c>
      <c r="C130" s="124"/>
      <c r="D130" s="123" t="s">
        <v>300</v>
      </c>
      <c r="E130" s="110"/>
      <c r="F130" s="2"/>
      <c r="G130" s="125">
        <f>H90</f>
        <v>1171.69258941778</v>
      </c>
      <c r="H130" s="126">
        <f>IF(G105="YES",H89*H57,0)</f>
        <v>0</v>
      </c>
      <c r="I130" s="126"/>
      <c r="J130" s="167">
        <f>H91</f>
        <v>1171.69258941778</v>
      </c>
      <c r="K130" s="14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168"/>
    </row>
    <row r="131" ht="18.75" customHeight="1" spans="1:27">
      <c r="A131" s="20" t="str">
        <f>B99</f>
        <v> Terminal pause with 9 down </v>
      </c>
      <c r="B131" s="127">
        <f>B90*B57</f>
        <v>8615.33128277531</v>
      </c>
      <c r="C131" s="109"/>
      <c r="D131" s="127">
        <f>IF(A105="YES",B89*B57,0)</f>
        <v>0</v>
      </c>
      <c r="E131" s="110"/>
      <c r="F131" s="2"/>
      <c r="G131" s="6"/>
      <c r="H131" s="13"/>
      <c r="I131" s="13"/>
      <c r="J131" s="13"/>
      <c r="K131" s="14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168"/>
    </row>
    <row r="132" ht="18.75" customHeight="1" spans="1:26">
      <c r="A132" s="108"/>
      <c r="B132" s="109"/>
      <c r="C132" s="109"/>
      <c r="D132" s="109"/>
      <c r="E132" s="110"/>
      <c r="F132" s="2"/>
      <c r="G132" s="6" t="s">
        <v>301</v>
      </c>
      <c r="H132" s="13" t="s">
        <v>302</v>
      </c>
      <c r="I132" s="13"/>
      <c r="J132" s="13" t="s">
        <v>303</v>
      </c>
      <c r="K132" s="14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8.75" customHeight="1" spans="1:26">
      <c r="A133" s="128" t="s">
        <v>304</v>
      </c>
      <c r="B133" s="129" t="s">
        <v>305</v>
      </c>
      <c r="C133" s="130"/>
      <c r="D133" s="131" t="s">
        <v>208</v>
      </c>
      <c r="E133" s="110"/>
      <c r="F133" s="2"/>
      <c r="G133" s="132">
        <f>H90*H57</f>
        <v>1171.69258941778</v>
      </c>
      <c r="H133" s="133">
        <f>IF(G105="YES",H89*H57,0)</f>
        <v>0</v>
      </c>
      <c r="I133" s="31"/>
      <c r="J133" s="53">
        <f>H91*H57</f>
        <v>1171.69258941778</v>
      </c>
      <c r="K133" s="14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8.75" customHeight="1" spans="1:26">
      <c r="A134" s="134">
        <f>B91*B57</f>
        <v>8615.33128277531</v>
      </c>
      <c r="B134" s="127">
        <f>E114</f>
        <v>4000</v>
      </c>
      <c r="C134" s="109"/>
      <c r="D134" s="135">
        <f>B58</f>
        <v>3</v>
      </c>
      <c r="E134" s="110"/>
      <c r="F134" s="2"/>
      <c r="G134" s="6"/>
      <c r="H134" s="13"/>
      <c r="I134" s="13"/>
      <c r="J134" s="13"/>
      <c r="K134" s="14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8.75" customHeight="1" spans="1:26">
      <c r="A135" s="134"/>
      <c r="B135" s="136"/>
      <c r="C135" s="109"/>
      <c r="D135" s="109"/>
      <c r="E135" s="110"/>
      <c r="F135" s="2"/>
      <c r="G135" s="6" t="s">
        <v>306</v>
      </c>
      <c r="H135" s="13" t="s">
        <v>307</v>
      </c>
      <c r="I135" s="13"/>
      <c r="J135" s="13" t="s">
        <v>308</v>
      </c>
      <c r="K135" s="14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8.75" customHeight="1" spans="1:26">
      <c r="A136" s="137" t="s">
        <v>119</v>
      </c>
      <c r="B136" s="138" t="s">
        <v>294</v>
      </c>
      <c r="C136" s="109"/>
      <c r="D136" s="109" t="s">
        <v>295</v>
      </c>
      <c r="E136" s="110"/>
      <c r="F136" s="2"/>
      <c r="G136" s="134">
        <f>E15*0.000006</f>
        <v>0.35121</v>
      </c>
      <c r="H136" s="133">
        <f>IF(G105="YES",E15*0.000002,0)</f>
        <v>0.11707</v>
      </c>
      <c r="I136" s="133"/>
      <c r="J136" s="133">
        <f>G136+H136</f>
        <v>0.46828</v>
      </c>
      <c r="K136" s="14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8.75" customHeight="1" spans="1:26">
      <c r="A137" s="134">
        <f>B90</f>
        <v>957.259031419479</v>
      </c>
      <c r="B137" s="127">
        <f>IF(A105="YES",B89,0)</f>
        <v>0</v>
      </c>
      <c r="C137" s="109"/>
      <c r="D137" s="127">
        <f>B91</f>
        <v>957.259031419479</v>
      </c>
      <c r="E137" s="110"/>
      <c r="F137" s="2"/>
      <c r="G137" s="6"/>
      <c r="H137" s="13"/>
      <c r="I137" s="13"/>
      <c r="J137" s="13"/>
      <c r="K137" s="14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8.75" customHeight="1" spans="1:26">
      <c r="A138" s="108"/>
      <c r="B138" s="109"/>
      <c r="C138" s="109"/>
      <c r="D138" s="109"/>
      <c r="E138" s="110"/>
      <c r="F138" s="2"/>
      <c r="G138" s="6" t="s">
        <v>309</v>
      </c>
      <c r="H138" s="13" t="s">
        <v>310</v>
      </c>
      <c r="I138" s="13"/>
      <c r="J138" s="13" t="s">
        <v>311</v>
      </c>
      <c r="K138" s="14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8.75" customHeight="1" spans="1:26">
      <c r="A139" s="139" t="s">
        <v>67</v>
      </c>
      <c r="B139" s="140" t="s">
        <v>312</v>
      </c>
      <c r="C139" s="127"/>
      <c r="D139" s="140" t="s">
        <v>73</v>
      </c>
      <c r="E139" s="141"/>
      <c r="F139" s="2"/>
      <c r="G139" s="134">
        <f>G102</f>
        <v>239.988</v>
      </c>
      <c r="H139" s="133">
        <f>H67</f>
        <v>289.425</v>
      </c>
      <c r="I139" s="133"/>
      <c r="J139" s="133">
        <f>H102*0.9</f>
        <v>1080</v>
      </c>
      <c r="K139" s="14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8.75" customHeight="1" spans="1:26">
      <c r="A140" s="142">
        <f>(G18*0.000006)*1.2*100</f>
        <v>41.6772</v>
      </c>
      <c r="B140" s="143">
        <f>G18*0.000002*1.2*100</f>
        <v>13.8924</v>
      </c>
      <c r="C140" s="109"/>
      <c r="D140" s="143">
        <f>A140+B140</f>
        <v>55.5696</v>
      </c>
      <c r="E140" s="110"/>
      <c r="F140" s="2"/>
      <c r="G140" s="6"/>
      <c r="H140" s="13"/>
      <c r="I140" s="13"/>
      <c r="J140" s="13"/>
      <c r="K140" s="14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8.75" customHeight="1" spans="1:26">
      <c r="A141" s="142"/>
      <c r="B141" s="143"/>
      <c r="C141" s="109"/>
      <c r="D141" s="143"/>
      <c r="E141" s="110"/>
      <c r="F141" s="2"/>
      <c r="G141" s="6" t="s">
        <v>313</v>
      </c>
      <c r="H141" s="13" t="s">
        <v>314</v>
      </c>
      <c r="I141" s="13"/>
      <c r="J141" s="13" t="s">
        <v>315</v>
      </c>
      <c r="K141" s="14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8.75" customHeight="1" spans="1:26">
      <c r="A142" s="139" t="s">
        <v>316</v>
      </c>
      <c r="B142" s="140" t="s">
        <v>53</v>
      </c>
      <c r="C142" s="127"/>
      <c r="D142" s="140" t="s">
        <v>282</v>
      </c>
      <c r="E142" s="110"/>
      <c r="F142" s="2"/>
      <c r="G142" s="134">
        <f>IF(G105="YES",H89*0.1,0)</f>
        <v>0</v>
      </c>
      <c r="H142" s="133">
        <f>G102-100</f>
        <v>139.988</v>
      </c>
      <c r="I142" s="133"/>
      <c r="J142" s="133">
        <f>(H139+J139+G142+H142)-H145</f>
        <v>1509.413</v>
      </c>
      <c r="K142" s="14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8.75" customHeight="1" spans="1:26">
      <c r="A143" s="134">
        <v>0</v>
      </c>
      <c r="B143" s="127">
        <f>E118</f>
        <v>199.99</v>
      </c>
      <c r="C143" s="109"/>
      <c r="D143" s="144">
        <f>B102</f>
        <v>400</v>
      </c>
      <c r="E143" s="110"/>
      <c r="F143" s="2"/>
      <c r="G143" s="6"/>
      <c r="H143" s="13"/>
      <c r="I143" s="13"/>
      <c r="J143" s="13"/>
      <c r="K143" s="14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8.75" customHeight="1" spans="1:26">
      <c r="A144" s="134"/>
      <c r="B144" s="127"/>
      <c r="C144" s="109"/>
      <c r="D144" s="127"/>
      <c r="E144" s="110"/>
      <c r="F144" s="2"/>
      <c r="G144" s="6" t="s">
        <v>317</v>
      </c>
      <c r="H144" s="13" t="s">
        <v>318</v>
      </c>
      <c r="I144" s="13"/>
      <c r="J144" s="13"/>
      <c r="K144" s="14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8.75" customHeight="1" spans="1:26">
      <c r="A145" s="145" t="s">
        <v>319</v>
      </c>
      <c r="B145" s="146"/>
      <c r="C145" s="147"/>
      <c r="D145" s="146"/>
      <c r="E145" s="148"/>
      <c r="F145" s="2"/>
      <c r="G145" s="134">
        <f>IF((1200-H102)&lt;=0,0,(1200-H102))</f>
        <v>0</v>
      </c>
      <c r="H145" s="133">
        <f>(H139+J139+G142+H142)*(G145/H64)</f>
        <v>0</v>
      </c>
      <c r="I145" s="13"/>
      <c r="J145" s="13"/>
      <c r="K145" s="14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8.75" customHeight="1" spans="1:26">
      <c r="A146" s="142"/>
      <c r="B146" s="143"/>
      <c r="C146" s="109"/>
      <c r="D146" s="143"/>
      <c r="E146" s="110"/>
      <c r="F146" s="2"/>
      <c r="G146" s="6"/>
      <c r="H146" s="13"/>
      <c r="I146" s="13"/>
      <c r="J146" s="13"/>
      <c r="K146" s="14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8.75" customHeight="1" spans="1:26">
      <c r="A147" s="108" t="s">
        <v>320</v>
      </c>
      <c r="B147" s="109" t="s">
        <v>321</v>
      </c>
      <c r="C147" s="109"/>
      <c r="D147" s="109" t="s">
        <v>322</v>
      </c>
      <c r="E147" s="110"/>
      <c r="F147" s="2"/>
      <c r="G147" s="6"/>
      <c r="H147" s="13"/>
      <c r="I147" s="13"/>
      <c r="J147" s="13"/>
      <c r="K147" s="14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8.75" customHeight="1" spans="1:26">
      <c r="A148" s="134">
        <f>B67</f>
        <v>578.85</v>
      </c>
      <c r="B148" s="127">
        <f>B102</f>
        <v>400</v>
      </c>
      <c r="C148" s="127"/>
      <c r="D148" s="127">
        <f>IF(A105="YES",(A38/100*B105)*B125,0)*0.001</f>
        <v>0</v>
      </c>
      <c r="E148" s="141"/>
      <c r="F148" s="2"/>
      <c r="G148" s="62" t="s">
        <v>323</v>
      </c>
      <c r="H148" s="13"/>
      <c r="I148" s="13"/>
      <c r="J148" s="63"/>
      <c r="K148" s="64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8.75" customHeight="1" spans="1:26">
      <c r="A149" s="108"/>
      <c r="B149" s="109"/>
      <c r="C149" s="109"/>
      <c r="D149" s="109"/>
      <c r="E149" s="110"/>
      <c r="F149" s="2"/>
      <c r="G149" s="6"/>
      <c r="H149" s="65"/>
      <c r="I149" s="65"/>
      <c r="J149" s="13"/>
      <c r="K149" s="14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8.75" customHeight="1" spans="1:26">
      <c r="A150" s="108" t="s">
        <v>324</v>
      </c>
      <c r="B150" s="109" t="s">
        <v>318</v>
      </c>
      <c r="C150" s="109"/>
      <c r="D150" s="109" t="s">
        <v>315</v>
      </c>
      <c r="E150" s="110"/>
      <c r="F150" s="2"/>
      <c r="G150" s="67" t="s">
        <v>83</v>
      </c>
      <c r="H150" s="68" t="s">
        <v>84</v>
      </c>
      <c r="I150" s="68"/>
      <c r="J150" s="13"/>
      <c r="K150" s="14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8.75" customHeight="1" spans="1:26">
      <c r="A151" s="134">
        <f>E118-100</f>
        <v>99.99</v>
      </c>
      <c r="B151" s="127">
        <f>(A148+B148+D148+A151)*(A143/B64)</f>
        <v>0</v>
      </c>
      <c r="C151" s="127"/>
      <c r="D151" s="127">
        <f>(A148+B148+D148+A151)-B151</f>
        <v>1078.84</v>
      </c>
      <c r="E151" s="141"/>
      <c r="F151" s="2"/>
      <c r="G151" s="67"/>
      <c r="H151" s="69">
        <f>B51</f>
        <v>5000</v>
      </c>
      <c r="I151" s="69"/>
      <c r="J151" s="13"/>
      <c r="K151" s="14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8.75" customHeight="1" spans="1:26">
      <c r="A152" s="108"/>
      <c r="B152" s="109"/>
      <c r="C152" s="109"/>
      <c r="D152" s="109"/>
      <c r="E152" s="110"/>
      <c r="F152" s="2"/>
      <c r="G152" s="70">
        <f>A52</f>
        <v>12</v>
      </c>
      <c r="H152" s="71">
        <f>H91</f>
        <v>1171.69258941778</v>
      </c>
      <c r="I152" s="71"/>
      <c r="J152" s="13"/>
      <c r="K152" s="14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8.75" customHeight="1" spans="1:26">
      <c r="A153" s="108" t="s">
        <v>325</v>
      </c>
      <c r="B153" s="109"/>
      <c r="C153" s="109"/>
      <c r="D153" s="109"/>
      <c r="E153" s="110"/>
      <c r="F153" s="2"/>
      <c r="G153" s="6"/>
      <c r="H153" s="13"/>
      <c r="I153" s="13"/>
      <c r="J153" s="13"/>
      <c r="K153" s="14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 spans="1:26">
      <c r="A154" s="134">
        <f>D102</f>
        <v>200</v>
      </c>
      <c r="B154" s="127"/>
      <c r="C154" s="109"/>
      <c r="D154" s="109"/>
      <c r="E154" s="110"/>
      <c r="F154" s="2"/>
      <c r="G154" s="6"/>
      <c r="H154" s="13"/>
      <c r="I154" s="13"/>
      <c r="J154" s="13"/>
      <c r="K154" s="14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8.75" customHeight="1" spans="1:26">
      <c r="A155" s="108"/>
      <c r="B155" s="109"/>
      <c r="C155" s="109"/>
      <c r="D155" s="109"/>
      <c r="E155" s="110"/>
      <c r="F155" s="2"/>
      <c r="G155" s="6"/>
      <c r="H155" s="13"/>
      <c r="I155" s="13"/>
      <c r="J155" s="13"/>
      <c r="K155" s="14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8.75" customHeight="1" spans="1:26">
      <c r="A156" s="108"/>
      <c r="B156" s="109"/>
      <c r="C156" s="109"/>
      <c r="D156" s="109"/>
      <c r="E156" s="110"/>
      <c r="F156" s="2"/>
      <c r="G156" s="6"/>
      <c r="H156" s="13"/>
      <c r="I156" s="13"/>
      <c r="J156" s="13"/>
      <c r="K156" s="14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8.75" customHeight="1" spans="1:26">
      <c r="A157" s="149" t="s">
        <v>323</v>
      </c>
      <c r="B157" s="109"/>
      <c r="C157" s="109"/>
      <c r="D157" s="150"/>
      <c r="E157" s="151"/>
      <c r="F157" s="2"/>
      <c r="G157" s="72"/>
      <c r="H157" s="73"/>
      <c r="I157" s="73"/>
      <c r="J157" s="73"/>
      <c r="K157" s="74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8.75" customHeight="1" spans="1:26">
      <c r="A158" s="108"/>
      <c r="B158" s="152"/>
      <c r="C158" s="152"/>
      <c r="D158" s="109"/>
      <c r="E158" s="110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8.75" customHeight="1" spans="1:26">
      <c r="A159" s="67" t="s">
        <v>83</v>
      </c>
      <c r="B159" s="68" t="s">
        <v>84</v>
      </c>
      <c r="C159" s="68"/>
      <c r="D159" s="109"/>
      <c r="E159" s="110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8.75" customHeight="1" spans="1:26">
      <c r="A160" s="67"/>
      <c r="B160" s="69">
        <f>B51</f>
        <v>5000</v>
      </c>
      <c r="C160" s="69"/>
      <c r="D160" s="109"/>
      <c r="E160" s="110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8.75" customHeight="1" spans="1:26">
      <c r="A161" s="70">
        <f>A52</f>
        <v>12</v>
      </c>
      <c r="B161" s="71">
        <f>B91</f>
        <v>957.259031419479</v>
      </c>
      <c r="C161" s="71"/>
      <c r="D161" s="109"/>
      <c r="E161" s="110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8.75" customHeight="1" spans="1:26">
      <c r="A162" s="108"/>
      <c r="B162" s="109"/>
      <c r="C162" s="109"/>
      <c r="D162" s="109"/>
      <c r="E162" s="110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8.75" customHeight="1" spans="1:26">
      <c r="A163" s="108"/>
      <c r="B163" s="109"/>
      <c r="C163" s="109"/>
      <c r="D163" s="109"/>
      <c r="E163" s="110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8.75" customHeight="1" spans="1:26">
      <c r="A164" s="108"/>
      <c r="B164" s="109"/>
      <c r="C164" s="109"/>
      <c r="D164" s="109"/>
      <c r="E164" s="110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8.75" customHeight="1" spans="1:26">
      <c r="A165" s="153" t="s">
        <v>293</v>
      </c>
      <c r="B165" s="153"/>
      <c r="C165" s="153"/>
      <c r="D165" s="153"/>
      <c r="E165" s="15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8.75" customHeight="1" spans="1:26">
      <c r="A166" s="108"/>
      <c r="B166" s="154"/>
      <c r="C166" s="154"/>
      <c r="D166" s="154"/>
      <c r="E166" s="110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8.75" customHeight="1" spans="1:26">
      <c r="A167" s="111" t="s">
        <v>127</v>
      </c>
      <c r="B167" s="155" t="s">
        <v>39</v>
      </c>
      <c r="C167" s="156"/>
      <c r="D167" s="155" t="s">
        <v>84</v>
      </c>
      <c r="E167" s="114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8.75" customHeight="1" spans="1:26">
      <c r="A168" s="116" t="s">
        <v>286</v>
      </c>
      <c r="B168" s="157">
        <f>A161</f>
        <v>12</v>
      </c>
      <c r="C168" s="158"/>
      <c r="D168" s="156">
        <f>B160</f>
        <v>5000</v>
      </c>
      <c r="E168" s="114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8.75" customHeight="1" spans="1:26">
      <c r="A169" s="111"/>
      <c r="B169" s="155"/>
      <c r="C169" s="155"/>
      <c r="D169" s="155"/>
      <c r="E169" s="114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8.75" customHeight="1" spans="1:26">
      <c r="A170" s="111" t="s">
        <v>119</v>
      </c>
      <c r="B170" s="155" t="s">
        <v>294</v>
      </c>
      <c r="C170" s="156"/>
      <c r="D170" s="155" t="s">
        <v>295</v>
      </c>
      <c r="E170" s="114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8.75" customHeight="1" spans="1:26">
      <c r="A171" s="116">
        <f>B90</f>
        <v>957.259031419479</v>
      </c>
      <c r="B171" s="156">
        <f>IF(A105="YES",B89,0)</f>
        <v>0</v>
      </c>
      <c r="C171" s="159"/>
      <c r="D171" s="156">
        <f>B91</f>
        <v>957.259031419479</v>
      </c>
      <c r="E171" s="114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8.75" customHeight="1" spans="1:26">
      <c r="A172" s="108"/>
      <c r="B172" s="154"/>
      <c r="C172" s="154"/>
      <c r="D172" s="154"/>
      <c r="E172" s="110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8.75" customHeight="1" spans="1:26">
      <c r="A173" s="122" t="s">
        <v>23</v>
      </c>
      <c r="B173" s="160" t="s">
        <v>299</v>
      </c>
      <c r="C173" s="41"/>
      <c r="D173" s="160" t="s">
        <v>300</v>
      </c>
      <c r="E173" s="110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8.75" customHeight="1" spans="1:26">
      <c r="A174" s="20" t="str">
        <f>B99</f>
        <v> Terminal pause with 9 down </v>
      </c>
      <c r="B174" s="133">
        <f>B90*B57</f>
        <v>8615.33128277531</v>
      </c>
      <c r="C174" s="154"/>
      <c r="D174" s="133">
        <f>IF(A105="YES",B89*B57,0)</f>
        <v>0</v>
      </c>
      <c r="E174" s="110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8.75" customHeight="1" spans="1:26">
      <c r="A175" s="108"/>
      <c r="B175" s="154"/>
      <c r="C175" s="154"/>
      <c r="D175" s="154"/>
      <c r="E175" s="110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8.75" customHeight="1" spans="1:26">
      <c r="A176" s="128" t="s">
        <v>304</v>
      </c>
      <c r="B176" s="105" t="s">
        <v>305</v>
      </c>
      <c r="C176" s="161"/>
      <c r="D176" s="55" t="s">
        <v>208</v>
      </c>
      <c r="E176" s="110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8.75" customHeight="1" spans="1:26">
      <c r="A177" s="134">
        <f>B91*B57</f>
        <v>8615.33128277531</v>
      </c>
      <c r="B177" s="133">
        <f>E114</f>
        <v>4000</v>
      </c>
      <c r="C177" s="154"/>
      <c r="D177" s="162">
        <f>B58</f>
        <v>3</v>
      </c>
      <c r="E177" s="110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8.75" customHeight="1" spans="1:26">
      <c r="A178" s="134"/>
      <c r="B178" s="163"/>
      <c r="C178" s="154"/>
      <c r="D178" s="154"/>
      <c r="E178" s="110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8.75" customHeight="1" spans="1:26">
      <c r="A179" s="137" t="s">
        <v>119</v>
      </c>
      <c r="B179" s="164" t="s">
        <v>294</v>
      </c>
      <c r="C179" s="154"/>
      <c r="D179" s="154" t="s">
        <v>295</v>
      </c>
      <c r="E179" s="110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8.75" customHeight="1" spans="1:26">
      <c r="A180" s="134">
        <f>B90</f>
        <v>957.259031419479</v>
      </c>
      <c r="B180" s="133">
        <f>IF(A105="YES",B89,0)</f>
        <v>0</v>
      </c>
      <c r="C180" s="154"/>
      <c r="D180" s="133">
        <f>B91</f>
        <v>957.259031419479</v>
      </c>
      <c r="E180" s="110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8.75" customHeight="1" spans="1:26">
      <c r="A181" s="108"/>
      <c r="B181" s="154"/>
      <c r="C181" s="154"/>
      <c r="D181" s="154"/>
      <c r="E181" s="110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8.75" customHeight="1" spans="1:26">
      <c r="A182" s="139" t="s">
        <v>67</v>
      </c>
      <c r="B182" s="165" t="s">
        <v>312</v>
      </c>
      <c r="C182" s="133"/>
      <c r="D182" s="165" t="s">
        <v>73</v>
      </c>
      <c r="E182" s="14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8.75" customHeight="1" spans="1:26">
      <c r="A183" s="142">
        <f>(G18*0.000006)*1.2*100</f>
        <v>41.6772</v>
      </c>
      <c r="B183" s="166">
        <f>G18*0.000002*1.2*100</f>
        <v>13.8924</v>
      </c>
      <c r="C183" s="154"/>
      <c r="D183" s="166">
        <f>A183+B183</f>
        <v>55.5696</v>
      </c>
      <c r="E183" s="110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8.75" customHeight="1" spans="1:26">
      <c r="A184" s="142"/>
      <c r="B184" s="166"/>
      <c r="C184" s="154"/>
      <c r="D184" s="166"/>
      <c r="E184" s="110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8.75" customHeight="1" spans="1:26">
      <c r="A185" s="139" t="s">
        <v>316</v>
      </c>
      <c r="B185" s="165" t="s">
        <v>53</v>
      </c>
      <c r="C185" s="133"/>
      <c r="D185" s="165" t="s">
        <v>282</v>
      </c>
      <c r="E185" s="110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8.75" customHeight="1" spans="1:26">
      <c r="A186" s="134">
        <v>0</v>
      </c>
      <c r="B186" s="133">
        <f>E118</f>
        <v>199.99</v>
      </c>
      <c r="C186" s="154"/>
      <c r="D186" s="144">
        <f>B102</f>
        <v>400</v>
      </c>
      <c r="E186" s="110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8.75" customHeight="1" spans="1:26">
      <c r="A187" s="134"/>
      <c r="B187" s="133"/>
      <c r="C187" s="154"/>
      <c r="D187" s="133"/>
      <c r="E187" s="110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8.75" customHeight="1" spans="1:26">
      <c r="A188" s="145" t="s">
        <v>319</v>
      </c>
      <c r="B188" s="146"/>
      <c r="C188" s="147"/>
      <c r="D188" s="146"/>
      <c r="E188" s="14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8.75" customHeight="1" spans="1:26">
      <c r="A189" s="142"/>
      <c r="B189" s="166"/>
      <c r="C189" s="154"/>
      <c r="D189" s="166"/>
      <c r="E189" s="110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8.75" customHeight="1" spans="1:26">
      <c r="A190" s="108" t="s">
        <v>320</v>
      </c>
      <c r="B190" s="154" t="s">
        <v>321</v>
      </c>
      <c r="C190" s="154"/>
      <c r="D190" s="154" t="s">
        <v>322</v>
      </c>
      <c r="E190" s="110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8.75" customHeight="1" spans="1:26">
      <c r="A191" s="134">
        <f>B67</f>
        <v>578.85</v>
      </c>
      <c r="B191" s="133">
        <f>B102</f>
        <v>400</v>
      </c>
      <c r="C191" s="133"/>
      <c r="D191" s="133">
        <f>IF(A105="YES",(A38/100*B105)*B125,0)*0.001</f>
        <v>0</v>
      </c>
      <c r="E191" s="14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8.75" customHeight="1" spans="1:26">
      <c r="A192" s="108"/>
      <c r="B192" s="154"/>
      <c r="C192" s="154"/>
      <c r="D192" s="154"/>
      <c r="E192" s="110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8.75" customHeight="1" spans="1:26">
      <c r="A193" s="108" t="s">
        <v>324</v>
      </c>
      <c r="B193" s="154" t="s">
        <v>318</v>
      </c>
      <c r="C193" s="154"/>
      <c r="D193" s="154" t="s">
        <v>315</v>
      </c>
      <c r="E193" s="110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8.75" customHeight="1" spans="1:26">
      <c r="A194" s="134">
        <f>E118-100</f>
        <v>99.99</v>
      </c>
      <c r="B194" s="133">
        <f>(A148+B148+D148+A151)*(A143/B64)</f>
        <v>0</v>
      </c>
      <c r="C194" s="133"/>
      <c r="D194" s="133">
        <f>(A148+B148+D148+A151)-B151</f>
        <v>1078.84</v>
      </c>
      <c r="E194" s="14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8.75" customHeight="1" spans="1:26">
      <c r="A195" s="108"/>
      <c r="B195" s="154"/>
      <c r="C195" s="154"/>
      <c r="D195" s="154"/>
      <c r="E195" s="110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8.75" customHeight="1" spans="1:26">
      <c r="A196" s="108" t="s">
        <v>325</v>
      </c>
      <c r="B196" s="154"/>
      <c r="C196" s="154"/>
      <c r="D196" s="154"/>
      <c r="E196" s="110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8.75" customHeight="1" spans="1:26">
      <c r="A197" s="134">
        <f>D102</f>
        <v>200</v>
      </c>
      <c r="B197" s="133"/>
      <c r="C197" s="154"/>
      <c r="D197" s="154"/>
      <c r="E197" s="110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8.75" customHeight="1" spans="1:26">
      <c r="A198" s="169"/>
      <c r="B198" s="170"/>
      <c r="C198" s="170"/>
      <c r="D198" s="170"/>
      <c r="E198" s="17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8.75" customHeight="1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8.75" customHeight="1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8.75" customHeight="1" spans="1:26">
      <c r="A201" s="153" t="s">
        <v>214</v>
      </c>
      <c r="B201" s="153"/>
      <c r="C201" s="153"/>
      <c r="D201" s="153"/>
      <c r="E201" s="15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8.75" customHeight="1" spans="1:26">
      <c r="A202" s="108"/>
      <c r="B202" s="109"/>
      <c r="C202" s="109"/>
      <c r="D202" s="109"/>
      <c r="E202" s="110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8.75" customHeight="1" spans="1:26">
      <c r="A203" s="111" t="s">
        <v>215</v>
      </c>
      <c r="B203" s="172">
        <f>B209</f>
        <v>0.065</v>
      </c>
      <c r="C203" s="113" t="s">
        <v>217</v>
      </c>
      <c r="D203" s="173">
        <f>D64</f>
        <v>4051.95</v>
      </c>
      <c r="E203" s="114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8.75" customHeight="1" spans="1:26">
      <c r="A204" s="116"/>
      <c r="B204" s="117"/>
      <c r="C204" s="118"/>
      <c r="D204" s="117"/>
      <c r="E204" s="114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8.75" customHeight="1" spans="1:26">
      <c r="A205" s="111" t="s">
        <v>218</v>
      </c>
      <c r="B205" s="113">
        <f>B213</f>
        <v>578.85</v>
      </c>
      <c r="C205" s="112" t="s">
        <v>219</v>
      </c>
      <c r="D205" s="173">
        <f>B219+E215+B215+B217</f>
        <v>339.99</v>
      </c>
      <c r="E205" s="114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8.75" customHeight="1" spans="1:26">
      <c r="A206" s="111"/>
      <c r="B206" s="174"/>
      <c r="C206" s="113"/>
      <c r="D206" s="112"/>
      <c r="E206" s="114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8.75" customHeight="1" spans="1:26">
      <c r="A207" s="116" t="s">
        <v>220</v>
      </c>
      <c r="B207" s="113">
        <f>E217</f>
        <v>3813.09</v>
      </c>
      <c r="C207" s="118"/>
      <c r="D207" s="113"/>
      <c r="E207" s="114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8.75" customHeight="1" spans="1:26">
      <c r="A208" s="108"/>
      <c r="B208" s="138"/>
      <c r="C208" s="109"/>
      <c r="D208" s="109"/>
      <c r="E208" s="110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8.75" customHeight="1" spans="1:26">
      <c r="A209" s="39" t="s">
        <v>215</v>
      </c>
      <c r="B209" s="175">
        <v>0.065</v>
      </c>
      <c r="C209" s="124"/>
      <c r="D209" s="123"/>
      <c r="E209" s="110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8.75" customHeight="1" spans="1:26">
      <c r="A210" s="20"/>
      <c r="B210" s="129"/>
      <c r="C210" s="109"/>
      <c r="D210" s="127"/>
      <c r="E210" s="110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8.75" customHeight="1" spans="1:26">
      <c r="A211" s="176" t="s">
        <v>217</v>
      </c>
      <c r="B211" s="48">
        <f>D64</f>
        <v>4051.95</v>
      </c>
      <c r="C211" s="177" t="s">
        <v>223</v>
      </c>
      <c r="D211" s="109"/>
      <c r="E211" s="178">
        <f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8.75" customHeight="1" spans="1:26">
      <c r="A212" s="132"/>
      <c r="B212" s="129"/>
      <c r="C212" s="130"/>
      <c r="D212" s="131"/>
      <c r="E212" s="110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8.75" customHeight="1" spans="1:26">
      <c r="A213" s="134" t="s">
        <v>223</v>
      </c>
      <c r="B213" s="48">
        <f>B67</f>
        <v>578.85</v>
      </c>
      <c r="C213" s="130" t="s">
        <v>326</v>
      </c>
      <c r="D213" s="135"/>
      <c r="E213" s="179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8.75" customHeight="1" spans="1:26">
      <c r="A214" s="134"/>
      <c r="B214" s="138"/>
      <c r="C214" s="130"/>
      <c r="D214" s="109"/>
      <c r="E214" s="110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8.75" customHeight="1" spans="1:26">
      <c r="A215" s="134" t="s">
        <v>326</v>
      </c>
      <c r="B215" s="55">
        <f>B191*E213*100</f>
        <v>40</v>
      </c>
      <c r="C215" s="130" t="s">
        <v>225</v>
      </c>
      <c r="D215" s="109"/>
      <c r="E215" s="180">
        <f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8.75" customHeight="1" spans="1:26">
      <c r="A216" s="134"/>
      <c r="B216" s="129"/>
      <c r="C216" s="130"/>
      <c r="D216" s="127"/>
      <c r="E216" s="110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8.75" customHeight="1" spans="1:26">
      <c r="A217" s="176" t="s">
        <v>327</v>
      </c>
      <c r="B217" s="55">
        <f>B78-(B78*(E213*100))</f>
        <v>200</v>
      </c>
      <c r="C217" s="130" t="s">
        <v>220</v>
      </c>
      <c r="D217" s="109"/>
      <c r="E217" s="180">
        <f>(B211-B205+D205)</f>
        <v>3813.09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8.75" customHeight="1" spans="1:26">
      <c r="A218" s="181"/>
      <c r="B218" s="140"/>
      <c r="C218" s="127"/>
      <c r="D218" s="140"/>
      <c r="E218" s="106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8.75" customHeight="1" spans="1:26">
      <c r="A219" s="181" t="s">
        <v>328</v>
      </c>
      <c r="B219" s="140">
        <f>D191/0.1</f>
        <v>0</v>
      </c>
      <c r="C219" s="127"/>
      <c r="D219" s="140"/>
      <c r="E219" s="106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8.75" customHeight="1" spans="1:26">
      <c r="A220" s="181"/>
      <c r="B220" s="140"/>
      <c r="C220" s="127"/>
      <c r="D220" s="140"/>
      <c r="E220" s="106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8.75" customHeight="1" spans="1:26">
      <c r="A221" s="145" t="s">
        <v>329</v>
      </c>
      <c r="B221" s="182"/>
      <c r="C221" s="147"/>
      <c r="D221" s="146"/>
      <c r="E221" s="14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8.75" customHeight="1" spans="1:26">
      <c r="A222" s="142"/>
      <c r="B222" s="183"/>
      <c r="C222" s="109"/>
      <c r="D222" s="143"/>
      <c r="E222" s="110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8.75" customHeight="1" spans="1:26">
      <c r="A223" s="142" t="s">
        <v>227</v>
      </c>
      <c r="B223" s="48">
        <f>B71</f>
        <v>200</v>
      </c>
      <c r="C223" s="130" t="s">
        <v>228</v>
      </c>
      <c r="D223" s="143"/>
      <c r="E223" s="184">
        <f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8.75" customHeight="1" spans="1:26">
      <c r="A224" s="142"/>
      <c r="B224" s="183"/>
      <c r="C224" s="130" t="s">
        <v>229</v>
      </c>
      <c r="D224" s="143"/>
      <c r="E224" s="180">
        <f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8.75" customHeight="1" spans="1:26">
      <c r="A225" s="142" t="s">
        <v>230</v>
      </c>
      <c r="B225" s="185">
        <f>B68</f>
        <v>0.0075</v>
      </c>
      <c r="C225" s="130" t="s">
        <v>231</v>
      </c>
      <c r="D225" s="143"/>
      <c r="E225" s="178">
        <f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8.75" customHeight="1" spans="1:26">
      <c r="A226" s="142"/>
      <c r="B226" s="183"/>
      <c r="C226" s="130" t="s">
        <v>232</v>
      </c>
      <c r="D226" s="143"/>
      <c r="E226" s="180">
        <f>B86</f>
        <v>96.4917103670835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8.75" customHeight="1" spans="1:26">
      <c r="A227" s="142" t="s">
        <v>233</v>
      </c>
      <c r="B227" s="48">
        <f>B79</f>
        <v>200</v>
      </c>
      <c r="C227" s="186" t="s">
        <v>330</v>
      </c>
      <c r="D227" s="187"/>
      <c r="E227" s="184">
        <f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8.75" customHeight="1" spans="1:26">
      <c r="A228" s="176"/>
      <c r="B228" s="138"/>
      <c r="C228" s="186"/>
      <c r="D228" s="188"/>
      <c r="E228" s="18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8.75" customHeight="1" spans="1:26">
      <c r="A229" s="134" t="s">
        <v>234</v>
      </c>
      <c r="B229" s="48">
        <f>B80</f>
        <v>200</v>
      </c>
      <c r="C229" s="190" t="s">
        <v>331</v>
      </c>
      <c r="D229" s="190"/>
      <c r="E229" s="184">
        <f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8.75" customHeight="1" spans="1:26">
      <c r="A230" s="108"/>
      <c r="B230" s="109"/>
      <c r="C230" s="109"/>
      <c r="D230" s="109"/>
      <c r="E230" s="110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8.75" customHeight="1" spans="1:26">
      <c r="A231" s="108"/>
      <c r="B231" s="109"/>
      <c r="C231" s="109"/>
      <c r="D231" s="109"/>
      <c r="E231" s="110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8.75" customHeight="1" spans="1:26">
      <c r="A232" s="134"/>
      <c r="B232" s="127"/>
      <c r="C232" s="127"/>
      <c r="D232" s="127"/>
      <c r="E232" s="14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8.75" customHeight="1" spans="1:26">
      <c r="A233" s="108"/>
      <c r="B233" s="109"/>
      <c r="C233" s="109"/>
      <c r="D233" s="109"/>
      <c r="E233" s="110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8.75" customHeight="1" spans="1:26">
      <c r="A234" s="108"/>
      <c r="B234" s="109"/>
      <c r="C234" s="109"/>
      <c r="D234" s="109"/>
      <c r="E234" s="1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8.75" customHeight="1" spans="1:26">
      <c r="A235" s="134"/>
      <c r="B235" s="127"/>
      <c r="C235" s="109"/>
      <c r="D235" s="109"/>
      <c r="E235" s="110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8.75" customHeight="1" spans="1:26">
      <c r="A236" s="169"/>
      <c r="B236" s="170"/>
      <c r="C236" s="170"/>
      <c r="D236" s="170"/>
      <c r="E236" s="17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8.75" customHeight="1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8.75" customHeight="1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8.75" customHeight="1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8.75" customHeight="1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8.75" customHeight="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8.75" customHeight="1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8.75" customHeight="1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8.75" customHeight="1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8.75" customHeight="1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8.75" customHeight="1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8.75" customHeight="1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8.75" customHeight="1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8.75" customHeight="1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8.75" customHeight="1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8.75" customHeight="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8.75" customHeight="1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8.75" customHeight="1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8.75" customHeight="1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8.75" customHeight="1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8.75" customHeight="1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8.75" customHeight="1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8.75" customHeight="1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8.75" customHeight="1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8.75" customHeight="1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8.75" customHeight="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8.75" customHeight="1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8.75" customHeight="1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8.75" customHeight="1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8.75" customHeight="1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8.75" customHeight="1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8.75" customHeight="1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8.75" customHeight="1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8.75" customHeight="1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8.75" customHeight="1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8.75" customHeight="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8.75" customHeight="1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8.75" customHeight="1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8.75" customHeight="1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8.75" customHeight="1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8.75" customHeight="1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8.75" customHeight="1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8.75" customHeight="1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8.75" customHeight="1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8.75" customHeight="1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8.75" customHeight="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8.75" customHeight="1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8.75" customHeight="1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8.75" customHeight="1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8.75" customHeight="1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8.75" customHeight="1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8.75" customHeight="1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8.75" customHeight="1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8.75" customHeight="1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8.75" customHeight="1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8.75" customHeight="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8.75" customHeight="1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8.75" customHeight="1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8.75" customHeight="1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8.75" customHeight="1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8.75" customHeight="1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8.75" customHeight="1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8.75" customHeight="1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8.75" customHeight="1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8.75" customHeight="1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8.75" customHeight="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8.75" customHeight="1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8.75" customHeight="1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8.75" customHeight="1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8.75" customHeight="1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8.75" customHeight="1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8.75" customHeight="1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8.75" customHeight="1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8.75" customHeight="1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8.75" customHeight="1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8.75" customHeight="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8.75" customHeight="1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8.75" customHeight="1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8.75" customHeight="1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8.75" customHeight="1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8.75" customHeight="1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8.75" customHeight="1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8.75" customHeight="1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8.75" customHeight="1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8.75" customHeight="1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8.75" customHeight="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8.75" customHeight="1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8.75" customHeight="1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8.75" customHeight="1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8.75" customHeight="1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8.75" customHeight="1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8.75" customHeight="1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8.75" customHeight="1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8.75" customHeight="1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8.75" customHeight="1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8.75" customHeight="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8.75" customHeight="1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8.75" customHeight="1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8.75" customHeight="1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8.75" customHeight="1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8.75" customHeight="1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8.75" customHeight="1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8.75" customHeight="1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8.75" customHeight="1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8.75" customHeight="1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8.75" customHeight="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8.75" customHeight="1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8.75" customHeight="1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8.75" customHeight="1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8.75" customHeight="1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8.75" customHeight="1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8.75" customHeight="1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8.75" customHeight="1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8.75" customHeight="1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8.75" customHeight="1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8.75" customHeight="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8.75" customHeight="1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H150:I150"/>
    <mergeCell ref="H151:I151"/>
    <mergeCell ref="H152:I152"/>
    <mergeCell ref="B159:C159"/>
    <mergeCell ref="B160:C160"/>
    <mergeCell ref="B161:C161"/>
    <mergeCell ref="A165:E165"/>
    <mergeCell ref="A201:E201"/>
    <mergeCell ref="A50:A51"/>
    <mergeCell ref="A159:A160"/>
    <mergeCell ref="G150:G151"/>
  </mergeCells>
  <dataValidations count="3">
    <dataValidation type="list" allowBlank="1" showErrorMessage="1" sqref="A32 B99">
      <formula1>'BCH (Formula 3) - BCH'!$Z$101:$Z$109</formula1>
    </dataValidation>
    <dataValidation type="list" allowBlank="1" showErrorMessage="1" sqref="B38 A105 B110">
      <formula1>"NO,YES"</formula1>
    </dataValidation>
    <dataValidation type="list" allowBlank="1" showErrorMessage="1" sqref="H99 N99:O99 G105 M105 O107 H110 N110 A18:A20">
      <formula1>#REF!</formula1>
    </dataValidation>
  </dataValidation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LibreOffice/7.0.0.3$Windows_X86_64 LibreOffice_project/8061b3e9204bef6b321a21033174034a5e2ea88e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CP(F2)-PCP_Used_LCV</vt:lpstr>
      <vt:lpstr>CP(F2)-CP_Used_LCV</vt:lpstr>
      <vt:lpstr>HPNR(F3)-PCP_Used_LCV</vt:lpstr>
      <vt:lpstr>HPNR(F3)-CP_Used_LCV</vt:lpstr>
      <vt:lpstr>HPNR(F3)-HPR_Used_LCV</vt:lpstr>
      <vt:lpstr>HPNR(F3)-HPNR_Used_LCV</vt:lpstr>
      <vt:lpstr>BCH-F3-PCH_Used_LCV</vt:lpstr>
      <vt:lpstr>BCH-F3-BCH_Used_LCV</vt:lpstr>
      <vt:lpstr>CP(F3)-PCH_Used_LCV</vt:lpstr>
      <vt:lpstr>CP(F3)-BCH_Used_LCV</vt:lpstr>
      <vt:lpstr>FL(F3)-FL_Used_LCV</vt:lpstr>
      <vt:lpstr>FL(F3)-PCH_Used_LCV</vt:lpstr>
      <vt:lpstr>FL(F3)-BCH_Used_LCV</vt:lpstr>
      <vt:lpstr>HPNR (F3)-FL_Used_LCV</vt:lpstr>
      <vt:lpstr>HPNR (F3)-PCH_Used_LCV</vt:lpstr>
      <vt:lpstr>HPNR (F3)-BCH_Used_LCV</vt:lpstr>
      <vt:lpstr>PCP_used_LCV</vt:lpstr>
      <vt:lpstr>CP_used_LCV</vt:lpstr>
      <vt:lpstr>HPR_used_LCV</vt:lpstr>
      <vt:lpstr>HPNR_used_LCV</vt:lpstr>
      <vt:lpstr>Formula1-FL_Used_LCV</vt:lpstr>
      <vt:lpstr>Formula1-PCH_Used_LCV</vt:lpstr>
      <vt:lpstr>Formula1-BCH_Used_LCV</vt:lpstr>
      <vt:lpstr>CP(F2)-PCP_Used_car</vt:lpstr>
      <vt:lpstr>CP(F2)-CP_Used_car</vt:lpstr>
      <vt:lpstr>HPNR(F3)-PCP_Used_car</vt:lpstr>
      <vt:lpstr>HPNR(F3)-CP_Used_car</vt:lpstr>
      <vt:lpstr>HPNR(F3)-HPR_Used_car</vt:lpstr>
      <vt:lpstr>HPNR(F3)-HPNR_Used_car</vt:lpstr>
      <vt:lpstr>CP(F3)-PCH_Used_car</vt:lpstr>
      <vt:lpstr>CP(F3)-BCH_Used_car</vt:lpstr>
      <vt:lpstr>FL(F3)-FL_Used_car</vt:lpstr>
      <vt:lpstr>FL(F3)-PCH_Used_car</vt:lpstr>
      <vt:lpstr>FL(F3)-BCH_Used_car</vt:lpstr>
      <vt:lpstr>HPNR (F3)-FL_Used_car</vt:lpstr>
      <vt:lpstr>HPNR (F3)-PCH_Used_car</vt:lpstr>
      <vt:lpstr>HPNR (F3)-BCH_Used_car</vt:lpstr>
      <vt:lpstr>PCP_used_car</vt:lpstr>
      <vt:lpstr>CP_used_car</vt:lpstr>
      <vt:lpstr>HPR_used_car</vt:lpstr>
      <vt:lpstr>HPNR_used_car</vt:lpstr>
      <vt:lpstr>BCH-F3-PCH_Used_car</vt:lpstr>
      <vt:lpstr>BCH-F3-BCH_Used_car</vt:lpstr>
      <vt:lpstr>Formula1-FL_Used_car</vt:lpstr>
      <vt:lpstr>Formula1-PCH_Used_car</vt:lpstr>
      <vt:lpstr>CP (Formula 3) - PCH</vt:lpstr>
      <vt:lpstr>CP (Formula 3) - BCH</vt:lpstr>
      <vt:lpstr>CP (Formula 2) - CP</vt:lpstr>
      <vt:lpstr>CP (Formula 2) - PCP</vt:lpstr>
      <vt:lpstr>Formula1-BCH_Used_car</vt:lpstr>
      <vt:lpstr>HPNR (Formula 3) - PCP</vt:lpstr>
      <vt:lpstr>HPNR (Formula 3) - CP</vt:lpstr>
      <vt:lpstr>HPNR (Formula 3) - HPR</vt:lpstr>
      <vt:lpstr>HPNR (Formula 3) - FL</vt:lpstr>
      <vt:lpstr>HPNR (Formula 3) - PCH</vt:lpstr>
      <vt:lpstr>HPNR (Formula 3) - BCH</vt:lpstr>
      <vt:lpstr>FL (Formula 3) - FL</vt:lpstr>
      <vt:lpstr>FL (Formula 3) - PCH</vt:lpstr>
      <vt:lpstr>FL (Formula 3) - BCH</vt:lpstr>
      <vt:lpstr>HPNR (Formula 3) - HPNR</vt:lpstr>
      <vt:lpstr>HirePurchaseNonRegulated</vt:lpstr>
      <vt:lpstr>HirePurchaseRegulated</vt:lpstr>
      <vt:lpstr>PersonalContractPurchase</vt:lpstr>
      <vt:lpstr>ContractPurchase</vt:lpstr>
      <vt:lpstr>Formula1-FL</vt:lpstr>
      <vt:lpstr>Formula1-PCH</vt:lpstr>
      <vt:lpstr>Formula1-BCH</vt:lpstr>
      <vt:lpstr>FL (Formula 3) - BCH, PCH, FL</vt:lpstr>
      <vt:lpstr>BCH (Formula 3) - PCH</vt:lpstr>
      <vt:lpstr>BCH (Formula 3) - BCH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cp:lastModifiedBy>nitein.kurane</cp:lastModifiedBy>
  <dcterms:modified xsi:type="dcterms:W3CDTF">2024-03-06T07:39:20Z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  <property fmtid="{D5CDD505-2E9C-101B-9397-08002B2CF9AE}" pid="7" name="ICV">
    <vt:lpwstr>CE3AEC47E53A4CF5B6673284C36DFA3F_12</vt:lpwstr>
  </property>
  <property fmtid="{D5CDD505-2E9C-101B-9397-08002B2CF9AE}" pid="8" name="KSOProductBuildVer">
    <vt:lpwstr>1033-12.2.0.13489</vt:lpwstr>
  </property>
</Properties>
</file>