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9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<sst xmlns="http://schemas.openxmlformats.org/spreadsheetml/2006/main" count="32756" uniqueCount="412">
  <si>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</si>
  <si>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</si>
  <si>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</si>
  <si>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</si>
  <si>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</si>
  <si>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</si>
  <si>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</si>
  <si>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</si>
  <si>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</si>
  <si>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</si>
  <si>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</si>
  <si>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</si>
  <si>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</si>
  <si>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</si>
  <si>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</si>
  <si>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</si>
  <si>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</si>
  <si>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</si>
  <si>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</si>
  <si>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</si>
  <si>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</si>
  <si>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</si>
  <si>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</si>
  <si>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</si>
  <si>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</si>
  <si>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</si>
  <si>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</si>
  <si>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</si>
  <si>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</si>
  <si>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</si>
  <si>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</si>
  <si>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</si>
  <si>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</si>
  <si>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</si>
  <si>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</si>
  <si>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</si>
  <si>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</si>
  <si>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</si>
  <si>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</si>
  <si>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</si>
  <si>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</si>
  <si>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</si>
  <si>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</si>
  <si>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</si>
  <si>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</si>
  <si>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</si>
  <si>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</si>
  <si>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</si>
  <si>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</si>
  <si>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</si>
  <si>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</si>
  <si>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</si>
  <si>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</si>
  <si>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</si>
  <si>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</si>
  <si>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</si>
  <si>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</si>
  <si>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</si>
  <si>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</si>
  <si>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</si>
  <si>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</si>
  <si>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</si>
  <si>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</si>
  <si>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</si>
  <si>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</si>
  <si>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</si>
  <si>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</si>
  <si>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</si>
  <si>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</si>
  <si>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</si>
  <si>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</si>
  <si>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</si>
  <si>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</si>
  <si>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</si>
  <si>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</si>
  <si>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</si>
  <si>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</si>
  <si>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</si>
  <si>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</si>
  <si>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</si>
  <si>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</si>
  <si>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</si>
  <si>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</si>
  <si>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</si>
  <si>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</si>
  <si>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</si>
  <si>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</si>
  <si>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</si>
  <si>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</si>
  <si>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</si>
  <si>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</si>
  <si>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</si>
  <si>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</si>
  <si>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</si>
  <si>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</si>
  <si>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</si>
  <si>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</si>
  <si>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</si>
  <si>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</si>
  <si>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</si>
  <si>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</si>
  <si>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</si>
  <si>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</si>
  <si>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</si>
  <si>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</si>
  <si>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</si>
  <si>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</si>
  <si>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</si>
  <si>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</si>
  <si>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</si>
  <si>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</si>
  <si>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</si>
  <si>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</si>
  <si>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</si>
  <si>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</si>
  <si>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</si>
  <si>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</si>
  <si>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</si>
  <si>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</si>
  <si>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</si>
  <si>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</si>
  <si>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</si>
  <si>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</si>
  <si>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</si>
  <si>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</si>
  <si>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</si>
  <si>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</si>
  <si>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</si>
  <si>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</si>
  <si>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</si>
  <si>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</si>
  <si>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</si>
  <si>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</si>
  <si>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</si>
  <si>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</si>
  <si>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</si>
  <si>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</si>
  <si>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</si>
  <si>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</si>
  <si>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</si>
  <si>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</si>
  <si>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</si>
  <si>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</si>
  <si>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</si>
  <si>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</si>
  <si>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</si>
  <si>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</si>
  <si>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</si>
  <si>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</si>
  <si>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</si>
  <si>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</si>
  <si>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</si>
  <si>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</si>
  <si>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</si>
  <si>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</si>
  <si>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</si>
  <si>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</si>
  <si>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</si>
  <si>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</si>
  <si>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</si>
  <si>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</si>
  <si>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</si>
  <si>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</si>
  <si>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</si>
  <si>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</si>
  <si>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</si>
  <si>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</si>
  <si>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</si>
  <si>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</si>
  <si>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</si>
  <si>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</si>
  <si>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</si>
  <si>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</si>
  <si>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</si>
  <si>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</si>
  <si>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</si>
  <si>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</si>
  <si>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</si>
  <si>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</si>
  <si>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</si>
  <si>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</si>
  <si>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</si>
  <si>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</si>
  <si>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</si>
  <si>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</si>
  <si>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</si>
  <si>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</si>
  <si>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</si>
  <si>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</si>
  <si>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</si>
  <si>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</si>
  <si>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</si>
  <si>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</si>
  <si>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</si>
  <si>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</si>
  <si>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</si>
  <si>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</si>
  <si>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</si>
  <si>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</si>
  <si>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</si>
  <si>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</si>
  <si>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</si>
  <si>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</si>
  <si>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</si>
  <si>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</si>
  <si>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</si>
  <si>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</si>
  <si>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</si>
  <si>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</si>
  <si>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</si>
  <si>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</si>
  <si>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</si>
  <si>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</si>
  <si>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</si>
  <si>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</si>
  <si>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</si>
  <si>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</si>
  <si>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</si>
  <si>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</si>
  <si>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</si>
  <si>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</si>
  <si>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</si>
  <si>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</si>
  <si>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</si>
  <si>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</si>
  <si>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</si>
  <si>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</si>
  <si>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</si>
  <si>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</si>
  <si>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</si>
  <si>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</si>
  <si>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</si>
  <si>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</si>
  <si>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</si>
  <si>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</si>
  <si>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</si>
  <si>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</si>
  <si>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</si>
  <si>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</si>
  <si>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</si>
  <si>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</si>
  <si>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</si>
  <si>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</si>
  <si>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</si>
  <si>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</si>
  <si>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</si>
  <si>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</si>
  <si>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</si>
  <si>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</si>
  <si>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</si>
  <si>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</si>
  <si>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</si>
  <si>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</si>
  <si>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</si>
  <si>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</si>
  <si>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</si>
  <si>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</si>
  <si>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</si>
  <si>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</si>
  <si>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</si>
  <si>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</si>
  <si>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</si>
  <si>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</si>
  <si>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</si>
  <si>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</si>
  <si>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</si>
  <si>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</si>
  <si>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</si>
  <si>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</si>
  <si>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</si>
  <si>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</si>
  <si>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</si>
  <si>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</si>
  <si>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</si>
  <si>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</si>
  <si>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</si>
  <si>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</si>
  <si>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</si>
  <si>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</si>
  <si>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</si>
  <si>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</si>
  <si>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</si>
  <si>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</si>
  <si>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</si>
  <si>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</si>
  <si>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</si>
  <si>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</si>
  <si>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</si>
  <si>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</si>
  <si>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</si>
  <si>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</si>
  <si>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</si>
  <si>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</si>
  <si>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</si>
  <si>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</si>
  <si>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</si>
  <si>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</si>
  <si>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</si>
  <si>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</si>
  <si>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</si>
  <si>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</si>
  <si>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</si>
  <si>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</si>
  <si>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</si>
  <si>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</si>
  <si>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</si>
  <si>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</si>
  <si>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</si>
  <si>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</si>
  <si>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</si>
  <si>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</si>
  <si>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</si>
  <si>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</si>
  <si>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</si>
  <si>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</si>
  <si>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</si>
  <si>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</si>
  <si>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</si>
  <si>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</si>
  <si>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</si>
  <si>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</si>
  <si>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</si>
  <si>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</si>
  <si>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</si>
  <si>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</si>
  <si>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</si>
  <si>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</si>
  <si>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</si>
  <si>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</si>
  <si>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</si>
  <si>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</si>
  <si>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</si>
  <si>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</si>
  <si>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</si>
  <si>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</si>
  <si>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</si>
  <si>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</si>
  <si>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</si>
  <si>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</si>
  <si>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</si>
  <si>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</si>
  <si>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</si>
  <si>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</si>
  <si>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</si>
  <si>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</si>
  <si>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</si>
  <si>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</si>
  <si>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</si>
  <si>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</si>
  <si>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</si>
  <si>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</si>
  <si>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</si>
  <si>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</si>
  <si>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</si>
  <si>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</si>
  <si>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</si>
  <si>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</si>
  <si>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</si>
  <si>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</si>
  <si>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</si>
  <si>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</si>
  <si>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</si>
  <si>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</si>
  <si>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</si>
  <si>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</si>
  <si>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</si>
  <si>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</si>
  <si>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</si>
  <si>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</si>
  <si>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</si>
  <si>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</si>
  <si>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</si>
  <si>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</si>
  <si>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</si>
  <si>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</si>
  <si>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</si>
  <si>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</si>
  <si>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</si>
  <si>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</si>
  <si>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</si>
  <si>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</si>
  <si>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</si>
  <si>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</si>
  <si>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RFL included?</t>
  </si>
  <si>
    <t>YES</t>
  </si>
  <si>
    <t>NO</t>
  </si>
  <si>
    <t>200</t>
  </si>
  <si>
    <t xml:space="preserve"> Terminal pause with 6 down </t>
  </si>
  <si>
    <t>30</t>
  </si>
  <si>
    <t>0</t>
  </si>
  <si>
    <t>12</t>
  </si>
  <si>
    <t>5000</t>
  </si>
  <si>
    <t>1000</t>
  </si>
  <si>
    <t>500</t>
  </si>
  <si>
    <t>50</t>
  </si>
  <si>
    <t>107.00</t>
  </si>
  <si>
    <t>199.99</t>
  </si>
  <si>
    <t>Limited Credit</t>
  </si>
  <si>
    <t>6000</t>
  </si>
  <si>
    <t>20</t>
  </si>
  <si>
    <t>10</t>
  </si>
  <si>
    <t>1</t>
  </si>
  <si>
    <t>8.92</t>
  </si>
  <si>
    <t>20500.00</t>
  </si>
  <si>
    <t>40</t>
  </si>
  <si>
    <t>60</t>
  </si>
  <si>
    <t>239.99</t>
  </si>
  <si>
    <t>A1 Credit</t>
  </si>
  <si>
    <t>2</t>
  </si>
  <si>
    <t>108.00</t>
  </si>
  <si>
    <t>33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</si>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</sst>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391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392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385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384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391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392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394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384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397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384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410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411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384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16950.4342312353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14549.6147049928</v>
      </c>
      <c r="C88" s="130" t="n">
        <f aca="false">B81-B86</f>
        <v>14549.6147049928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545.337433362465</v>
      </c>
      <c r="C89" s="130" t="n">
        <f aca="false">(B88/B87)</f>
        <v>545.337433362465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17450.7978675989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17450.7978675989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545.337433362465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545.337433362465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384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397</v>
      </c>
      <c r="C108" s="103"/>
      <c r="D108" s="103" t="n">
        <v>0.0</v>
      </c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545.337433362465</v>
      </c>
      <c r="B167" s="174" t="n">
        <f aca="false">B94</f>
        <v>0</v>
      </c>
      <c r="C167" s="171"/>
      <c r="D167" s="171"/>
      <c r="E167" s="174" t="n">
        <f aca="false">B96</f>
        <v>545.337433362465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-2349.20213240111</v>
      </c>
      <c r="B182" s="99" t="str">
        <f aca="false">B114</f>
        <v>239.99</v>
      </c>
      <c r="C182" s="99"/>
      <c r="D182" s="23"/>
      <c r="E182" s="99" t="n">
        <f aca="false">E179+A182+B182+A185</f>
        <v>24900.7878675989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545.337433362465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545.337433362465</v>
      </c>
      <c r="B212" s="174" t="n">
        <f aca="false">B167</f>
        <v>0</v>
      </c>
      <c r="C212" s="171"/>
      <c r="D212" s="171"/>
      <c r="E212" s="174" t="n">
        <f aca="false">E167</f>
        <v>545.337433362465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-2349.20213240111</v>
      </c>
      <c r="B224" s="99" t="str">
        <f aca="false">B182</f>
        <v>239.99</v>
      </c>
      <c r="C224" s="99"/>
      <c r="D224" s="109"/>
      <c r="E224" s="99" t="n">
        <f aca="false">E182</f>
        <v>24900.7878675989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545.337433362465</v>
      </c>
      <c r="B230" s="99" t="n">
        <f aca="false">B167</f>
        <v>0</v>
      </c>
      <c r="C230" s="183"/>
      <c r="D230" s="183"/>
      <c r="E230" s="99" t="n">
        <f aca="false">E167</f>
        <v>545.337433362465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385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397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385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407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385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397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384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10000.0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384</v>
      </c>
      <c r="B105" s="311" t="n">
        <v>20.0</v>
      </c>
      <c r="C105" s="311"/>
      <c r="D105" s="103" t="s">
        <v>386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392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390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399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400</v>
      </c>
      <c r="C44" s="100"/>
      <c r="D44" s="100" t="n">
        <v>0.0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10000.0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275.0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385</v>
      </c>
      <c r="B111" s="311" t="n">
        <v>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385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392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390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399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394</v>
      </c>
      <c r="B44" s="100" t="s">
        <v>400</v>
      </c>
      <c r="C44" s="100"/>
      <c r="D44" s="100" t="s">
        <v>400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10000.0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275.0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384</v>
      </c>
      <c r="B111" s="311" t="n">
        <v>30.0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385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str">
        <f aca="false">IF(B38="YES", D38+A41, D38)</f>
        <v>500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389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2382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198.5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8394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71.1068979427188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8465.10689794272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705.42557482856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705.42557482856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385</v>
      </c>
      <c r="B111" s="313" t="n">
        <v>0.0</v>
      </c>
      <c r="C111" s="313"/>
      <c r="D111" s="103" t="s">
        <v>386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705.42557482856</v>
      </c>
      <c r="B134" s="320" t="n">
        <f aca="false">IF(A111="YES", B95, 0)</f>
        <v>0</v>
      </c>
      <c r="C134" s="325"/>
      <c r="D134" s="320" t="n">
        <f aca="false">B97</f>
        <v>705.42557482856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705.42557482856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705.42557482856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705.42557482856</v>
      </c>
      <c r="B143" s="38" t="n">
        <f aca="false">IF(A111="YES", B95, 0)</f>
        <v>0</v>
      </c>
      <c r="C143" s="316"/>
      <c r="D143" s="38" t="n">
        <f aca="false">B97</f>
        <v>705.42557482856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705.42557482856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705.42557482856</v>
      </c>
      <c r="B177" s="354" t="n">
        <f aca="false">IF(A111="YES", B95, 0)</f>
        <v>0</v>
      </c>
      <c r="C177" s="357"/>
      <c r="D177" s="354" t="n">
        <f aca="false">B91</f>
        <v>8394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705.42557482856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705.42557482856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705.42557482856</v>
      </c>
      <c r="B186" s="99" t="n">
        <f aca="false">IF(A111="YES", B95, 0)</f>
        <v>0</v>
      </c>
      <c r="C186" s="352"/>
      <c r="D186" s="99" t="n">
        <f aca="false">B97</f>
        <v>705.42557482856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71.1068979427188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550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401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275.0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384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B97</f>
        <v>875.327549751244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550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401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275.0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384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385</v>
      </c>
      <c r="B111" s="311" t="n">
        <v>0.0</v>
      </c>
      <c r="C111" s="311"/>
      <c r="D111" s="103" t="s">
        <v>386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385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275.0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385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402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10000.0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275.0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384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385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385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11025.0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30.0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5204.60304471171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9385.15904697932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15114.8409530207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510.365915520842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17862.8070432295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17862.8070432295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510.365915520842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510.365915520842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385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510.365915520842</v>
      </c>
      <c r="B167" s="174" t="str">
        <f aca="false">B94</f>
        <v>0</v>
      </c>
      <c r="C167" s="171"/>
      <c r="D167" s="171"/>
      <c r="E167" s="174" t="n">
        <f aca="false">B96</f>
        <v>510.365915520842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6592.80704322948</v>
      </c>
      <c r="B182" s="99" t="str">
        <f aca="false">B114</f>
        <v>239.99</v>
      </c>
      <c r="C182" s="99"/>
      <c r="D182" s="23"/>
      <c r="E182" s="99" t="n">
        <f aca="false">E179+A182+B182+A185</f>
        <v>31342.7970432295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204.166666666667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304.158333333333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510.365915520842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E179+A201+B182+A185</f>
        <v>28455.44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510.365915520842</v>
      </c>
      <c r="B212" s="174" t="str">
        <f aca="false">B167</f>
        <v>0</v>
      </c>
      <c r="C212" s="171"/>
      <c r="D212" s="171"/>
      <c r="E212" s="174" t="n">
        <f aca="false">E167</f>
        <v>510.365915520842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6592.80704322948</v>
      </c>
      <c r="B224" s="99" t="str">
        <f aca="false">B182</f>
        <v>239.99</v>
      </c>
      <c r="C224" s="99"/>
      <c r="D224" s="109"/>
      <c r="E224" s="99" t="n">
        <f aca="false">E182</f>
        <v>31342.7970432295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510.365915520842</v>
      </c>
      <c r="B230" s="99" t="str">
        <f aca="false">B167</f>
        <v>0</v>
      </c>
      <c r="C230" s="183"/>
      <c r="D230" s="183"/>
      <c r="E230" s="99" t="n">
        <f aca="false">E167</f>
        <v>510.365915520842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2897.35704322948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2752.34870989615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2897.35704322948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2752.34870989615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2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384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6485.18280361218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8791.76420982348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15708.2357901765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546.953908632284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19143.3868021299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19143.3868021299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546.953908632284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546.953908632284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384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546.953908632284</v>
      </c>
      <c r="B167" s="174" t="str">
        <f aca="false">B94</f>
        <v>0</v>
      </c>
      <c r="C167" s="171"/>
      <c r="D167" s="171"/>
      <c r="E167" s="174" t="n">
        <f aca="false">B96</f>
        <v>546.953908632284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7873.38680212995</v>
      </c>
      <c r="B182" s="99" t="str">
        <f aca="false">B114</f>
        <v>199.99</v>
      </c>
      <c r="C182" s="99"/>
      <c r="D182" s="23"/>
      <c r="E182" s="99" t="n">
        <f aca="false">E179+A182+B182+A185</f>
        <v>32583.37680213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204.166666666667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304.156666666667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546.953908632284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E179+A201+(B182*1.2)+A185</f>
        <v>28455.438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546.953908632284</v>
      </c>
      <c r="B212" s="174" t="str">
        <f aca="false">B167</f>
        <v>0</v>
      </c>
      <c r="C212" s="171"/>
      <c r="D212" s="171"/>
      <c r="E212" s="174" t="n">
        <f aca="false">E167</f>
        <v>546.953908632284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7873.38680212995</v>
      </c>
      <c r="B224" s="99" t="str">
        <f aca="false">B182</f>
        <v>199.99</v>
      </c>
      <c r="C224" s="99"/>
      <c r="D224" s="109"/>
      <c r="E224" s="99" t="n">
        <f aca="false">E182</f>
        <v>32583.37680213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546.953908632284</v>
      </c>
      <c r="B230" s="99" t="str">
        <f aca="false">B167</f>
        <v>0</v>
      </c>
      <c r="C230" s="183"/>
      <c r="D230" s="183"/>
      <c r="E230" s="99" t="n">
        <f aca="false">E167</f>
        <v>546.953908632284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4137.93880212995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3992.92880212995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4137.93880212995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3992.92880212995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384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153.0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11025.0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384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384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384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389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11025.0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7316.6417117402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220.3125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27000</v>
      </c>
      <c r="C88" s="130"/>
      <c r="D88" s="130"/>
      <c r="E88" s="109"/>
      <c r="F88" s="31" t="s">
        <v>112</v>
      </c>
      <c r="G88" s="33" t="n">
        <f aca="false">G81-G86</f>
        <v>27000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878.721771166105</v>
      </c>
      <c r="C89" s="130"/>
      <c r="D89" s="130"/>
      <c r="E89" s="109"/>
      <c r="F89" s="31" t="s">
        <v>113</v>
      </c>
      <c r="G89" s="33" t="n">
        <f aca="false">(G88/G87)</f>
        <v>848.943915977003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30755.2619908137</v>
      </c>
      <c r="C90" s="130"/>
      <c r="D90" s="130"/>
      <c r="E90" s="109"/>
      <c r="F90" s="31" t="s">
        <v>114</v>
      </c>
      <c r="G90" s="33" t="n">
        <f aca="false">((G89*(G85))+G77)</f>
        <v>29713.0370591951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30755.2619908137</v>
      </c>
      <c r="C92" s="130"/>
      <c r="D92" s="130"/>
      <c r="E92" s="109"/>
      <c r="F92" s="56" t="s">
        <v>116</v>
      </c>
      <c r="G92" s="65" t="n">
        <f aca="false">(G90+G91)</f>
        <v>29713.0370591951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878.721771166105</v>
      </c>
      <c r="C95" s="130"/>
      <c r="D95" s="130"/>
      <c r="E95" s="109"/>
      <c r="F95" s="91" t="s">
        <v>118</v>
      </c>
      <c r="G95" s="92" t="n">
        <f aca="false">G92/(G85)</f>
        <v>848.943915977003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878.721771166105</v>
      </c>
      <c r="C96" s="130"/>
      <c r="D96" s="130"/>
      <c r="E96" s="109"/>
      <c r="F96" s="93" t="s">
        <v>119</v>
      </c>
      <c r="G96" s="94" t="n">
        <f aca="false">G94+G95</f>
        <v>848.943915977003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384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384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878.721771166105</v>
      </c>
      <c r="B167" s="174" t="str">
        <f aca="false">B94</f>
        <v>0</v>
      </c>
      <c r="C167" s="171"/>
      <c r="D167" s="171"/>
      <c r="E167" s="174" t="n">
        <f aca="false">B96</f>
        <v>878.721771166105</v>
      </c>
      <c r="F167" s="23"/>
      <c r="G167" s="23" t="n">
        <f aca="false">ROUND(G95, 2)</f>
        <v>848.94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2876.54021964758</v>
      </c>
      <c r="B182" s="99" t="str">
        <f aca="false">B114</f>
        <v>199.99</v>
      </c>
      <c r="C182" s="99"/>
      <c r="D182" s="23"/>
      <c r="E182" s="99" t="n">
        <f aca="false">E179+A182+(B182*1.2)+A185</f>
        <v>30126.5282196476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220.3125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320.3025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878.721771166105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1863.96</v>
      </c>
      <c r="B201" s="183" t="n">
        <f aca="false">E179+A201+(B182*1.2)+A185</f>
        <v>29113.948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878.721771166105</v>
      </c>
      <c r="B212" s="174" t="str">
        <f aca="false">B167</f>
        <v>0</v>
      </c>
      <c r="C212" s="171"/>
      <c r="D212" s="171"/>
      <c r="E212" s="174" t="n">
        <f aca="false">E167</f>
        <v>878.721771166105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2876.54021964758</v>
      </c>
      <c r="B224" s="99" t="str">
        <f aca="false">B182</f>
        <v>199.99</v>
      </c>
      <c r="C224" s="99"/>
      <c r="D224" s="109"/>
      <c r="E224" s="99" t="n">
        <f aca="false">E182</f>
        <v>30126.5282196476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878.721771166105</v>
      </c>
      <c r="B230" s="99" t="str">
        <f aca="false">B167</f>
        <v>0</v>
      </c>
      <c r="C230" s="183"/>
      <c r="D230" s="183"/>
      <c r="E230" s="99" t="n">
        <f aca="false">E167</f>
        <v>878.721771166105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220.3125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2320.3025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1022.58021964758</v>
      </c>
      <c r="C254" s="194"/>
      <c r="D254" s="195" t="s">
        <v>213</v>
      </c>
      <c r="E254" s="195"/>
      <c r="F254" s="196" t="n">
        <f aca="false">F261+F267+F269+B270+B271</f>
        <v>264.375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858.195219647582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1022.58021964758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264.375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858.195219647582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10000.0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55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1654.68213297589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20078.4078179329</v>
      </c>
      <c r="C85" s="473"/>
      <c r="D85" s="473"/>
      <c r="E85" s="466" t="n">
        <f aca="false">B85/(B58+B57)</f>
        <v>1673.20065149441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170.087359490355</v>
      </c>
      <c r="C86" s="473" t="s">
        <v>227</v>
      </c>
      <c r="D86" s="211"/>
      <c r="E86" s="466" t="n">
        <f aca="false">B86/(B58+B57)</f>
        <v>14.1739466241963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20248.4951774232</v>
      </c>
      <c r="C87" s="473"/>
      <c r="D87" s="475"/>
      <c r="E87" s="466" t="n">
        <f aca="false">E86+E85</f>
        <v>1687.3745981186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28.416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1687.3745981186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1715.7905981186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384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1687.3745981186</v>
      </c>
      <c r="B128" s="320" t="n">
        <f aca="false">IF(A105="YES", B89, 0)</f>
        <v>28.416</v>
      </c>
      <c r="C128" s="324"/>
      <c r="D128" s="320" t="n">
        <f aca="false">B91</f>
        <v>1715.7905981186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1687.3745981186</v>
      </c>
      <c r="C131" s="316"/>
      <c r="D131" s="38" t="n">
        <f aca="false">IF(A105="YES", B89*B57, 0)</f>
        <v>28.416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1715.7905981186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1687.3745981186</v>
      </c>
      <c r="B137" s="38" t="n">
        <f aca="false">IF(A105="YES", B89, 0)</f>
        <v>28.416</v>
      </c>
      <c r="C137" s="316"/>
      <c r="D137" s="38" t="n">
        <f aca="false">B91</f>
        <v>1715.7905981186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5.6832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910.9332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1715.7905981186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1687.3745981186</v>
      </c>
      <c r="B177" s="354" t="n">
        <f aca="false">IF(A105="YES", B89, 0)</f>
        <v>28.416</v>
      </c>
      <c r="C177" s="356"/>
      <c r="D177" s="354" t="n">
        <f aca="false">B91</f>
        <v>1715.7905981186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1687.3745981186</v>
      </c>
      <c r="C180" s="352"/>
      <c r="D180" s="99" t="n">
        <f aca="false">IF(A105="YES", B89*B57, 0)</f>
        <v>28.416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1715.7905981186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1687.3745981186</v>
      </c>
      <c r="B186" s="99" t="n">
        <f aca="false">IF(A105="YES", B89, 0)</f>
        <v>28.416</v>
      </c>
      <c r="C186" s="352"/>
      <c r="D186" s="99" t="n">
        <f aca="false">B91</f>
        <v>1715.7905981186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5.6832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910.9332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396.822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1713.562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1713.562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56.832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170.087359490355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947.1999999999998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566.94386734833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566.94386734833</v>
      </c>
      <c r="B36" s="99" t="n">
        <f aca="false">IF(B26="YES", H42, "")</f>
        <v>0</v>
      </c>
      <c r="C36" s="217"/>
      <c r="D36" s="181" t="n">
        <f aca="false">H31</f>
        <v>2934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47680.529689928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2934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2445</v>
      </c>
      <c r="I40" s="234" t="n">
        <f aca="false">H39-I39</f>
        <v>-27180.529689928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2002.04528243079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373</v>
      </c>
      <c r="H45" s="234" t="n">
        <f aca="false">(H39-H44)</f>
        <v>18497.9547175692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566.94386734833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566.94386734833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566.94386734833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10000.0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810.52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847.916666666667</v>
      </c>
      <c r="C76" s="211"/>
      <c r="D76" s="290" t="n">
        <f aca="false">B76</f>
        <v>847.916666666667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45.2199074074074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4877.58333333333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135.488425925926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566.94386734833</v>
      </c>
      <c r="C83" s="473"/>
      <c r="D83" s="211"/>
      <c r="E83" s="466" t="n">
        <f aca="false">B83+E80+E77+E64</f>
        <v>696.259453768084</v>
      </c>
      <c r="F83" s="63"/>
      <c r="G83" s="304" t="s">
        <v>104</v>
      </c>
      <c r="H83" s="305" t="n">
        <f aca="false">H47</f>
        <v>566.94386734833</v>
      </c>
      <c r="I83" s="211"/>
      <c r="J83" s="211"/>
      <c r="K83" s="212"/>
      <c r="L83" s="63"/>
      <c r="M83" s="304" t="s">
        <v>104</v>
      </c>
      <c r="N83" s="305" t="n">
        <f aca="false">H47</f>
        <v>566.94386734833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30345.0750694479</v>
      </c>
      <c r="C85" s="473"/>
      <c r="D85" s="473"/>
      <c r="E85" s="466" t="n">
        <f aca="false">B85/(B58+B57)</f>
        <v>842.918751929108</v>
      </c>
      <c r="F85" s="63"/>
      <c r="G85" s="287" t="s">
        <v>114</v>
      </c>
      <c r="H85" s="127" t="n">
        <f aca="false">((H83*H29)+H81)*1.2</f>
        <v>25770.8750694479</v>
      </c>
      <c r="I85" s="211"/>
      <c r="J85" s="211"/>
      <c r="K85" s="212"/>
      <c r="L85" s="63"/>
      <c r="M85" s="287" t="s">
        <v>114</v>
      </c>
      <c r="N85" s="127" t="n">
        <f aca="false">((N83*H29)+N81)</f>
        <v>21131.9792245399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214.214930905743</v>
      </c>
      <c r="C86" s="473" t="s">
        <v>227</v>
      </c>
      <c r="D86" s="211"/>
      <c r="E86" s="466" t="n">
        <f aca="false">B86/(B58+B57)</f>
        <v>5.95041474738176</v>
      </c>
      <c r="F86" s="63"/>
      <c r="G86" s="210" t="s">
        <v>115</v>
      </c>
      <c r="H86" s="299" t="n">
        <f aca="false">((((H83*H29)+H81))/(1-H70))*H70</f>
        <v>181.924289518087</v>
      </c>
      <c r="I86" s="211"/>
      <c r="J86" s="211"/>
      <c r="K86" s="212"/>
      <c r="L86" s="63"/>
      <c r="M86" s="210" t="s">
        <v>115</v>
      </c>
      <c r="N86" s="299" t="n">
        <f aca="false">(N85/(1-N70))*N70</f>
        <v>179.012329050156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30559.2900003536</v>
      </c>
      <c r="C87" s="473"/>
      <c r="D87" s="475"/>
      <c r="E87" s="466" t="n">
        <f aca="false">E86+E85</f>
        <v>848.869166676489</v>
      </c>
      <c r="F87" s="63"/>
      <c r="G87" s="284" t="s">
        <v>116</v>
      </c>
      <c r="H87" s="129" t="n">
        <f aca="false">IF(H110="YES",((H85+H86)-K114),(H85+H86))</f>
        <v>25952.799358966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21310.99155359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848.869166676489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632.995106316243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519.780281794879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848.869166676489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632.995106316243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519.780281794879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384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632.995106316243</v>
      </c>
      <c r="H127" s="174" t="n">
        <f aca="false">IF(G105="YES", H89*H57, 0)</f>
        <v>0</v>
      </c>
      <c r="I127" s="174"/>
      <c r="J127" s="333" t="n">
        <f aca="false">H91</f>
        <v>632.995106316243</v>
      </c>
      <c r="K127" s="212"/>
      <c r="L127" s="63"/>
      <c r="M127" s="332" t="n">
        <f aca="false">N90</f>
        <v>519.780281794879</v>
      </c>
      <c r="N127" s="174" t="n">
        <f aca="false">IF(M105="YES", N89*N57, 0)</f>
        <v>0</v>
      </c>
      <c r="O127" s="174"/>
      <c r="P127" s="174" t="n">
        <f aca="false">N91</f>
        <v>519.780281794879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848.869166676489</v>
      </c>
      <c r="B128" s="320" t="n">
        <f aca="false">IF(A105="YES", B89, 0)</f>
        <v>0</v>
      </c>
      <c r="C128" s="324"/>
      <c r="D128" s="320" t="n">
        <f aca="false">B91</f>
        <v>848.869166676489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848.869166676489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3797.97063789746</v>
      </c>
      <c r="H133" s="99" t="n">
        <f aca="false">IF(G105="YES", H89*H57, 0)</f>
        <v>0</v>
      </c>
      <c r="I133" s="217"/>
      <c r="J133" s="181" t="n">
        <f aca="false">H91*H57</f>
        <v>3797.97063789746</v>
      </c>
      <c r="K133" s="212"/>
      <c r="L133" s="63"/>
      <c r="M133" s="182" t="n">
        <f aca="false">N90*N57</f>
        <v>3118.68169076928</v>
      </c>
      <c r="N133" s="99" t="n">
        <f aca="false">IF(M105="YES", N89*N57, 0)</f>
        <v>0</v>
      </c>
      <c r="O133" s="217"/>
      <c r="P133" s="181" t="n">
        <f aca="false">N91*N57</f>
        <v>3118.68169076928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848.869166676489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848.869166676489</v>
      </c>
      <c r="B137" s="38" t="n">
        <f aca="false">IF(A105="YES", B89, 0)</f>
        <v>0</v>
      </c>
      <c r="C137" s="316"/>
      <c r="D137" s="38" t="n">
        <f aca="false">B91</f>
        <v>848.869166676489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810.52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1310.51166666667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632.995106316243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519.780281794879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848.869166676489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848.869166676489</v>
      </c>
      <c r="B177" s="354" t="n">
        <f aca="false">IF(A105="YES", B89, 0)</f>
        <v>0</v>
      </c>
      <c r="C177" s="356"/>
      <c r="D177" s="354" t="n">
        <f aca="false">B91</f>
        <v>848.869166676489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848.869166676489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848.869166676489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848.869166676489</v>
      </c>
      <c r="B186" s="99" t="n">
        <f aca="false">IF(A105="YES", B89, 0)</f>
        <v>0</v>
      </c>
      <c r="C186" s="352"/>
      <c r="D186" s="99" t="n">
        <f aca="false">B91</f>
        <v>848.869166676489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810.52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1310.51166666667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810.52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2112.47166666667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810.52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2112.47166666667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214.214930905743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10000.0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20376.3244845996</v>
      </c>
      <c r="C85" s="473"/>
      <c r="D85" s="473"/>
      <c r="E85" s="466" t="n">
        <f aca="false">B85/(B58+B57)</f>
        <v>1698.0270403833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20548.9355431621</v>
      </c>
      <c r="C87" s="473"/>
      <c r="D87" s="475"/>
      <c r="E87" s="466" t="n">
        <f aca="false">E86+E85</f>
        <v>1712.41129526351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30.784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1712.41129526351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1743.19529526351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384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1712.41129526351</v>
      </c>
      <c r="B128" s="320" t="n">
        <f aca="false">IF(A105="YES", B89, 0)</f>
        <v>30.784</v>
      </c>
      <c r="C128" s="324"/>
      <c r="D128" s="320" t="n">
        <f aca="false">B91</f>
        <v>1743.19529526351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1712.41129526351</v>
      </c>
      <c r="C131" s="316"/>
      <c r="D131" s="38" t="n">
        <f aca="false">IF(A105="YES", B89*B57, 0)</f>
        <v>30.784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1743.19529526351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1712.41129526351</v>
      </c>
      <c r="B137" s="38" t="n">
        <f aca="false">IF(A105="YES", B89, 0)</f>
        <v>30.784</v>
      </c>
      <c r="C137" s="316"/>
      <c r="D137" s="38" t="n">
        <f aca="false">B91</f>
        <v>1743.19529526351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913.7748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1743.19529526351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1712.41129526351</v>
      </c>
      <c r="B177" s="354" t="n">
        <f aca="false">IF(A105="YES", B89, 0)</f>
        <v>30.784</v>
      </c>
      <c r="C177" s="356"/>
      <c r="D177" s="354" t="n">
        <f aca="false">B91</f>
        <v>1743.19529526351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1712.41129526351</v>
      </c>
      <c r="C180" s="352"/>
      <c r="D180" s="99" t="n">
        <f aca="false">IF(A105="YES", B89*B57, 0)</f>
        <v>30.784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1743.19529526351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1712.41129526351</v>
      </c>
      <c r="B186" s="99" t="n">
        <f aca="false">IF(A105="YES", B89, 0)</f>
        <v>30.784</v>
      </c>
      <c r="C186" s="352"/>
      <c r="D186" s="99" t="n">
        <f aca="false">B91</f>
        <v>1743.19529526351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913.7748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5040.36204114562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5040.36204114562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5040.36204114562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5040.36204114562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775.276185513872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775.276185513872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775.276185513872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775.276185513872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-25802.2118726298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11928.3573368353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-11928.3573368353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-415.340191991819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-14536.9067197136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-14536.9067197136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-415.340191991819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-415.340191991819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-22458.33</v>
      </c>
      <c r="I148" s="1" t="n">
        <f aca="false">(H148-G81)/1.2</f>
        <v>-18715.275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-415.340191991819</v>
      </c>
      <c r="B167" s="174" t="str">
        <f aca="false">B94</f>
        <v>0</v>
      </c>
      <c r="C167" s="171"/>
      <c r="D167" s="171"/>
      <c r="E167" s="174" t="n">
        <f aca="false">B96</f>
        <v>-415.340191991819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3413.09328028635</v>
      </c>
      <c r="B182" s="99" t="str">
        <f aca="false">B114</f>
        <v>239.99</v>
      </c>
      <c r="C182" s="99"/>
      <c r="D182" s="23"/>
      <c r="E182" s="99" t="n">
        <f aca="false">E179+A182+B182+A185</f>
        <v>3663.08328028635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-415.340191991819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-415.340191991819</v>
      </c>
      <c r="B212" s="174" t="str">
        <f aca="false">B167</f>
        <v>0</v>
      </c>
      <c r="C212" s="171"/>
      <c r="D212" s="171"/>
      <c r="E212" s="174" t="n">
        <f aca="false">E167</f>
        <v>-415.340191991819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3413.09328028635</v>
      </c>
      <c r="B224" s="99" t="str">
        <f aca="false">B182</f>
        <v>239.99</v>
      </c>
      <c r="C224" s="99"/>
      <c r="D224" s="109"/>
      <c r="E224" s="99" t="n">
        <f aca="false">E182</f>
        <v>3663.08328028635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-415.340191991819</v>
      </c>
      <c r="B230" s="99" t="str">
        <f aca="false">B167</f>
        <v>0</v>
      </c>
      <c r="C230" s="183"/>
      <c r="D230" s="183"/>
      <c r="E230" s="99" t="n">
        <f aca="false">E167</f>
        <v>-415.340191991819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-22458.33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-22358.3383333333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99.9916666666667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-14536.9067197136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99.9916666666667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5299.52976320041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14016.5453595405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473.280997603332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16564.8349161166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16564.8349161166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473.280997603332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473.280997603332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473.280997603332</v>
      </c>
      <c r="B167" s="174" t="str">
        <f aca="false">B94</f>
        <v>0</v>
      </c>
      <c r="C167" s="171"/>
      <c r="D167" s="171"/>
      <c r="E167" s="174" t="n">
        <f aca="false">B96</f>
        <v>473.280997603332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7764.8349161166</v>
      </c>
      <c r="B182" s="99" t="str">
        <f aca="false">B114</f>
        <v>239.99</v>
      </c>
      <c r="C182" s="99"/>
      <c r="D182" s="23"/>
      <c r="E182" s="99" t="n">
        <f aca="false">E179+A182+B182+A185</f>
        <v>34764.8249161166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473.280997603332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473.280997603332</v>
      </c>
      <c r="B212" s="174" t="str">
        <f aca="false">B167</f>
        <v>0</v>
      </c>
      <c r="C212" s="171"/>
      <c r="D212" s="171"/>
      <c r="E212" s="174" t="n">
        <f aca="false">E167</f>
        <v>473.280997603332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7764.8349161166</v>
      </c>
      <c r="B224" s="99" t="str">
        <f aca="false">B182</f>
        <v>239.99</v>
      </c>
      <c r="C224" s="99"/>
      <c r="D224" s="109"/>
      <c r="E224" s="99" t="n">
        <f aca="false">E182</f>
        <v>34764.8249161166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473.280997603332</v>
      </c>
      <c r="B230" s="99" t="str">
        <f aca="false">B167</f>
        <v>0</v>
      </c>
      <c r="C230" s="183"/>
      <c r="D230" s="183"/>
      <c r="E230" s="99" t="n">
        <f aca="false">E167</f>
        <v>473.280997603332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-167.508333333333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16564.8349161166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-167.508333333333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19958.33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385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385</v>
      </c>
      <c r="B105" s="311" t="n">
        <v>0.0</v>
      </c>
      <c r="C105" s="311"/>
      <c r="D105" s="103" t="s">
        <v>386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781.48996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781.48996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2076.98976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2076.98976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20500.0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389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21540.0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345.333333333333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7602.752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7656.42209277935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638.035174398279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716.035174398279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 B95, 0)</f>
        <v>78</v>
      </c>
      <c r="C134" s="324"/>
      <c r="D134" s="320" t="n">
        <f aca="false">B97</f>
        <v>716.035174398279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5742.31656958451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6444.31656958451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638.035174398279</v>
      </c>
      <c r="B143" s="38" t="n">
        <f aca="false">IF(A111="YES", B95, 0)</f>
        <v>78</v>
      </c>
      <c r="C143" s="316"/>
      <c r="D143" s="38" t="n">
        <f aca="false">B97</f>
        <v>716.035174398279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716.035174398279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 B95, 0)</f>
        <v>78</v>
      </c>
      <c r="C177" s="356"/>
      <c r="D177" s="354" t="n">
        <f aca="false">A177+B177</f>
        <v>716.035174398279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5742.31656958451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6444.31656958451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638.035174398279</v>
      </c>
      <c r="B186" s="99" t="n">
        <f aca="false">IF(A111="YES", B95, 0)</f>
        <v>78</v>
      </c>
      <c r="C186" s="352"/>
      <c r="D186" s="99" t="n">
        <f aca="false">B97</f>
        <v>716.035174398279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4785.16624666667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132.92128462963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396.800576051001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14507.0429600582</v>
      </c>
      <c r="C85" s="473"/>
      <c r="D85" s="473"/>
      <c r="E85" s="466" t="n">
        <f aca="false">B85/(B58+B57)</f>
        <v>402.973415557173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122.891449036395</v>
      </c>
      <c r="C86" s="473" t="s">
        <v>227</v>
      </c>
      <c r="D86" s="211"/>
      <c r="E86" s="466" t="n">
        <f aca="false">B86/(B58+B57)</f>
        <v>3.41365136212208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14629.9344090946</v>
      </c>
      <c r="C87" s="473"/>
      <c r="D87" s="475"/>
      <c r="E87" s="466" t="n">
        <f aca="false">E86+E85</f>
        <v>406.387066919296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406.387066919296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471.387066919296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406.387066919296</v>
      </c>
      <c r="B128" s="320" t="n">
        <f aca="false">IF(A105="YES", B89, 0)</f>
        <v>65</v>
      </c>
      <c r="C128" s="324"/>
      <c r="D128" s="320" t="n">
        <f aca="false">B91</f>
        <v>471.387066919296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406.387066919296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471.387066919296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406.387066919296</v>
      </c>
      <c r="B137" s="38" t="n">
        <f aca="false">IF(A105="YES", B89, 0)</f>
        <v>65</v>
      </c>
      <c r="C137" s="316"/>
      <c r="D137" s="38" t="n">
        <f aca="false">B91</f>
        <v>471.387066919296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471.387066919296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406.387066919296</v>
      </c>
      <c r="B177" s="354" t="n">
        <f aca="false">IF(A105="YES", B89, 0)</f>
        <v>65</v>
      </c>
      <c r="C177" s="356"/>
      <c r="D177" s="354" t="n">
        <f aca="false">B91</f>
        <v>471.387066919296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406.387066919296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471.387066919296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406.387066919296</v>
      </c>
      <c r="B186" s="99" t="n">
        <f aca="false">IF(A105="YES", B89, 0)</f>
        <v>65</v>
      </c>
      <c r="C186" s="352"/>
      <c r="D186" s="99" t="n">
        <f aca="false">B91</f>
        <v>471.387066919296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2961.63958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2961.63958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122.891449036395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E179+A182+B182+A185</f>
        <v>21586.4277457328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21586.4277457328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-99.30375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-99.30375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739.850298059253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739.850298059253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739.850298059253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739.850298059253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12924.0721066965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16237.689207262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554.044298757958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17729.4175602547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17729.4175602547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554.044298757958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419.513616970629</v>
      </c>
      <c r="C96" s="130"/>
      <c r="D96" s="130"/>
      <c r="E96" s="109"/>
      <c r="F96" s="93" t="s">
        <v>119</v>
      </c>
      <c r="G96" s="94" t="n">
        <f aca="false">G94+G95</f>
        <v>554.044298757958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str">
        <f aca="false">B94</f>
        <v>0</v>
      </c>
      <c r="C167" s="171"/>
      <c r="D167" s="171"/>
      <c r="E167" s="174" t="n">
        <f aca="false">B96</f>
        <v>419.513616970629</v>
      </c>
      <c r="F167" s="23"/>
      <c r="G167" s="23" t="n">
        <f aca="false">ROUND(G95, 2)</f>
        <v>554.04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199.99</v>
      </c>
      <c r="C182" s="99"/>
      <c r="D182" s="23"/>
      <c r="E182" s="99" t="n">
        <f aca="false">E179+A182+B182+A185</f>
        <v>20834.4257430601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419.513616970629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3671.28</v>
      </c>
      <c r="B201" s="183" t="n">
        <f aca="false">E179+A201+(B182*1.2)+A185</f>
        <v>25179.268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str">
        <f aca="false">B167</f>
        <v>0</v>
      </c>
      <c r="C212" s="171"/>
      <c r="D212" s="171"/>
      <c r="E212" s="174" t="n">
        <f aca="false">E167</f>
        <v>419.513616970629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199.99</v>
      </c>
      <c r="C224" s="99"/>
      <c r="D224" s="109"/>
      <c r="E224" s="99" t="n">
        <f aca="false">E182</f>
        <v>20834.4257430601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str">
        <f aca="false">B167</f>
        <v>0</v>
      </c>
      <c r="C230" s="183"/>
      <c r="D230" s="183"/>
      <c r="E230" s="99" t="n">
        <f aca="false">E167</f>
        <v>419.513616970629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4.1856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-4334.84225693988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-4434.14600693988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-4334.84225693988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-4434.14600693988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78</v>
      </c>
      <c r="C134" s="325"/>
      <c r="D134" s="320" t="n">
        <f aca="false">B97</f>
        <v>964.577409170364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8681.19668253328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78</v>
      </c>
      <c r="C143" s="316"/>
      <c r="D143" s="38" t="n">
        <f aca="false">B97</f>
        <v>964.577409170364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78</v>
      </c>
      <c r="C177" s="357"/>
      <c r="D177" s="354" t="n">
        <f aca="false">B97</f>
        <v>964.577409170364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8681.19668253328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78</v>
      </c>
      <c r="C186" s="352"/>
      <c r="D186" s="99" t="n">
        <f aca="false">B97</f>
        <v>964.577409170364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1575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1575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2100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2105.25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2100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5250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495.611858219498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445.481858219498</v>
      </c>
      <c r="B36" s="228" t="n">
        <f aca="false">IF(B26="YES", K42, "0.00")</f>
        <v>50.13</v>
      </c>
      <c r="C36" s="228"/>
      <c r="D36" s="228"/>
      <c r="E36" s="228" t="n">
        <f aca="false">K31</f>
        <v>5250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27450.8277595291</v>
      </c>
      <c r="N39" s="1" t="n">
        <f aca="false">K39-L39</f>
        <v>-9680.82775952915</v>
      </c>
      <c r="P39" s="208"/>
    </row>
    <row r="40" customFormat="false" ht="17.35" hidden="false" customHeight="false" outlineLevel="0" collapsed="false">
      <c r="A40" s="312" t="n">
        <f aca="false">E36*A45/100</f>
        <v>5250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4375</v>
      </c>
      <c r="L40" s="2" t="n">
        <f aca="false">K39-L39</f>
        <v>-9680.82775952915</v>
      </c>
      <c r="N40" s="1" t="n">
        <f aca="false">N38-N39</f>
        <v>12592.5077595291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3601.79648789393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14168.2035121061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445.481858219498</v>
      </c>
      <c r="L47" s="2" t="n">
        <f aca="false">L49-K42</f>
        <v>749.87</v>
      </c>
      <c r="M47" s="1" t="n">
        <f aca="false">K47-L47</f>
        <v>-304.388141780502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495.611858219498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495.611858219498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5924.36395028554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34076.7234354761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6794.31258127517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814.338793534307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445.481858219498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445.481858219498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495.611858219498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495.611858219498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130"/>
      <c r="D82" s="130"/>
      <c r="E82" s="109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5250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5250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130"/>
      <c r="D86" s="130"/>
      <c r="E86" s="109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3590.2262635627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3590.2262635627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18956.0111218103</v>
      </c>
      <c r="C88" s="130"/>
      <c r="D88" s="130"/>
      <c r="E88" s="109"/>
      <c r="F88" s="31" t="s">
        <v>112</v>
      </c>
      <c r="G88" s="33" t="n">
        <f aca="false">G81-G86</f>
        <v>18664.032537356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18617.5387364373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13644.2737364373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632.830264351999</v>
      </c>
      <c r="C89" s="130"/>
      <c r="D89" s="130"/>
      <c r="E89" s="109"/>
      <c r="F89" s="31" t="s">
        <v>113</v>
      </c>
      <c r="G89" s="33" t="n">
        <f aca="false">(G88/G87)</f>
        <v>602.522434030293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658.416988792871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482.535406800493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21516.228987968</v>
      </c>
      <c r="C90" s="130"/>
      <c r="D90" s="130"/>
      <c r="E90" s="109"/>
      <c r="F90" s="31" t="s">
        <v>114</v>
      </c>
      <c r="G90" s="33" t="n">
        <f aca="false">((G89*(G85))+G77)</f>
        <v>20485.76275703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22386.1776189576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16406.2038312167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21516.228987968</v>
      </c>
      <c r="C92" s="130"/>
      <c r="D92" s="130"/>
      <c r="E92" s="109"/>
      <c r="F92" s="56" t="s">
        <v>116</v>
      </c>
      <c r="G92" s="65" t="n">
        <f aca="false">(G90+G91)</f>
        <v>20485.76275703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22386.1776189576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16406.2038312167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632.830264351999</v>
      </c>
      <c r="C95" s="130"/>
      <c r="D95" s="130"/>
      <c r="E95" s="109"/>
      <c r="F95" s="91" t="s">
        <v>118</v>
      </c>
      <c r="G95" s="92" t="n">
        <f aca="false">G92/(G85)</f>
        <v>602.522434030293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658.416988792871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482.535406800493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694.755558469646</v>
      </c>
      <c r="C96" s="130"/>
      <c r="D96" s="130"/>
      <c r="E96" s="109"/>
      <c r="F96" s="93" t="s">
        <v>119</v>
      </c>
      <c r="G96" s="94" t="n">
        <f aca="false">G94+G95</f>
        <v>664.44772814794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720.342282910518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556.845759741669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632.830264351999</v>
      </c>
      <c r="B167" s="174" t="n">
        <f aca="false">B94</f>
        <v>61.9252941176471</v>
      </c>
      <c r="C167" s="171"/>
      <c r="D167" s="171"/>
      <c r="E167" s="174" t="n">
        <f aca="false">B96</f>
        <v>694.755558469646</v>
      </c>
      <c r="F167" s="23"/>
      <c r="G167" s="23" t="n">
        <f aca="false">ROUND(G95, 2)</f>
        <v>602.52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658.416988792871</v>
      </c>
      <c r="T167" s="174" t="n">
        <f aca="false">T94</f>
        <v>61.9252941176471</v>
      </c>
      <c r="U167" s="171"/>
      <c r="V167" s="171"/>
      <c r="W167" s="174" t="n">
        <f aca="false">T96</f>
        <v>720.342282910518</v>
      </c>
      <c r="X167" s="23"/>
      <c r="Y167" s="23"/>
      <c r="Z167" s="33"/>
      <c r="AB167" s="173" t="n">
        <f aca="false">AC95</f>
        <v>482.535406800493</v>
      </c>
      <c r="AC167" s="174" t="n">
        <f aca="false">AC94</f>
        <v>74.3103529411765</v>
      </c>
      <c r="AD167" s="171"/>
      <c r="AE167" s="171"/>
      <c r="AF167" s="174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5250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5250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5250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3756.62898796797</v>
      </c>
      <c r="B182" s="99" t="str">
        <f aca="false">B114</f>
        <v>199.99</v>
      </c>
      <c r="C182" s="99"/>
      <c r="D182" s="23"/>
      <c r="E182" s="99" t="n">
        <f aca="false">E179+A182+(B182*1.2)+A185</f>
        <v>27016.216987968</v>
      </c>
      <c r="F182" s="23"/>
      <c r="G182" s="23"/>
      <c r="H182" s="101"/>
      <c r="J182" s="107" t="n">
        <f aca="false">(J167*K59)+N185-N179-J185</f>
        <v>18399.5844731586</v>
      </c>
      <c r="K182" s="99" t="n">
        <f aca="false">K114</f>
        <v>239.99</v>
      </c>
      <c r="L182" s="99"/>
      <c r="M182" s="23"/>
      <c r="N182" s="99" t="n">
        <f aca="false">N179+J182+K182+J185</f>
        <v>55178.5784731586</v>
      </c>
      <c r="O182" s="23"/>
      <c r="P182" s="23"/>
      <c r="Q182" s="101"/>
      <c r="S182" s="107" t="n">
        <f aca="false">(S167*T59)+W185-W179-S185</f>
        <v>5428.41261895761</v>
      </c>
      <c r="T182" s="99" t="n">
        <f aca="false">T114</f>
        <v>199.99</v>
      </c>
      <c r="U182" s="99"/>
      <c r="V182" s="23"/>
      <c r="W182" s="99" t="n">
        <f aca="false">W179+S182+T182+S185</f>
        <v>27846.1676189576</v>
      </c>
      <c r="X182" s="23"/>
      <c r="Y182" s="23"/>
      <c r="Z182" s="101"/>
      <c r="AB182" s="107" t="n">
        <f aca="false">(AB167*AC59)+AF185-AF179-AB185</f>
        <v>4421.70383121675</v>
      </c>
      <c r="AC182" s="99" t="n">
        <f aca="false">AC114</f>
        <v>239.99</v>
      </c>
      <c r="AD182" s="99"/>
      <c r="AE182" s="23"/>
      <c r="AF182" s="99" t="n">
        <f aca="false">AF179+AB182+AC182+AB185</f>
        <v>21906.1938312167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5260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5270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5260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5260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35.091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322.832944444444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694.755558469646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2726.08</v>
      </c>
      <c r="B201" s="183" t="n">
        <f aca="false">E179+A201+(B182*1.2)+A185</f>
        <v>25985.668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632.830264351999</v>
      </c>
      <c r="B212" s="174" t="n">
        <f aca="false">B167</f>
        <v>61.9252941176471</v>
      </c>
      <c r="C212" s="171"/>
      <c r="D212" s="171"/>
      <c r="E212" s="174" t="n">
        <f aca="false">E167</f>
        <v>694.755558469646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3756.62898796797</v>
      </c>
      <c r="B224" s="99" t="str">
        <f aca="false">B182</f>
        <v>199.99</v>
      </c>
      <c r="C224" s="99"/>
      <c r="D224" s="109"/>
      <c r="E224" s="99" t="n">
        <f aca="false">E182</f>
        <v>27016.216987968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632.830264351999</v>
      </c>
      <c r="B230" s="99" t="n">
        <f aca="false">B167</f>
        <v>61.9252941176471</v>
      </c>
      <c r="C230" s="183"/>
      <c r="D230" s="183"/>
      <c r="E230" s="99" t="n">
        <f aca="false">E167</f>
        <v>694.755558469646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5250</v>
      </c>
      <c r="B233" s="99" t="n">
        <f aca="false">E185</f>
        <v>5260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35.091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3865.83294444444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1040.54898796797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450.9</v>
      </c>
      <c r="C255" s="194"/>
      <c r="D255" s="195" t="s">
        <v>215</v>
      </c>
      <c r="E255" s="195"/>
      <c r="F255" s="196" t="n">
        <f aca="false">(B254-F254)+B255</f>
        <v>1266.14665463464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1040.54898796797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1266.14665463464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19575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19575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-677.948063005534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19575</v>
      </c>
      <c r="F9" s="63"/>
      <c r="G9" s="454" t="n">
        <f aca="false">E9-G11</f>
        <v>-132708.333333333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4054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24654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24324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24654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8850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1052.92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728.803333508501</v>
      </c>
      <c r="E33" s="212"/>
      <c r="F33" s="63"/>
      <c r="G33" s="215" t="s">
        <v>352</v>
      </c>
      <c r="H33" s="460" t="n">
        <f aca="false">E21-E11+((E16*20%)+(E19*20%)+(E20*20%))</f>
        <v>20600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680.943333508501</v>
      </c>
      <c r="B36" s="99" t="n">
        <f aca="false">IF(B26="YES", H42, "")</f>
        <v>47.86</v>
      </c>
      <c r="C36" s="217"/>
      <c r="D36" s="181" t="n">
        <f aca="false">H31</f>
        <v>8850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20600</v>
      </c>
      <c r="I39" s="234" t="n">
        <f aca="false">(I48*H46)+H44</f>
        <v>34485.0541056371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8850</v>
      </c>
      <c r="B40" s="103" t="n">
        <f aca="false">IF(B26="YES",H42,"0")</f>
        <v>47.86</v>
      </c>
      <c r="C40" s="103"/>
      <c r="D40" s="181" t="n">
        <f aca="false">I32</f>
        <v>1052.92</v>
      </c>
      <c r="E40" s="212"/>
      <c r="F40" s="63"/>
      <c r="G40" s="63" t="s">
        <v>106</v>
      </c>
      <c r="H40" s="234" t="n">
        <f aca="false">(A40)/1.2</f>
        <v>7375</v>
      </c>
      <c r="I40" s="234" t="n">
        <f aca="false">H39-I39</f>
        <v>-13885.0541056371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47.86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6513.31646794138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14086.6835320586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680.943333508501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728.803333508501</v>
      </c>
      <c r="I48" s="234" t="n">
        <f aca="false">I49-H42</f>
        <v>1352.14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728.803333508501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24324</v>
      </c>
      <c r="C61" s="211"/>
      <c r="D61" s="211"/>
      <c r="E61" s="212"/>
      <c r="F61" s="63"/>
      <c r="G61" s="210" t="s">
        <v>14</v>
      </c>
      <c r="H61" s="290" t="n">
        <f aca="false">G18</f>
        <v>24324</v>
      </c>
      <c r="I61" s="211"/>
      <c r="J61" s="211"/>
      <c r="K61" s="212"/>
      <c r="L61" s="63"/>
      <c r="M61" s="210" t="s">
        <v>14</v>
      </c>
      <c r="N61" s="290" t="n">
        <f aca="false">G18</f>
        <v>24324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2057.405</v>
      </c>
      <c r="C64" s="211" t="n">
        <v>10000</v>
      </c>
      <c r="D64" s="290" t="n">
        <f aca="false">B64-A143</f>
        <v>2057.405</v>
      </c>
      <c r="E64" s="466" t="n">
        <f aca="false">D64/(B58+B57)</f>
        <v>93.5184090909091</v>
      </c>
      <c r="F64" s="63"/>
      <c r="G64" s="284" t="s">
        <v>90</v>
      </c>
      <c r="H64" s="129" t="n">
        <f aca="false">H61*H63</f>
        <v>2057.405</v>
      </c>
      <c r="I64" s="211"/>
      <c r="J64" s="290" t="n">
        <f aca="false">H64-G145</f>
        <v>2057.405</v>
      </c>
      <c r="K64" s="212"/>
      <c r="L64" s="63"/>
      <c r="M64" s="284" t="s">
        <v>90</v>
      </c>
      <c r="N64" s="129" t="n">
        <f aca="false">N61*N63</f>
        <v>2057.405</v>
      </c>
      <c r="O64" s="211"/>
      <c r="P64" s="290" t="n">
        <f aca="false">N64-M145</f>
        <v>2057.405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349.265</v>
      </c>
      <c r="C67" s="211"/>
      <c r="D67" s="290"/>
      <c r="E67" s="212"/>
      <c r="F67" s="63"/>
      <c r="G67" s="284" t="s">
        <v>93</v>
      </c>
      <c r="H67" s="129" t="n">
        <f aca="false">(H61*H66)/1.2</f>
        <v>287.158333333333</v>
      </c>
      <c r="I67" s="211"/>
      <c r="J67" s="290"/>
      <c r="K67" s="212"/>
      <c r="L67" s="63"/>
      <c r="M67" s="284" t="s">
        <v>93</v>
      </c>
      <c r="N67" s="129" t="n">
        <f aca="false">(N61*N66)/1.2</f>
        <v>287.158333333333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32.2727272727273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3434.07166666667</v>
      </c>
      <c r="C81" s="211"/>
      <c r="D81" s="211"/>
      <c r="E81" s="466"/>
      <c r="F81" s="63"/>
      <c r="G81" s="302" t="s">
        <v>102</v>
      </c>
      <c r="H81" s="303" t="n">
        <f aca="false">SUM(J64:J80)</f>
        <v>2867.655</v>
      </c>
      <c r="I81" s="211"/>
      <c r="J81" s="211"/>
      <c r="K81" s="212"/>
      <c r="L81" s="63"/>
      <c r="M81" s="302" t="s">
        <v>102</v>
      </c>
      <c r="N81" s="303" t="n">
        <f aca="false">SUM(P64:P80)</f>
        <v>2716.405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156.094166666667</v>
      </c>
      <c r="C82" s="211"/>
      <c r="D82" s="211"/>
      <c r="E82" s="466"/>
      <c r="F82" s="63"/>
      <c r="G82" s="210" t="s">
        <v>103</v>
      </c>
      <c r="H82" s="299" t="n">
        <f aca="false">H81/H29</f>
        <v>130.347954545455</v>
      </c>
      <c r="I82" s="211"/>
      <c r="J82" s="211"/>
      <c r="K82" s="212"/>
      <c r="L82" s="63"/>
      <c r="M82" s="210" t="s">
        <v>103</v>
      </c>
      <c r="N82" s="299" t="n">
        <f aca="false">N81/H29</f>
        <v>123.472954545455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680.943333508501</v>
      </c>
      <c r="C83" s="211"/>
      <c r="D83" s="211"/>
      <c r="E83" s="466" t="n">
        <f aca="false">B83+E80+E77+E64</f>
        <v>826.936490074157</v>
      </c>
      <c r="F83" s="63"/>
      <c r="G83" s="304" t="s">
        <v>104</v>
      </c>
      <c r="H83" s="305" t="n">
        <f aca="false">H47</f>
        <v>680.943333508501</v>
      </c>
      <c r="I83" s="211"/>
      <c r="J83" s="211"/>
      <c r="K83" s="212"/>
      <c r="L83" s="63"/>
      <c r="M83" s="304" t="s">
        <v>104</v>
      </c>
      <c r="N83" s="305" t="n">
        <f aca="false">H47</f>
        <v>680.943333508501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22097.7900046244</v>
      </c>
      <c r="C85" s="211"/>
      <c r="D85" s="211"/>
      <c r="E85" s="466" t="n">
        <f aca="false">B85/(B58+B57)</f>
        <v>1004.4450002102</v>
      </c>
      <c r="F85" s="63"/>
      <c r="G85" s="287" t="s">
        <v>114</v>
      </c>
      <c r="H85" s="127" t="n">
        <f aca="false">((H83*H29)+H81)*1.2</f>
        <v>21418.0900046244</v>
      </c>
      <c r="I85" s="211"/>
      <c r="J85" s="211"/>
      <c r="K85" s="212"/>
      <c r="L85" s="63"/>
      <c r="M85" s="287" t="s">
        <v>114</v>
      </c>
      <c r="N85" s="127" t="n">
        <f aca="false">((N83*H29)+N81)</f>
        <v>17697.158337187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155.994887083876</v>
      </c>
      <c r="C86" s="211"/>
      <c r="D86" s="211"/>
      <c r="E86" s="466" t="n">
        <f aca="false">B86/(B58+B57)</f>
        <v>7.09067668563071</v>
      </c>
      <c r="F86" s="63"/>
      <c r="G86" s="210" t="s">
        <v>115</v>
      </c>
      <c r="H86" s="299" t="n">
        <f aca="false">((((H83*H29)+H81))/(1-H70))*H70</f>
        <v>151.196682162536</v>
      </c>
      <c r="I86" s="211"/>
      <c r="J86" s="211"/>
      <c r="K86" s="212"/>
      <c r="L86" s="63"/>
      <c r="M86" s="210" t="s">
        <v>115</v>
      </c>
      <c r="N86" s="299" t="n">
        <f aca="false">(N85/(1-N70))*N70</f>
        <v>149.915419556647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22253.7848917083</v>
      </c>
      <c r="C87" s="211"/>
      <c r="D87" s="211"/>
      <c r="E87" s="466" t="n">
        <f aca="false">E86+E85</f>
        <v>1011.53567689583</v>
      </c>
      <c r="F87" s="63"/>
      <c r="G87" s="284" t="s">
        <v>116</v>
      </c>
      <c r="H87" s="129" t="n">
        <f aca="false">IF(H110="YES",((H85+H86)-K114),(H85+H86))</f>
        <v>21569.286686787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17847.0737567437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74.6616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56.1557333333333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46.7964444444444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1011.53567689583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798.862469880998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661.002731731247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1086.19727689583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855.018203214332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707.799176175691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798.862469880998</v>
      </c>
      <c r="H127" s="174" t="n">
        <f aca="false">IF(G105="YES", H89*H57, 0)</f>
        <v>336.9344</v>
      </c>
      <c r="I127" s="174"/>
      <c r="J127" s="333" t="n">
        <f aca="false">H91</f>
        <v>855.018203214332</v>
      </c>
      <c r="K127" s="212"/>
      <c r="L127" s="63"/>
      <c r="M127" s="332" t="n">
        <f aca="false">N90</f>
        <v>661.002731731247</v>
      </c>
      <c r="N127" s="174" t="n">
        <f aca="false">IF(M105="YES", N89*N57, 0)</f>
        <v>280.778666666667</v>
      </c>
      <c r="O127" s="174"/>
      <c r="P127" s="174" t="n">
        <f aca="false">N91</f>
        <v>707.799176175691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1011.53567689583</v>
      </c>
      <c r="B128" s="320" t="n">
        <f aca="false">IF(A105="YES", B89, 0)</f>
        <v>74.6616</v>
      </c>
      <c r="C128" s="324"/>
      <c r="D128" s="320" t="n">
        <f aca="false">B91</f>
        <v>1086.19727689583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9103.82109206248</v>
      </c>
      <c r="C131" s="316"/>
      <c r="D131" s="38" t="n">
        <f aca="false">IF(A105="YES", B89*B57, 0)</f>
        <v>671.9544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4793.17481928599</v>
      </c>
      <c r="H133" s="99" t="n">
        <f aca="false">IF(G105="YES", H89*H57, 0)</f>
        <v>336.9344</v>
      </c>
      <c r="I133" s="217"/>
      <c r="J133" s="181" t="n">
        <f aca="false">H91*H57</f>
        <v>5130.10921928599</v>
      </c>
      <c r="K133" s="212"/>
      <c r="L133" s="63"/>
      <c r="M133" s="182" t="n">
        <f aca="false">N90*N57</f>
        <v>3966.01639038748</v>
      </c>
      <c r="N133" s="99" t="n">
        <f aca="false">IF(M105="YES", N89*N57, 0)</f>
        <v>280.778666666667</v>
      </c>
      <c r="O133" s="217"/>
      <c r="P133" s="181" t="n">
        <f aca="false">N91*N57</f>
        <v>4246.79505705415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9775.77549206248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0.147924</v>
      </c>
      <c r="H136" s="99" t="n">
        <f aca="false">IF(G105="YES", E15*0.000002, 0)</f>
        <v>0.049308</v>
      </c>
      <c r="I136" s="99"/>
      <c r="J136" s="99" t="n">
        <f aca="false">G136+H136</f>
        <v>0.197232</v>
      </c>
      <c r="K136" s="101"/>
      <c r="L136" s="63"/>
      <c r="M136" s="107" t="n">
        <f aca="false">E15*0.000006</f>
        <v>0.147924</v>
      </c>
      <c r="N136" s="99" t="n">
        <f aca="false">IF(M105="YES", E15*0.000002, 0)</f>
        <v>0.049308</v>
      </c>
      <c r="O136" s="99"/>
      <c r="P136" s="99" t="n">
        <f aca="false">M136+N136</f>
        <v>0.197232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1011.53567689583</v>
      </c>
      <c r="B137" s="38" t="n">
        <f aca="false">IF(A105="YES", B89, 0)</f>
        <v>74.6616</v>
      </c>
      <c r="C137" s="316"/>
      <c r="D137" s="38" t="n">
        <f aca="false">B91</f>
        <v>1086.19727689583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287.158333333333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287.158333333333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17.51328</v>
      </c>
      <c r="B140" s="342" t="n">
        <f aca="false">IF(A105="YES", G18*0.000002, 0)*1.2*100</f>
        <v>5.83776</v>
      </c>
      <c r="C140" s="316"/>
      <c r="D140" s="342" t="n">
        <f aca="false">A140+B140</f>
        <v>23.35104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21.0584</v>
      </c>
      <c r="H142" s="99" t="n">
        <f aca="false">G102-100</f>
        <v>99.99</v>
      </c>
      <c r="I142" s="99"/>
      <c r="J142" s="99" t="n">
        <f aca="false">(H139+J139+G142+H142)-H145</f>
        <v>408.206733333333</v>
      </c>
      <c r="K142" s="101"/>
      <c r="L142" s="63"/>
      <c r="M142" s="107" t="n">
        <f aca="false">IF(M105="YES", ((B36*N105)*0.1)*(M130), 0)</f>
        <v>21.0584</v>
      </c>
      <c r="N142" s="99" t="n">
        <f aca="false">M102-100</f>
        <v>99.99</v>
      </c>
      <c r="O142" s="99"/>
      <c r="P142" s="99" t="n">
        <f aca="false">(N139+P139+M142+N142)-N145</f>
        <v>408.206733333333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349.265</v>
      </c>
      <c r="B148" s="38" t="n">
        <f aca="false">B102</f>
        <v>400</v>
      </c>
      <c r="C148" s="38"/>
      <c r="D148" s="38" t="n">
        <f aca="false">IF(A105="YES", (B40*B105)*B125, 0)*0.1</f>
        <v>31.5876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880.844266666667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855.018203214332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707.799176175691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1086.19727689583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1011.53567689583</v>
      </c>
      <c r="B177" s="354" t="n">
        <f aca="false">IF(A105="YES", B89, 0)</f>
        <v>74.6616</v>
      </c>
      <c r="C177" s="356"/>
      <c r="D177" s="354" t="n">
        <f aca="false">B91</f>
        <v>1086.19727689583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9103.82109206248</v>
      </c>
      <c r="C180" s="352"/>
      <c r="D180" s="99" t="n">
        <f aca="false">IF(A105="YES", B89*B57, 0)</f>
        <v>671.9544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9775.77549206248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1011.53567689583</v>
      </c>
      <c r="B186" s="99" t="n">
        <f aca="false">IF(A105="YES", B89, 0)</f>
        <v>74.6616</v>
      </c>
      <c r="C186" s="352"/>
      <c r="D186" s="99" t="n">
        <f aca="false">B91</f>
        <v>1086.19727689583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17.51328</v>
      </c>
      <c r="B189" s="364" t="n">
        <f aca="false">IF(A105="YES", G18*0.000002, 0)*1.2*100</f>
        <v>5.83776</v>
      </c>
      <c r="C189" s="352"/>
      <c r="D189" s="364" t="n">
        <f aca="false">A189+B189</f>
        <v>23.35104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349.265</v>
      </c>
      <c r="B197" s="99" t="n">
        <f aca="false">B102</f>
        <v>400</v>
      </c>
      <c r="C197" s="99"/>
      <c r="D197" s="99" t="n">
        <f aca="false">IF(A105="YES", (B40*B105)*B125, 0)*0.1</f>
        <v>31.5876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880.844266666667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2057.405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349.265</v>
      </c>
      <c r="C211" s="319" t="s">
        <v>214</v>
      </c>
      <c r="D211" s="369" t="n">
        <f aca="false">B225+E221+B221+B223</f>
        <v>655.867666666667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2364.00766666667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2057.405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349.265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2364.00766666667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315.876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155.994887083876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1754.55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383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1876.1668</v>
      </c>
      <c r="C6" s="290" t="n">
        <f aca="false">(C3*C4/100)+C5</f>
        <v>0</v>
      </c>
      <c r="D6" s="290" t="n">
        <f aca="false">(D3*D4/100)+D5</f>
        <v>36.3332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44978.0032</v>
      </c>
      <c r="C7" s="290" t="n">
        <f aca="false">C3-C6</f>
        <v>0</v>
      </c>
      <c r="D7" s="290" t="n">
        <f aca="false">D3-D6</f>
        <v>796.9968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45775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45785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9157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55582</v>
      </c>
      <c r="F15" s="63"/>
      <c r="G15" s="273" t="n">
        <f aca="false">E15</f>
        <v>55582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57237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55578.4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57237</v>
      </c>
      <c r="C61" s="211"/>
      <c r="D61" s="211"/>
      <c r="E61" s="212"/>
      <c r="F61" s="63"/>
      <c r="G61" s="210" t="s">
        <v>14</v>
      </c>
      <c r="H61" s="290" t="n">
        <f aca="false">G18</f>
        <v>57237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4006.59</v>
      </c>
      <c r="C64" s="211" t="n">
        <v>10000.0</v>
      </c>
      <c r="D64" s="290" t="n">
        <f aca="false">B64</f>
        <v>4006.59</v>
      </c>
      <c r="E64" s="212"/>
      <c r="F64" s="63"/>
      <c r="G64" s="284" t="s">
        <v>90</v>
      </c>
      <c r="H64" s="129" t="n">
        <f aca="false">H61*H63</f>
        <v>4006.59</v>
      </c>
      <c r="I64" s="211"/>
      <c r="J64" s="290" t="n">
        <f aca="false">H64</f>
        <v>4006.59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572.37</v>
      </c>
      <c r="C67" s="211"/>
      <c r="D67" s="290"/>
      <c r="E67" s="212"/>
      <c r="F67" s="63"/>
      <c r="G67" s="284" t="s">
        <v>93</v>
      </c>
      <c r="H67" s="129" t="n">
        <f aca="false">H61*H66</f>
        <v>286.185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5333.25666666667</v>
      </c>
      <c r="C81" s="211"/>
      <c r="D81" s="211"/>
      <c r="E81" s="212"/>
      <c r="F81" s="63"/>
      <c r="G81" s="302" t="s">
        <v>102</v>
      </c>
      <c r="H81" s="303" t="n">
        <f aca="false">SUM(J64:J80)</f>
        <v>5660.17333333333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444.438055555556</v>
      </c>
      <c r="C82" s="211"/>
      <c r="D82" s="211"/>
      <c r="E82" s="212"/>
      <c r="F82" s="63"/>
      <c r="G82" s="210" t="s">
        <v>103</v>
      </c>
      <c r="H82" s="299" t="n">
        <f aca="false">H81/H29</f>
        <v>471.681111111111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11345.2566666667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14006.608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96.1074586526826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98.8768212989109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11441.3641253194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14005.4948212989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953.447010443279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1167.12456844158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1013.44701044328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1239.12456844158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384</v>
      </c>
      <c r="B105" s="311" t="n">
        <v>20.0</v>
      </c>
      <c r="C105" s="311"/>
      <c r="D105" s="103" t="s">
        <v>386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385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953.447010443279</v>
      </c>
      <c r="B128" s="320" t="n">
        <f aca="false">IF(A105="YES", B89, 0)</f>
        <v>60</v>
      </c>
      <c r="C128" s="325"/>
      <c r="D128" s="320" t="n">
        <f aca="false">B91</f>
        <v>1013.44701044328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1167.12456844158</v>
      </c>
      <c r="H130" s="174" t="n">
        <f aca="false">IF(G105="YES", H89*H57, 0)</f>
        <v>72</v>
      </c>
      <c r="I130" s="174"/>
      <c r="J130" s="333" t="n">
        <f aca="false">H91</f>
        <v>1239.12456844158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8581.02309398951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1167.12456844158</v>
      </c>
      <c r="H133" s="99" t="n">
        <f aca="false">IF(G105="YES", H89*H57, 0)</f>
        <v>72</v>
      </c>
      <c r="I133" s="217"/>
      <c r="J133" s="181" t="n">
        <f aca="false">H91*H57</f>
        <v>1239.12456844158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9121.02309398951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0.333492</v>
      </c>
      <c r="H136" s="99" t="n">
        <f aca="false">IF(G105="YES", E15*0.000002, 0)</f>
        <v>0.111164</v>
      </c>
      <c r="I136" s="99"/>
      <c r="J136" s="99" t="n">
        <f aca="false">G136+H136</f>
        <v>0.444656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953.447010443279</v>
      </c>
      <c r="B137" s="38" t="n">
        <f aca="false">IF(A105="YES", B89, 0)</f>
        <v>60</v>
      </c>
      <c r="C137" s="316"/>
      <c r="D137" s="38" t="n">
        <f aca="false">B91</f>
        <v>1013.44701044328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286.185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41.21064</v>
      </c>
      <c r="B140" s="342" t="n">
        <f aca="false">G18*0.000002 *1.2*100</f>
        <v>13.73688</v>
      </c>
      <c r="C140" s="316"/>
      <c r="D140" s="342" t="n">
        <f aca="false">A140+B140</f>
        <v>54.94752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1513.373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572.37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1084.36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1239.12456844158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1013.44701044328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953.447010443279</v>
      </c>
      <c r="B171" s="354" t="n">
        <f aca="false">IF(A105="YES", B89, 0)</f>
        <v>60</v>
      </c>
      <c r="C171" s="357"/>
      <c r="D171" s="354" t="n">
        <f aca="false">B91</f>
        <v>1013.44701044328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8581.02309398951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9121.02309398951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953.447010443279</v>
      </c>
      <c r="B180" s="99" t="n">
        <f aca="false">IF(A105="YES", B89, 0)</f>
        <v>60</v>
      </c>
      <c r="C180" s="352"/>
      <c r="D180" s="99" t="n">
        <f aca="false">B91</f>
        <v>1013.44701044328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41.21064</v>
      </c>
      <c r="B183" s="364" t="n">
        <f aca="false">G18*0.000002 *1.2*100</f>
        <v>13.73688</v>
      </c>
      <c r="C183" s="352"/>
      <c r="D183" s="364" t="n">
        <f aca="false">A183+B183</f>
        <v>54.94752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572.37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1084.36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4006.59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572.37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3894.21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4006.59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572.37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3894.21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2023-07-10T15:36:37Z</dcterms:modified>
  <cp:revision>817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