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<sst xmlns="http://schemas.openxmlformats.org/spreadsheetml/2006/main" count="32307" uniqueCount="396">
  <si>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</si>
  <si>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</si>
  <si>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</si>
  <si>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</si>
  <si>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</si>
  <si>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</si>
  <si>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</si>
  <si>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</si>
  <si>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</si>
  <si>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</si>
  <si>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</si>
  <si>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</si>
  <si>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</si>
  <si>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</si>
  <si>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</si>
  <si>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</si>
  <si>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</si>
  <si>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</si>
  <si>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</si>
  <si>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</si>
  <si>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</si>
  <si>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</si>
  <si>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</si>
  <si>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</si>
  <si>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</si>
  <si>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</si>
  <si>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</si>
  <si>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</si>
  <si>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</si>
  <si>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</si>
  <si>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</si>
  <si>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</si>
  <si>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</si>
  <si>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</si>
  <si>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</si>
  <si>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</si>
  <si>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</si>
  <si>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</si>
  <si>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</si>
  <si>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</si>
  <si>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</si>
  <si>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</si>
  <si>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</si>
  <si>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</si>
  <si>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</si>
  <si>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</si>
  <si>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</si>
  <si>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</si>
  <si>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</si>
  <si>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</si>
  <si>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</si>
  <si>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</si>
  <si>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</si>
  <si>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</si>
  <si>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</si>
  <si>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</si>
  <si>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</si>
  <si>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</si>
  <si>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</si>
  <si>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</si>
  <si>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</si>
  <si>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</si>
  <si>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</si>
  <si>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</si>
  <si>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</si>
  <si>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</si>
  <si>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</si>
  <si>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</si>
  <si>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</si>
  <si>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</si>
  <si>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</si>
  <si>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</si>
  <si>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</si>
  <si>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</si>
  <si>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</si>
  <si>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</si>
  <si>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</si>
  <si>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</si>
  <si>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</si>
  <si>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</si>
  <si>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</si>
  <si>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</si>
  <si>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</si>
  <si>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</si>
  <si>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</si>
  <si>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</si>
  <si>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</si>
  <si>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</si>
  <si>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</si>
  <si>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</si>
  <si>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</si>
  <si>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</si>
  <si>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</si>
  <si>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</si>
  <si>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</si>
  <si>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</si>
  <si>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</si>
  <si>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</si>
  <si>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</si>
  <si>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</si>
  <si>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</si>
  <si>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</si>
  <si>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</si>
  <si>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</si>
  <si>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</si>
  <si>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</si>
  <si>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</si>
  <si>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</si>
  <si>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</si>
  <si>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</si>
  <si>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</si>
  <si>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</si>
  <si>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</si>
  <si>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</si>
  <si>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</si>
  <si>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</si>
  <si>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</si>
  <si>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</si>
  <si>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</si>
  <si>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</si>
  <si>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</si>
  <si>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</si>
  <si>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</si>
  <si>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</si>
  <si>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</si>
  <si>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</si>
  <si>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</si>
  <si>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</si>
  <si>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</si>
  <si>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</si>
  <si>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</si>
  <si>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</si>
  <si>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</si>
  <si>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</si>
  <si>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</si>
  <si>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</si>
  <si>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</si>
  <si>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</si>
  <si>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</si>
  <si>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</si>
  <si>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</si>
  <si>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</si>
  <si>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</si>
  <si>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</si>
  <si>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</si>
  <si>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</si>
  <si>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</si>
  <si>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</si>
  <si>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</si>
  <si>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</si>
  <si>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</si>
  <si>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</si>
  <si>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</si>
  <si>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</si>
  <si>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</si>
  <si>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</si>
  <si>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</si>
  <si>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</si>
  <si>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</si>
  <si>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</si>
  <si>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</si>
  <si>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</si>
  <si>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</si>
  <si>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</si>
  <si>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</si>
  <si>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</si>
  <si>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</si>
  <si>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</si>
  <si>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</si>
  <si>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</si>
  <si>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</si>
  <si>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</si>
  <si>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</si>
  <si>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</si>
  <si>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</si>
  <si>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</si>
  <si>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</si>
  <si>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</si>
  <si>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</si>
  <si>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</si>
  <si>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</si>
  <si>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</si>
  <si>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</si>
  <si>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</si>
  <si>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</si>
  <si>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</si>
  <si>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</si>
  <si>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</si>
  <si>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</si>
  <si>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</si>
  <si>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</si>
  <si>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</si>
  <si>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</si>
  <si>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</si>
  <si>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</si>
  <si>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</si>
  <si>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</si>
  <si>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</si>
  <si>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</si>
  <si>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</si>
  <si>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</si>
  <si>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</si>
  <si>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</si>
  <si>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</si>
  <si>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</si>
  <si>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</si>
  <si>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</si>
  <si>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</si>
  <si>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</si>
  <si>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</si>
  <si>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</si>
  <si>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</si>
  <si>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</si>
  <si>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</si>
  <si>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</si>
  <si>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</si>
  <si>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</si>
  <si>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</si>
  <si>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</si>
  <si>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</si>
  <si>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</si>
  <si>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</si>
  <si>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</si>
  <si>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</si>
  <si>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</si>
  <si>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</si>
  <si>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</si>
  <si>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</si>
  <si>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</si>
  <si>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</si>
  <si>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</si>
  <si>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</si>
  <si>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</si>
  <si>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</si>
  <si>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</si>
  <si>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</si>
  <si>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</si>
  <si>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</si>
  <si>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</si>
  <si>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</si>
  <si>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</si>
  <si>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</si>
  <si>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</si>
  <si>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</si>
  <si>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20500.00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</si>
  <si>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</si>
  <si>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</si>
  <si>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</si>
  <si>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</si>
  <si>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</si>
  <si>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</si>
  <si>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</si>
  <si>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</si>
  <si>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</si>
  <si>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</si>
  <si>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</si>
  <si>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</si>
  <si>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</si>
  <si>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</si>
  <si>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</si>
  <si>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</si>
  <si>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</si>
  <si>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</si>
  <si>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</si>
  <si>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</si>
  <si>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</si>
  <si>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</si>
  <si>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</si>
  <si>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</si>
  <si>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</si>
  <si>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</si>
  <si>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</si>
  <si>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</si>
  <si>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</si>
  <si>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</si>
  <si>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</si>
  <si>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</si>
  <si>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</si>
  <si>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</si>
  <si>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</si>
  <si>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</si>
  <si>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</si>
  <si>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</si>
  <si>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</si>
  <si>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</si>
  <si>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</si>
  <si>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</si>
  <si>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</si>
  <si>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</si>
  <si>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</si>
  <si>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</si>
  <si>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</si>
  <si>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</si>
  <si>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</si>
  <si>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</si>
  <si>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</si>
  <si>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</si>
  <si>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</si>
  <si>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</si>
  <si>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</si>
  <si>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</si>
  <si>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</si>
  <si>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</si>
  <si>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</si>
  <si>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</si>
  <si>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</si>
  <si>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</si>
  <si>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</si>
  <si>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</si>
  <si>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</si>
  <si>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</si>
  <si>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</si>
  <si>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</si>
  <si>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</si>
  <si>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</si>
  <si>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</si>
  <si>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</si>
  <si>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</si>
  <si>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</si>
  <si>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</si>
  <si>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</si>
  <si>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</si>
  <si>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</si>
  <si>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</si>
  <si>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</si>
  <si>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</si>
  <si>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</si>
  <si>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</si>
  <si>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</si>
  <si>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</si>
  <si>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</si>
  <si>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</si>
  <si>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</si>
  <si>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</si>
  <si>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</si>
  <si>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</si>
  <si>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</si>
  <si>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</si>
  <si>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</si>
  <si>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</si>
  <si>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</si>
  <si>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</si>
  <si>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</si>
  <si>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</si>
  <si>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</si>
  <si>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</si>
  <si>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</si>
  <si>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</si>
  <si>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60</t>
  </si>
  <si>
    <t xml:space="preserve">2</t>
  </si>
  <si>
    <t xml:space="preserve">1</t>
  </si>
  <si>
    <t xml:space="preserve">Customer Quote – Finance Lease</t>
  </si>
  <si>
    <t xml:space="preserve">0</t>
  </si>
  <si>
    <t xml:space="preserve">9.00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</si>
  <si>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</si>
  <si>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</si>
  <si>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</si>
  <si>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</si>
  <si>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</si>
  <si>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</si>
  <si>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</si>
  <si>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</si>
  <si>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</si>
  <si>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</si>
  <si>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</si>
  <si>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</si>
  <si>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</si>
  <si>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</si>
  <si>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</si>
  <si>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</si>
  <si>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</si>
  <si>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</si>
  <si>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</si>
  <si>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</si>
  <si>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</si>
  <si>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</si>
  <si>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</si>
  <si>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</si>
  <si>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</si>
  <si>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</si>
  <si>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22000.00</t>
  </si>
  <si>
    <t xml:space="preserve">OTR Calculation</t>
  </si>
  <si>
    <t xml:space="preserve">660.00</t>
  </si>
  <si>
    <t xml:space="preserve">48937.50</t>
  </si>
  <si>
    <t xml:space="preserve">4.38</t>
  </si>
  <si>
    <t xml:space="preserve">5.28</t>
  </si>
  <si>
    <t xml:space="preserve">48887.50</t>
  </si>
  <si>
    <t xml:space="preserve">470.00</t>
  </si>
  <si>
    <t xml:space="preserve">RFL included?</t>
  </si>
  <si>
    <t>YES</t>
  </si>
  <si>
    <t>0</t>
  </si>
  <si>
    <t>100</t>
  </si>
  <si>
    <t>NO</t>
  </si>
  <si>
    <t>60</t>
  </si>
  <si>
    <t>Limited Credit</t>
  </si>
  <si>
    <t>199.99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</si>
</sst>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19958.33</v>
      </c>
      <c r="C2" s="4" t="s">
        <v>2</v>
      </c>
      <c r="D2" s="5" t="n">
        <f aca="false">C9</f>
        <v>3991.666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23949.996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19958.33</v>
      </c>
      <c r="C9" s="14" t="n">
        <f aca="false">B9*0.2</f>
        <v>3991.666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19958.33</v>
      </c>
      <c r="C15" s="14" t="n">
        <f aca="false">SUM(C9:C13)</f>
        <v>3991.666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23949.996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19958.33</v>
      </c>
      <c r="B37" s="32"/>
      <c r="C37" s="41" t="s">
        <v>45</v>
      </c>
      <c r="D37" s="41"/>
      <c r="E37" s="32"/>
      <c r="F37" s="43" t="n">
        <f aca="false">A37-C37</f>
        <v>18958.33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249.3055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250.6945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253.361166666667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253.361166666667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253.361166666667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13686.8418865263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131.25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253.361166666667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253.361166666667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253.361166666667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18958.33</v>
      </c>
      <c r="C90" s="32"/>
      <c r="D90" s="32"/>
      <c r="E90" s="23"/>
      <c r="F90" s="25" t="s">
        <v>105</v>
      </c>
      <c r="G90" s="27" t="n">
        <f aca="false">F37</f>
        <v>18958.33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0.1475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0.0122916666666667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6218.19813516518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10.2301677524304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12740.1318648348</v>
      </c>
      <c r="C97" s="32"/>
      <c r="D97" s="32"/>
      <c r="E97" s="23"/>
      <c r="F97" s="31" t="s">
        <v>112</v>
      </c>
      <c r="G97" s="33" t="n">
        <f aca="false">G90-G95</f>
        <v>12210.260698559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1245.34926241148</v>
      </c>
      <c r="C98" s="32"/>
      <c r="D98" s="32"/>
      <c r="E98" s="23"/>
      <c r="F98" s="31" t="s">
        <v>113</v>
      </c>
      <c r="G98" s="33" t="n">
        <f aca="false">(G97/G96)</f>
        <v>1146.42425599175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13698.8418865263</v>
      </c>
      <c r="C99" s="32"/>
      <c r="D99" s="32"/>
      <c r="E99" s="23"/>
      <c r="F99" s="31" t="s">
        <v>114</v>
      </c>
      <c r="G99" s="33" t="n">
        <f aca="false">((G98*(G94))+G86)</f>
        <v>12610.6668159092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13698.8418865263</v>
      </c>
      <c r="C101" s="32"/>
      <c r="D101" s="32"/>
      <c r="E101" s="23"/>
      <c r="F101" s="56" t="s">
        <v>116</v>
      </c>
      <c r="G101" s="65" t="n">
        <f aca="false">(G99+G100)</f>
        <v>12610.6668159092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1245.34926241148</v>
      </c>
      <c r="C104" s="32"/>
      <c r="D104" s="32"/>
      <c r="E104" s="23"/>
      <c r="F104" s="95" t="s">
        <v>118</v>
      </c>
      <c r="G104" s="96" t="n">
        <f aca="false">G101/(G94)</f>
        <v>1146.42425599175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1245.34926241148</v>
      </c>
      <c r="C105" s="32"/>
      <c r="D105" s="32"/>
      <c r="E105" s="23" t="s">
        <v>19</v>
      </c>
      <c r="F105" s="97" t="s">
        <v>119</v>
      </c>
      <c r="G105" s="98" t="n">
        <f aca="false">G103+G104</f>
        <v>1146.42425599175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23949.996</v>
      </c>
      <c r="C130" s="121" t="n">
        <v>21875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23949.996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23949.996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23949.996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23949.996</v>
      </c>
      <c r="C134" s="133" t="n">
        <f aca="false">C130-C133</f>
        <v>21875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19958.33</v>
      </c>
      <c r="H144" s="153" t="n">
        <f aca="false">C134+E134+G134+H137</f>
        <v>21875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3991.666</v>
      </c>
      <c r="H146" s="33" t="n">
        <f aca="false">(H144+H145)*20%</f>
        <v>4375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23949.996</v>
      </c>
      <c r="H150" s="157" t="n">
        <f aca="false">(H144+H145+H148+H149+H146)-H147</f>
        <v>26250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23949.996</v>
      </c>
      <c r="H156" s="164" t="n">
        <f aca="false">H150-((H153*1.2)+(H154*1.2)+(H155*1.2)+(H151*1.2))</f>
        <v>26250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1916.67</v>
      </c>
      <c r="I157" s="1" t="n">
        <f aca="false">(H157-G90)/1.2</f>
        <v>-14201.3833333333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26250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1245.34926241148</v>
      </c>
      <c r="B176" s="177" t="n">
        <f aca="false">B103</f>
        <v>0</v>
      </c>
      <c r="C176" s="174"/>
      <c r="D176" s="174"/>
      <c r="E176" s="177" t="n">
        <f aca="false">B105</f>
        <v>1245.34926241148</v>
      </c>
      <c r="F176" s="23"/>
      <c r="G176" s="23" t="n">
        <f aca="false">ROUND(G104, 2)</f>
        <v>1146.42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21875</v>
      </c>
      <c r="B182" s="103" t="n">
        <f aca="false">H146</f>
        <v>4375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26250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26250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-6551.15811347375</v>
      </c>
      <c r="B191" s="103" t="str">
        <f aca="false">B123</f>
        <v>239.99</v>
      </c>
      <c r="C191" s="103"/>
      <c r="D191" s="23"/>
      <c r="E191" s="103" t="n">
        <f aca="false">E188+A191+B191+A194</f>
        <v>19948.8318865263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109.375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209.366666666667</v>
      </c>
      <c r="C200" s="93"/>
      <c r="D200" s="93"/>
      <c r="E200" s="103" t="n">
        <f aca="false">H157</f>
        <v>1916.67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1245.34926241148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-7639.38</v>
      </c>
      <c r="B210" s="186" t="n">
        <f aca="false">E188+A210+B191+A194</f>
        <v>18860.61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1245.34926241148</v>
      </c>
      <c r="B221" s="177" t="n">
        <f aca="false">B176</f>
        <v>0</v>
      </c>
      <c r="C221" s="174"/>
      <c r="D221" s="174"/>
      <c r="E221" s="177" t="n">
        <f aca="false">E176</f>
        <v>1245.34926241148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21875</v>
      </c>
      <c r="B224" s="103" t="n">
        <f aca="false">B182</f>
        <v>4375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26250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26250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-6551.15811347375</v>
      </c>
      <c r="B233" s="103" t="str">
        <f aca="false">B191</f>
        <v>239.99</v>
      </c>
      <c r="C233" s="103"/>
      <c r="D233" s="113"/>
      <c r="E233" s="103" t="n">
        <f aca="false">E191</f>
        <v>19948.8318865263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1245.34926241148</v>
      </c>
      <c r="B239" s="103" t="n">
        <f aca="false">B176</f>
        <v>0</v>
      </c>
      <c r="C239" s="186"/>
      <c r="D239" s="186"/>
      <c r="E239" s="103" t="n">
        <f aca="false">E176</f>
        <v>1245.34926241148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1916.67</v>
      </c>
      <c r="B249" s="103" t="n">
        <f aca="false">B197</f>
        <v>109.375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2126.03666666666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1098.22188652625</v>
      </c>
      <c r="C263" s="197"/>
      <c r="D263" s="198" t="s">
        <v>216</v>
      </c>
      <c r="E263" s="198"/>
      <c r="F263" s="200" t="n">
        <f aca="false">F270+F276+F278+B279+B280</f>
        <v>131.25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1066.96355319291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0.1475</v>
      </c>
      <c r="C269" s="43"/>
      <c r="D269" s="166" t="s">
        <v>215</v>
      </c>
      <c r="E269" s="166"/>
      <c r="F269" s="146" t="n">
        <f aca="false">(B98*B68)-(C98*B68)</f>
        <v>13698.8418865263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131.25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1066.96355319291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19500</v>
      </c>
      <c r="B37" s="32"/>
      <c r="C37" s="41" t="s">
        <v>45</v>
      </c>
      <c r="D37" s="41"/>
      <c r="E37" s="32"/>
      <c r="F37" s="43" t="n">
        <f aca="false">A37-C37</f>
        <v>18500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3900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241.666666666667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308.333333333333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311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261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311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12772.2092480078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128.74998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311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311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311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18500</v>
      </c>
      <c r="C90" s="32"/>
      <c r="D90" s="32"/>
      <c r="E90" s="23"/>
      <c r="F90" s="25" t="s">
        <v>105</v>
      </c>
      <c r="G90" s="27" t="n">
        <f aca="false">F37</f>
        <v>18500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12078.6487395771</v>
      </c>
      <c r="C97" s="32"/>
      <c r="D97" s="32"/>
      <c r="E97" s="23"/>
      <c r="F97" s="31" t="s">
        <v>112</v>
      </c>
      <c r="G97" s="33" t="n">
        <f aca="false">G90-G95</f>
        <v>11751.930698559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1162.20084072798</v>
      </c>
      <c r="C98" s="32"/>
      <c r="D98" s="32"/>
      <c r="E98" s="23"/>
      <c r="F98" s="31" t="s">
        <v>113</v>
      </c>
      <c r="G98" s="33" t="n">
        <f aca="false">(G97/G96)</f>
        <v>1103.39154422412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12784.2092480078</v>
      </c>
      <c r="C99" s="32"/>
      <c r="D99" s="32"/>
      <c r="E99" s="23"/>
      <c r="F99" s="31" t="s">
        <v>114</v>
      </c>
      <c r="G99" s="33" t="n">
        <f aca="false">((G98*(G94))+G86)</f>
        <v>12137.3069864653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12784.2092480078</v>
      </c>
      <c r="C101" s="32"/>
      <c r="D101" s="32"/>
      <c r="E101" s="23"/>
      <c r="F101" s="56" t="s">
        <v>116</v>
      </c>
      <c r="G101" s="65" t="n">
        <f aca="false">(G99+G100)</f>
        <v>12137.3069864653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1162.20084072798</v>
      </c>
      <c r="C104" s="32"/>
      <c r="D104" s="32"/>
      <c r="E104" s="23"/>
      <c r="F104" s="95" t="s">
        <v>118</v>
      </c>
      <c r="G104" s="96" t="n">
        <f aca="false">G101/(G94)</f>
        <v>1103.39154422412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1233.10993163707</v>
      </c>
      <c r="C105" s="32"/>
      <c r="D105" s="32"/>
      <c r="E105" s="23" t="s">
        <v>18</v>
      </c>
      <c r="F105" s="97" t="s">
        <v>119</v>
      </c>
      <c r="G105" s="98" t="n">
        <f aca="false">G103+G104</f>
        <v>1103.39154422412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23400</v>
      </c>
      <c r="C130" s="121" t="n">
        <v>21458.33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23400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23400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23400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23400</v>
      </c>
      <c r="C134" s="133" t="n">
        <f aca="false">C130-C133</f>
        <v>21458.33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19500</v>
      </c>
      <c r="H144" s="153" t="n">
        <f aca="false">C134+E134+G134+H137</f>
        <v>21458.33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3900</v>
      </c>
      <c r="H146" s="33" t="n">
        <f aca="false">(H144+H145)*20%</f>
        <v>4291.666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23400</v>
      </c>
      <c r="H150" s="157" t="n">
        <f aca="false">(H144+H145+H148+H149+H146)-H147</f>
        <v>25749.996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23400</v>
      </c>
      <c r="H156" s="164" t="n">
        <f aca="false">H150-((H153*1.2)+(H154*1.2)+(H155*1.2)+(H151*1.2))</f>
        <v>25749.996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-13784.725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1162.20084072798</v>
      </c>
      <c r="B176" s="177" t="n">
        <f aca="false">B103</f>
        <v>70.9090909090909</v>
      </c>
      <c r="C176" s="174"/>
      <c r="D176" s="174"/>
      <c r="E176" s="177" t="n">
        <f aca="false">B105</f>
        <v>1233.10993163707</v>
      </c>
      <c r="F176" s="23"/>
      <c r="G176" s="23" t="n">
        <f aca="false">ROUND(G104, 2)</f>
        <v>1103.39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21458.33</v>
      </c>
      <c r="B182" s="103" t="n">
        <f aca="false">H146</f>
        <v>4291.666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-6965.78675199219</v>
      </c>
      <c r="B191" s="103" t="str">
        <f aca="false">B123</f>
        <v>199.99</v>
      </c>
      <c r="C191" s="103"/>
      <c r="D191" s="23"/>
      <c r="E191" s="103" t="n">
        <f aca="false">E188+A191+(B191*1.2)+A194</f>
        <v>19034.1972480078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107.29165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207.28165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1233.10993163707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-7612.706</v>
      </c>
      <c r="B210" s="186" t="n">
        <f aca="false">E188+A210+(B191*1.2)+A194</f>
        <v>18387.278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1162.20084072798</v>
      </c>
      <c r="B221" s="177" t="n">
        <f aca="false">B176</f>
        <v>70.9090909090909</v>
      </c>
      <c r="C221" s="174"/>
      <c r="D221" s="174"/>
      <c r="E221" s="177" t="n">
        <f aca="false">E176</f>
        <v>1233.10993163707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21458.33</v>
      </c>
      <c r="B224" s="103" t="n">
        <f aca="false">B182</f>
        <v>4291.666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-6965.78675199219</v>
      </c>
      <c r="B233" s="103" t="str">
        <f aca="false">B191</f>
        <v>199.99</v>
      </c>
      <c r="C233" s="103"/>
      <c r="D233" s="113"/>
      <c r="E233" s="103" t="n">
        <f aca="false">E191</f>
        <v>19034.1972480078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1162.20084072798</v>
      </c>
      <c r="B239" s="103" t="n">
        <f aca="false">B176</f>
        <v>70.9090909090909</v>
      </c>
      <c r="C239" s="186"/>
      <c r="D239" s="186"/>
      <c r="E239" s="103" t="n">
        <f aca="false">E176</f>
        <v>1233.10993163707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107.29165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2165.61165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656.919248007809</v>
      </c>
      <c r="C263" s="197"/>
      <c r="D263" s="198" t="s">
        <v>216</v>
      </c>
      <c r="E263" s="198"/>
      <c r="F263" s="200" t="n">
        <f aca="false">F270+F276+F278+B279+B280</f>
        <v>128.74998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628.159268007809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12784.2092480078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128.74998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628.159268007809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16106.9928207431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253.125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14244.1760889046</v>
      </c>
      <c r="C88" s="93" t="n">
        <f aca="false">B81-B86</f>
        <v>14244.1760889046</v>
      </c>
      <c r="D88" s="93"/>
      <c r="E88" s="113"/>
      <c r="F88" s="31" t="s">
        <v>112</v>
      </c>
      <c r="G88" s="33" t="n">
        <f aca="false">G81-G86</f>
        <v>13475.6270487144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518.979889284584</v>
      </c>
      <c r="C89" s="93" t="n">
        <f aca="false">(B88/B87)</f>
        <v>518.979889284584</v>
      </c>
      <c r="D89" s="93"/>
      <c r="E89" s="113"/>
      <c r="F89" s="31" t="s">
        <v>113</v>
      </c>
      <c r="G89" s="33" t="n">
        <f aca="false">(G88/G87)</f>
        <v>459.800298135382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16607.3564571067</v>
      </c>
      <c r="C90" s="93"/>
      <c r="D90" s="93"/>
      <c r="E90" s="113"/>
      <c r="F90" s="31" t="s">
        <v>114</v>
      </c>
      <c r="G90" s="33" t="n">
        <f aca="false">((G89*(G85))+G77)</f>
        <v>14713.6095403322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16607.3564571067</v>
      </c>
      <c r="C92" s="93"/>
      <c r="D92" s="93"/>
      <c r="E92" s="113"/>
      <c r="F92" s="56" t="s">
        <v>116</v>
      </c>
      <c r="G92" s="65" t="n">
        <f aca="false">(G90+G91)</f>
        <v>14713.6095403322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518.979889284584</v>
      </c>
      <c r="C95" s="93"/>
      <c r="D95" s="93"/>
      <c r="E95" s="113"/>
      <c r="F95" s="95" t="s">
        <v>118</v>
      </c>
      <c r="G95" s="96" t="n">
        <f aca="false">G92/(G85)</f>
        <v>459.800298135382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518.979889284584</v>
      </c>
      <c r="C96" s="93"/>
      <c r="D96" s="93"/>
      <c r="E96" s="113"/>
      <c r="F96" s="97" t="s">
        <v>119</v>
      </c>
      <c r="G96" s="98" t="n">
        <f aca="false">G94+G95</f>
        <v>459.800298135382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518.979889284584</v>
      </c>
      <c r="B167" s="177" t="n">
        <f aca="false">B94</f>
        <v>0</v>
      </c>
      <c r="C167" s="174"/>
      <c r="D167" s="174"/>
      <c r="E167" s="177" t="n">
        <f aca="false">B96</f>
        <v>518.979889284584</v>
      </c>
      <c r="F167" s="23"/>
      <c r="G167" s="23" t="n">
        <f aca="false">ROUND(G95, 2)</f>
        <v>459.8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-3192.64354289331</v>
      </c>
      <c r="B182" s="103" t="str">
        <f aca="false">B114</f>
        <v>239.99</v>
      </c>
      <c r="C182" s="103"/>
      <c r="D182" s="23"/>
      <c r="E182" s="103" t="n">
        <f aca="false">E179+A182+B182+A185</f>
        <v>24057.3464571067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210.9375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310.929166666667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518.979889284584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-5086.4</v>
      </c>
      <c r="B201" s="186" t="n">
        <f aca="false">E179+A201+B182+A185</f>
        <v>22163.59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518.979889284584</v>
      </c>
      <c r="B212" s="177" t="n">
        <f aca="false">B167</f>
        <v>0</v>
      </c>
      <c r="C212" s="174"/>
      <c r="D212" s="174"/>
      <c r="E212" s="177" t="n">
        <f aca="false">E167</f>
        <v>518.979889284584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-3192.64354289331</v>
      </c>
      <c r="B224" s="103" t="str">
        <f aca="false">B182</f>
        <v>239.99</v>
      </c>
      <c r="C224" s="103"/>
      <c r="D224" s="113"/>
      <c r="E224" s="103" t="n">
        <f aca="false">E182</f>
        <v>24057.3464571067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518.979889284584</v>
      </c>
      <c r="B230" s="103" t="n">
        <f aca="false">B167</f>
        <v>0</v>
      </c>
      <c r="C230" s="186"/>
      <c r="D230" s="186"/>
      <c r="E230" s="103" t="n">
        <f aca="false">E167</f>
        <v>518.979889284584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210.9375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2310.92916666667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1903.75645710669</v>
      </c>
      <c r="C254" s="197"/>
      <c r="D254" s="198" t="s">
        <v>216</v>
      </c>
      <c r="E254" s="198"/>
      <c r="F254" s="200" t="n">
        <f aca="false">F261+F267+F269+B270+B271</f>
        <v>253.125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1750.62312377336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253.125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1750.62312377336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13780.273195982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13281.8018648348</v>
      </c>
      <c r="C88" s="93" t="n">
        <f aca="false">B81-B86</f>
        <v>13281.8018648348</v>
      </c>
      <c r="D88" s="93"/>
      <c r="E88" s="113"/>
      <c r="F88" s="31" t="s">
        <v>112</v>
      </c>
      <c r="G88" s="33" t="n">
        <f aca="false">G81-G86</f>
        <v>13876.6089154658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1298.29756327109</v>
      </c>
      <c r="C89" s="93" t="n">
        <f aca="false">(B88/B87)</f>
        <v>1298.29756327109</v>
      </c>
      <c r="D89" s="93"/>
      <c r="E89" s="113"/>
      <c r="F89" s="31" t="s">
        <v>113</v>
      </c>
      <c r="G89" s="33" t="n">
        <f aca="false">(G88/G87)</f>
        <v>1302.8780829781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14281.273195982</v>
      </c>
      <c r="C90" s="93"/>
      <c r="D90" s="93"/>
      <c r="E90" s="113"/>
      <c r="F90" s="31" t="s">
        <v>114</v>
      </c>
      <c r="G90" s="33" t="n">
        <f aca="false">((G89*(G85))+G77)</f>
        <v>14331.6589127591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14281.273195982</v>
      </c>
      <c r="C92" s="93"/>
      <c r="D92" s="93"/>
      <c r="E92" s="113"/>
      <c r="F92" s="56" t="s">
        <v>116</v>
      </c>
      <c r="G92" s="65" t="n">
        <f aca="false">(G90+G91)</f>
        <v>14331.6589127591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1298.29756327109</v>
      </c>
      <c r="C95" s="93"/>
      <c r="D95" s="93"/>
      <c r="E95" s="113"/>
      <c r="F95" s="95" t="s">
        <v>118</v>
      </c>
      <c r="G95" s="96" t="n">
        <f aca="false">G92/(G85)</f>
        <v>1302.8780829781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1298.29756327109</v>
      </c>
      <c r="C96" s="93"/>
      <c r="D96" s="93"/>
      <c r="E96" s="113"/>
      <c r="F96" s="97" t="s">
        <v>119</v>
      </c>
      <c r="G96" s="98" t="n">
        <f aca="false">G94+G95</f>
        <v>1302.8780829781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1298.29756327109</v>
      </c>
      <c r="B167" s="177" t="str">
        <f aca="false">B94</f>
        <v>0</v>
      </c>
      <c r="C167" s="174"/>
      <c r="D167" s="174"/>
      <c r="E167" s="177" t="n">
        <f aca="false">B96</f>
        <v>1298.29756327109</v>
      </c>
      <c r="F167" s="23"/>
      <c r="G167" s="23" t="n">
        <f aca="false">ROUND(G95, 2)</f>
        <v>1302.88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-5518.726804018</v>
      </c>
      <c r="B182" s="103" t="str">
        <f aca="false">B114</f>
        <v>199.99</v>
      </c>
      <c r="C182" s="103"/>
      <c r="D182" s="23"/>
      <c r="E182" s="103" t="n">
        <f aca="false">E179+A182+(B182*1.2)+A185</f>
        <v>21731.261195982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1298.29756327109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-5468.32</v>
      </c>
      <c r="B201" s="186" t="n">
        <f aca="false">E179+A201+(B182*1.2)+A185</f>
        <v>21781.668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1298.29756327109</v>
      </c>
      <c r="B212" s="177" t="str">
        <f aca="false">B167</f>
        <v>0</v>
      </c>
      <c r="C212" s="174"/>
      <c r="D212" s="174"/>
      <c r="E212" s="177" t="n">
        <f aca="false">E167</f>
        <v>1298.29756327109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-5518.726804018</v>
      </c>
      <c r="B224" s="103" t="str">
        <f aca="false">B182</f>
        <v>199.99</v>
      </c>
      <c r="C224" s="103"/>
      <c r="D224" s="113"/>
      <c r="E224" s="103" t="n">
        <f aca="false">E182</f>
        <v>21731.261195982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1298.29756327109</v>
      </c>
      <c r="B230" s="103" t="str">
        <f aca="false">B167</f>
        <v>0</v>
      </c>
      <c r="C230" s="186"/>
      <c r="D230" s="186"/>
      <c r="E230" s="103" t="n">
        <f aca="false">E167</f>
        <v>1298.29756327109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-40.4068040179991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-75.4168040179991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-75.4168040179991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239.99</v>
      </c>
      <c r="C182" s="103"/>
      <c r="D182" s="23"/>
      <c r="E182" s="103" t="n">
        <f aca="false">E179+A182+B182+A185</f>
        <v>21434.2004278209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112.5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212.491666666667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E179+A201+B182+A185</f>
        <v>20620.07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239.99</v>
      </c>
      <c r="C224" s="103"/>
      <c r="D224" s="113"/>
      <c r="E224" s="103" t="n">
        <f aca="false">E182</f>
        <v>21434.2004278209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2212.49166666667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789.122094487577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789.122094487577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19500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13483.2104278209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19500</v>
      </c>
      <c r="C81" s="93"/>
      <c r="D81" s="93"/>
      <c r="E81" s="113"/>
      <c r="F81" s="25" t="s">
        <v>105</v>
      </c>
      <c r="G81" s="27" t="n">
        <f aca="false">B81</f>
        <v>19500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13145.0582001204</v>
      </c>
      <c r="C88" s="93" t="n">
        <f aca="false">B81-B86</f>
        <v>13145.0582001204</v>
      </c>
      <c r="D88" s="93"/>
      <c r="E88" s="113"/>
      <c r="F88" s="31" t="s">
        <v>112</v>
      </c>
      <c r="G88" s="33" t="n">
        <f aca="false">G81-G86</f>
        <v>12751.930698559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1271.29185707463</v>
      </c>
      <c r="C89" s="93" t="n">
        <f aca="false">(B88/B87)</f>
        <v>1271.29185707463</v>
      </c>
      <c r="D89" s="93"/>
      <c r="E89" s="113"/>
      <c r="F89" s="31" t="s">
        <v>113</v>
      </c>
      <c r="G89" s="33" t="n">
        <f aca="false">(G88/G87)</f>
        <v>1197.28178000975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13984.2104278209</v>
      </c>
      <c r="C90" s="93"/>
      <c r="D90" s="93"/>
      <c r="E90" s="113"/>
      <c r="F90" s="31" t="s">
        <v>114</v>
      </c>
      <c r="G90" s="33" t="n">
        <f aca="false">((G89*(G85))+G77)</f>
        <v>13170.0995801073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13984.2104278209</v>
      </c>
      <c r="C92" s="93"/>
      <c r="D92" s="93"/>
      <c r="E92" s="113"/>
      <c r="F92" s="56" t="s">
        <v>116</v>
      </c>
      <c r="G92" s="65" t="n">
        <f aca="false">(G90+G91)</f>
        <v>13170.0995801073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1271.29185707463</v>
      </c>
      <c r="C95" s="93"/>
      <c r="D95" s="93"/>
      <c r="E95" s="113"/>
      <c r="F95" s="95" t="s">
        <v>118</v>
      </c>
      <c r="G95" s="96" t="n">
        <f aca="false">G92/(G85)</f>
        <v>1197.28178000975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1271.29185707463</v>
      </c>
      <c r="C96" s="93"/>
      <c r="D96" s="93"/>
      <c r="E96" s="113"/>
      <c r="F96" s="97" t="s">
        <v>119</v>
      </c>
      <c r="G96" s="98" t="n">
        <f aca="false">G94+G95</f>
        <v>1197.28178000975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24600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24600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20500</v>
      </c>
      <c r="H135" s="153" t="n">
        <f aca="false">C125+E125+G125+H128</f>
        <v>22500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-14583.3333333333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27000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1271.29185707463</v>
      </c>
      <c r="B167" s="177" t="str">
        <f aca="false">B94</f>
        <v>0</v>
      </c>
      <c r="C167" s="174"/>
      <c r="D167" s="174"/>
      <c r="E167" s="177" t="n">
        <f aca="false">B96</f>
        <v>1271.29185707463</v>
      </c>
      <c r="F167" s="23"/>
      <c r="G167" s="23" t="n">
        <f aca="false">ROUND(G95, 2)</f>
        <v>1197.28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27000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-5815.78957217909</v>
      </c>
      <c r="B182" s="103" t="str">
        <f aca="false">B114</f>
        <v>199.99</v>
      </c>
      <c r="C182" s="103"/>
      <c r="D182" s="23"/>
      <c r="E182" s="103" t="n">
        <f aca="false">E179+A182+(B182*1.2)+A185</f>
        <v>21434.1984278209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112.5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212.49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1271.29185707463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-6629.92</v>
      </c>
      <c r="B201" s="186" t="n">
        <f aca="false">E179+A201+(B182*1.2)+A185</f>
        <v>20620.068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1271.29185707463</v>
      </c>
      <c r="B212" s="177" t="str">
        <f aca="false">B167</f>
        <v>0</v>
      </c>
      <c r="C212" s="174"/>
      <c r="D212" s="174"/>
      <c r="E212" s="177" t="n">
        <f aca="false">E167</f>
        <v>1271.29185707463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27000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-5815.78957217909</v>
      </c>
      <c r="B224" s="103" t="str">
        <f aca="false">B182</f>
        <v>199.99</v>
      </c>
      <c r="C224" s="103"/>
      <c r="D224" s="113"/>
      <c r="E224" s="103" t="n">
        <f aca="false">E182</f>
        <v>21434.1984278209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1271.29185707463</v>
      </c>
      <c r="B230" s="103" t="str">
        <f aca="false">B167</f>
        <v>0</v>
      </c>
      <c r="C230" s="186"/>
      <c r="D230" s="186"/>
      <c r="E230" s="103" t="n">
        <f aca="false">E167</f>
        <v>1271.29185707463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112.5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2212.49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824.13042782091</v>
      </c>
      <c r="C254" s="197"/>
      <c r="D254" s="198" t="s">
        <v>216</v>
      </c>
      <c r="E254" s="198"/>
      <c r="F254" s="200" t="n">
        <f aca="false">F261+F267+F269+B270+B271</f>
        <v>135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789.12042782091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789.12042782091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0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10872.8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10949.554336426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912.462861368832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984.462861368832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912.462861368832</v>
      </c>
      <c r="B128" s="321" t="n">
        <f aca="false">IF(A105="YES", B89, 0)</f>
        <v>72</v>
      </c>
      <c r="C128" s="326"/>
      <c r="D128" s="321" t="n">
        <f aca="false">B91</f>
        <v>984.462861368832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8212.16575231948</v>
      </c>
      <c r="C131" s="317"/>
      <c r="D131" s="38" t="n">
        <f aca="false">IF(A105="YES", B89*B57, 0)</f>
        <v>648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8860.16575231949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912.462861368832</v>
      </c>
      <c r="B137" s="38" t="n">
        <f aca="false">IF(A105="YES", B89, 0)</f>
        <v>72</v>
      </c>
      <c r="C137" s="317"/>
      <c r="D137" s="38" t="n">
        <f aca="false">B91</f>
        <v>984.462861368832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984.462861368832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912.462861368832</v>
      </c>
      <c r="B171" s="355" t="n">
        <f aca="false">IF(A105="YES", B89, 0)</f>
        <v>72</v>
      </c>
      <c r="C171" s="358"/>
      <c r="D171" s="355" t="n">
        <f aca="false">B91</f>
        <v>984.462861368832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8212.16575231948</v>
      </c>
      <c r="C174" s="353"/>
      <c r="D174" s="103" t="n">
        <f aca="false">IF(A105="YES", B89*B57, 0)</f>
        <v>648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8860.16575231949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912.462861368832</v>
      </c>
      <c r="B180" s="103" t="n">
        <f aca="false">IF(A105="YES", B89, 0)</f>
        <v>72</v>
      </c>
      <c r="C180" s="353"/>
      <c r="D180" s="103" t="n">
        <f aca="false">B91</f>
        <v>984.462861368832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24600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1722</v>
      </c>
      <c r="C64" s="215" t="n">
        <v>10000</v>
      </c>
      <c r="D64" s="291" t="n">
        <f aca="false">B64</f>
        <v>1722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246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3048.66666666667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254.055555555556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9060.66666666667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76.7543364259782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9137.42100309265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761.451750257721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821.451750257721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761.451750257721</v>
      </c>
      <c r="B128" s="321" t="n">
        <f aca="false">IF(A105="YES", B89, 0)</f>
        <v>60</v>
      </c>
      <c r="C128" s="326"/>
      <c r="D128" s="321" t="n">
        <f aca="false">B91</f>
        <v>821.451750257721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6853.06575231948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7393.06575231948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761.451750257721</v>
      </c>
      <c r="B137" s="38" t="n">
        <f aca="false">IF(A105="YES", B89, 0)</f>
        <v>60</v>
      </c>
      <c r="C137" s="317"/>
      <c r="D137" s="38" t="n">
        <f aca="false">B91</f>
        <v>821.451750257721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246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757.99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821.451750257721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761.451750257721</v>
      </c>
      <c r="B171" s="355" t="n">
        <f aca="false">IF(A105="YES", B89, 0)</f>
        <v>60</v>
      </c>
      <c r="C171" s="358"/>
      <c r="D171" s="355" t="n">
        <f aca="false">B91</f>
        <v>821.451750257721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6853.06575231948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7393.06575231948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761.451750257721</v>
      </c>
      <c r="B180" s="103" t="n">
        <f aca="false">IF(A105="YES", B89, 0)</f>
        <v>60</v>
      </c>
      <c r="C180" s="353"/>
      <c r="D180" s="103" t="n">
        <f aca="false">B91</f>
        <v>821.451750257721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246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757.99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1722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246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1935.99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1722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246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1935.99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76.7543364259782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311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9076.384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64.0729003630496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9140.45690036305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761.704741696921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839.704741696921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761.704741696921</v>
      </c>
      <c r="B134" s="321" t="n">
        <f aca="false">IF(A111="YES", B95, 0)</f>
        <v>78</v>
      </c>
      <c r="C134" s="325"/>
      <c r="D134" s="321" t="n">
        <f aca="false">B97</f>
        <v>839.704741696921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761.704741696921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839.704741696921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761.704741696921</v>
      </c>
      <c r="B143" s="38" t="n">
        <f aca="false">IF(A111="YES", B95, 0)</f>
        <v>78</v>
      </c>
      <c r="C143" s="317"/>
      <c r="D143" s="38" t="n">
        <f aca="false">B97</f>
        <v>839.704741696921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634.991666666667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839.704741696921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761.704741696921</v>
      </c>
      <c r="B177" s="355" t="n">
        <f aca="false">IF(A111="YES", B95, 0)</f>
        <v>78</v>
      </c>
      <c r="C177" s="357"/>
      <c r="D177" s="355" t="n">
        <f aca="false">A177+B177</f>
        <v>839.704741696921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761.704741696921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839.704741696921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761.704741696921</v>
      </c>
      <c r="B186" s="103" t="n">
        <f aca="false">IF(A111="YES", B95, 0)</f>
        <v>78</v>
      </c>
      <c r="C186" s="353"/>
      <c r="D186" s="103" t="n">
        <f aca="false">B97</f>
        <v>839.704741696921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634.991666666667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3239.81166666667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3239.81166666667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64.0729003630496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3900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241.666666666667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308.333333333333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261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C70</f>
        <v>10000</v>
      </c>
      <c r="C70" s="317" t="n">
        <v>10000</v>
      </c>
      <c r="D70" s="32" t="n">
        <f aca="false">B70-A149</f>
        <v>10000</v>
      </c>
      <c r="E70" s="318" t="n">
        <f aca="false">D70/12</f>
        <v>833.333333333333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11594.8333333333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966.236111111111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14726.8333333333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124.753327954821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14851.5866612882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1237.63222177401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1297.63222177401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1237.63222177401</v>
      </c>
      <c r="B134" s="321" t="n">
        <f aca="false">IF(A111="YES", B95, 0)</f>
        <v>60</v>
      </c>
      <c r="C134" s="326"/>
      <c r="D134" s="321" t="n">
        <f aca="false">B97</f>
        <v>1297.63222177401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1237.63222177401</v>
      </c>
      <c r="C137" s="317"/>
      <c r="D137" s="38" t="n">
        <f aca="false">IF(A111="YES", B95*B63, 0)</f>
        <v>60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1297.63222177401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1237.63222177401</v>
      </c>
      <c r="B143" s="38" t="n">
        <f aca="false">IF(A111="YES", B95, 0)</f>
        <v>60</v>
      </c>
      <c r="C143" s="317"/>
      <c r="D143" s="38" t="n">
        <f aca="false">B97</f>
        <v>1297.63222177401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3900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628.99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1297.63222177401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1237.63222177401</v>
      </c>
      <c r="B177" s="355" t="n">
        <f aca="false">IF(A111="YES", B95, 0)</f>
        <v>60</v>
      </c>
      <c r="C177" s="358"/>
      <c r="D177" s="355" t="n">
        <f aca="false">B91</f>
        <v>14726.8333333333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1237.63222177401</v>
      </c>
      <c r="C180" s="353"/>
      <c r="D180" s="103" t="n">
        <f aca="false">IF(A111="YES", B95*B63, 0)</f>
        <v>60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1297.63222177401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1237.63222177401</v>
      </c>
      <c r="B186" s="103" t="n">
        <f aca="false">IF(A111="YES", B95, 0)</f>
        <v>60</v>
      </c>
      <c r="C186" s="353"/>
      <c r="D186" s="103" t="n">
        <f aca="false">B97</f>
        <v>1297.63222177401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628.99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10000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10342.99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10000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10342.99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124.753327954821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2252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187.666666666667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70.0056474384833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8334.00564743848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694.500470619874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766.500470619874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20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694.500470619874</v>
      </c>
      <c r="B134" s="321" t="n">
        <f aca="false">IF(A111="YES", B95, 0)</f>
        <v>72</v>
      </c>
      <c r="C134" s="326"/>
      <c r="D134" s="321" t="n">
        <f aca="false">B97</f>
        <v>766.500470619874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694.500470619874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766.500470619874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694.500470619874</v>
      </c>
      <c r="B143" s="38" t="n">
        <f aca="false">IF(A111="YES", B95, 0)</f>
        <v>72</v>
      </c>
      <c r="C143" s="317"/>
      <c r="D143" s="38" t="n">
        <f aca="false">B97</f>
        <v>766.500470619874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1403.24633333333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1363.24833333333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103" t="n">
        <f aca="false">B108</f>
        <v>0</v>
      </c>
      <c r="C154" s="38"/>
      <c r="D154" s="38" t="n">
        <f aca="false">IF(A111="YES", (A41/100*B111)*B131, 0)*0.1</f>
        <v>14.4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231.39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766.500470619874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694.500470619874</v>
      </c>
      <c r="B177" s="355" t="n">
        <f aca="false">IF(A111="YES", B95, 0)</f>
        <v>72</v>
      </c>
      <c r="C177" s="358"/>
      <c r="D177" s="355" t="n">
        <f aca="false">B91</f>
        <v>8264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694.500470619874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766.500470619874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694.500470619874</v>
      </c>
      <c r="B186" s="103" t="n">
        <f aca="false">IF(A111="YES", B95, 0)</f>
        <v>72</v>
      </c>
      <c r="C186" s="353"/>
      <c r="D186" s="103" t="n">
        <f aca="false">B97</f>
        <v>766.500470619874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231.39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243.99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1764.99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1764.99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70.0056474384833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11230.3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11309.5780354982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942.464836291516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1020.46483629152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942.464836291516</v>
      </c>
      <c r="B134" s="321" t="n">
        <f aca="false">IF(A111="YES", B95, 0)</f>
        <v>78</v>
      </c>
      <c r="C134" s="326"/>
      <c r="D134" s="321" t="n">
        <f aca="false">B97</f>
        <v>1020.46483629152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942.464836291516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1020.46483629152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942.464836291516</v>
      </c>
      <c r="B143" s="38" t="n">
        <f aca="false">IF(A111="YES", B95, 0)</f>
        <v>78</v>
      </c>
      <c r="C143" s="317"/>
      <c r="D143" s="38" t="n">
        <f aca="false">B97</f>
        <v>1020.46483629152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763.991666666667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1020.46483629152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942.464836291516</v>
      </c>
      <c r="B177" s="355" t="n">
        <f aca="false">IF(A111="YES", B95, 0)</f>
        <v>78</v>
      </c>
      <c r="C177" s="358"/>
      <c r="D177" s="355" t="n">
        <f aca="false">B97</f>
        <v>1020.46483629152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942.464836291516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1020.46483629152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942.464836291516</v>
      </c>
      <c r="B186" s="103" t="n">
        <f aca="false">IF(A111="YES", B95, 0)</f>
        <v>78</v>
      </c>
      <c r="C186" s="353"/>
      <c r="D186" s="103" t="n">
        <f aca="false">B97</f>
        <v>1020.46483629152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763.991666666667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1995.99166666667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1995.99166666667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9244.83333333333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9323.14777464031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776.928981220026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776.928981220026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776.928981220026</v>
      </c>
      <c r="B134" s="321" t="n">
        <f aca="false">IF(A111="YES", B95, 0)</f>
        <v>0</v>
      </c>
      <c r="C134" s="326"/>
      <c r="D134" s="321" t="n">
        <f aca="false">B97</f>
        <v>776.928981220026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6992.36083098023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6992.36083098023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776.928981220026</v>
      </c>
      <c r="B143" s="38" t="n">
        <f aca="false">IF(A111="YES", B95, 0)</f>
        <v>0</v>
      </c>
      <c r="C143" s="317"/>
      <c r="D143" s="38" t="n">
        <f aca="false">B97</f>
        <v>776.928981220026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616.99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776.928981220026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776.928981220026</v>
      </c>
      <c r="B177" s="355" t="n">
        <f aca="false">IF(A111="YES", B95, 0)</f>
        <v>0</v>
      </c>
      <c r="C177" s="358"/>
      <c r="D177" s="355" t="n">
        <f aca="false">B91</f>
        <v>9244.83333333333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6992.36083098023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6992.36083098023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776.928981220026</v>
      </c>
      <c r="B186" s="103" t="n">
        <f aca="false">IF(A111="YES", B95, 0)</f>
        <v>0</v>
      </c>
      <c r="C186" s="353"/>
      <c r="D186" s="103" t="n">
        <f aca="false">B97</f>
        <v>776.928981220026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616.99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1860.99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1860.99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2918.66666666667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243.222222222222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8930.66666666667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75.6530859217427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9006.31975258841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750.526646049034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762.226646049034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750.526646049034</v>
      </c>
      <c r="B134" s="321" t="n">
        <f aca="false">IF(A111="YES", B95, 0)</f>
        <v>11.7</v>
      </c>
      <c r="C134" s="326"/>
      <c r="D134" s="321" t="n">
        <f aca="false">B97</f>
        <v>762.226646049034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750.526646049034</v>
      </c>
      <c r="C137" s="317"/>
      <c r="D137" s="38" t="n">
        <f aca="false">IF(A111="YES", B95*B63, 0)</f>
        <v>11.7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762.226646049034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750.526646049034</v>
      </c>
      <c r="B143" s="38" t="n">
        <f aca="false">IF(A111="YES", B95, 0)</f>
        <v>11.7</v>
      </c>
      <c r="C143" s="317"/>
      <c r="D143" s="38" t="n">
        <f aca="false">B97</f>
        <v>762.226646049034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620.23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762.226646049034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750.526646049034</v>
      </c>
      <c r="B177" s="355" t="n">
        <f aca="false">IF(A111="YES", B95, 0)</f>
        <v>11.7</v>
      </c>
      <c r="C177" s="358"/>
      <c r="D177" s="355" t="n">
        <f aca="false">B91</f>
        <v>8930.66666666667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750.526646049034</v>
      </c>
      <c r="C180" s="353"/>
      <c r="D180" s="103" t="n">
        <f aca="false">IF(A111="YES", B95*B63, 0)</f>
        <v>11.7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762.226646049034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750.526646049034</v>
      </c>
      <c r="B186" s="103" t="n">
        <f aca="false">IF(A111="YES", B95, 0)</f>
        <v>11.7</v>
      </c>
      <c r="C186" s="353"/>
      <c r="D186" s="103" t="n">
        <f aca="false">B97</f>
        <v>762.226646049034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620.23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75.6530859217427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9.00</v>
      </c>
      <c r="E32" s="226"/>
      <c r="F32" s="63"/>
      <c r="G32" s="227" t="s">
        <v>243</v>
      </c>
      <c r="H32" s="225" t="str">
        <f aca="false">A41</f>
        <v>9.00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509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509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9.00</v>
      </c>
      <c r="I44" s="394" t="n">
        <f aca="false">((A41*(B35-1))+D32)/B35</f>
        <v>9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510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23400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1638</v>
      </c>
      <c r="C70" s="215" t="n">
        <v>10000</v>
      </c>
      <c r="D70" s="291" t="n">
        <f aca="false">B70-A149</f>
        <v>1638</v>
      </c>
      <c r="E70" s="216" t="n">
        <f aca="false">D70/12</f>
        <v>136.5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117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3232.83333333333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269.402777777778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11093.8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78.3144413069786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11172.114441307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14.04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931.009536775582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945.049536775582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931.009536775582</v>
      </c>
      <c r="B134" s="321" t="n">
        <f aca="false">IF(A111="YES", B95, 0)</f>
        <v>14.04</v>
      </c>
      <c r="C134" s="326"/>
      <c r="D134" s="321" t="n">
        <f aca="false">B97</f>
        <v>945.049536775582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931.009536775582</v>
      </c>
      <c r="C137" s="317"/>
      <c r="D137" s="38" t="n">
        <f aca="false">IF(A111="YES", B95*B63, 0)</f>
        <v>14.04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945.049536775582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931.009536775582</v>
      </c>
      <c r="B143" s="38" t="n">
        <f aca="false">IF(A111="YES", B95, 0)</f>
        <v>14.04</v>
      </c>
      <c r="C143" s="317"/>
      <c r="D143" s="38" t="n">
        <f aca="false">B97</f>
        <v>945.049536775582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2.16</v>
      </c>
      <c r="H148" s="103" t="n">
        <f aca="false">G108-100</f>
        <v>139.988</v>
      </c>
      <c r="I148" s="103"/>
      <c r="J148" s="103" t="n">
        <f aca="false">(H145+J145+G148+H148)-H151</f>
        <v>1391.00633333333</v>
      </c>
      <c r="K148" s="105"/>
      <c r="L148" s="63"/>
      <c r="M148" s="111" t="n">
        <f aca="false">IF(M111="YES", ((A41*N111)*0.1)*(M133), 0)</f>
        <v>2.16</v>
      </c>
      <c r="N148" s="103" t="n">
        <f aca="false">M108-100</f>
        <v>99.99</v>
      </c>
      <c r="O148" s="103"/>
      <c r="P148" s="103" t="n">
        <f aca="false">(N145+P145+M148+N148)-N151</f>
        <v>1351.00833333333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117</v>
      </c>
      <c r="B154" s="38" t="n">
        <f aca="false">B108</f>
        <v>400</v>
      </c>
      <c r="C154" s="38"/>
      <c r="D154" s="38" t="n">
        <f aca="false">IF(A111="YES", (A41/100*B111)*B131, 0)*0.1</f>
        <v>3.24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620.231666666667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945.049536775582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931.009536775582</v>
      </c>
      <c r="B177" s="355" t="n">
        <f aca="false">IF(A111="YES", B95, 0)</f>
        <v>14.04</v>
      </c>
      <c r="C177" s="358"/>
      <c r="D177" s="355" t="n">
        <f aca="false">B91</f>
        <v>11093.8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931.009536775582</v>
      </c>
      <c r="C180" s="353"/>
      <c r="D180" s="103" t="n">
        <f aca="false">IF(A111="YES", B95*B63, 0)</f>
        <v>14.04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945.049536775582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931.009536775582</v>
      </c>
      <c r="B186" s="103" t="n">
        <f aca="false">IF(A111="YES", B95, 0)</f>
        <v>14.04</v>
      </c>
      <c r="C186" s="353"/>
      <c r="D186" s="103" t="n">
        <f aca="false">B97</f>
        <v>945.049536775582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117</v>
      </c>
      <c r="B197" s="103" t="n">
        <f aca="false">B108</f>
        <v>400</v>
      </c>
      <c r="C197" s="103"/>
      <c r="D197" s="103" t="n">
        <f aca="false">IF(A111="YES", (A41/100*B111)*B131, 0)*0.1</f>
        <v>3.24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620.231666666667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372.391666666667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1893.39166666667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1893.39166666667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32.4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78.3144413069786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24600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1722</v>
      </c>
      <c r="C70" s="215" t="n">
        <v>10000</v>
      </c>
      <c r="D70" s="291" t="n">
        <f aca="false">B70-A149</f>
        <v>1722</v>
      </c>
      <c r="E70" s="216" t="n">
        <f aca="false">D70/12</f>
        <v>143.5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246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3346.58333333333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278.881944444444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9358.58333333333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79.2780354981848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9437.86136883152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786.488447402627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786.488447402627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786.488447402627</v>
      </c>
      <c r="B134" s="321" t="n">
        <f aca="false">IF(A111="YES", B95, 0)</f>
        <v>0</v>
      </c>
      <c r="C134" s="326"/>
      <c r="D134" s="321" t="n">
        <f aca="false">B97</f>
        <v>786.488447402627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7078.39602662364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7078.39602662364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786.488447402627</v>
      </c>
      <c r="B143" s="38" t="n">
        <f aca="false">IF(A111="YES", B95, 0)</f>
        <v>0</v>
      </c>
      <c r="C143" s="317"/>
      <c r="D143" s="38" t="n">
        <f aca="false">B97</f>
        <v>786.488447402627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246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745.99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786.488447402627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786.488447402627</v>
      </c>
      <c r="B177" s="355" t="n">
        <f aca="false">IF(A111="YES", B95, 0)</f>
        <v>0</v>
      </c>
      <c r="C177" s="358"/>
      <c r="D177" s="355" t="n">
        <f aca="false">B91</f>
        <v>9358.58333333333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7078.39602662364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7078.39602662364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786.488447402627</v>
      </c>
      <c r="B186" s="103" t="n">
        <f aca="false">IF(A111="YES", B95, 0)</f>
        <v>0</v>
      </c>
      <c r="C186" s="353"/>
      <c r="D186" s="103" t="n">
        <f aca="false">B97</f>
        <v>786.488447402627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246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745.99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1722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246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1722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246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79.2780354981848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650.595727376939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650.595727376939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23978.0240532716</v>
      </c>
      <c r="N39" s="1" t="n">
        <f aca="false">K39-L39</f>
        <v>-4478.02405327164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-4478.02405327164</v>
      </c>
      <c r="N40" s="1" t="n">
        <f aca="false">N38-N39</f>
        <v>7389.70405327164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19500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650.595727376939</v>
      </c>
      <c r="L47" s="2" t="n">
        <f aca="false">L49-K42</f>
        <v>800</v>
      </c>
      <c r="M47" s="1" t="n">
        <f aca="false">K47-L47</f>
        <v>-149.404272623061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650.595727376939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650.595727376939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6162.41193353781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189.713509027778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650.595727376939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650.595727376939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650.595727376939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650.595727376939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34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23249.996</v>
      </c>
      <c r="C88" s="93"/>
      <c r="D88" s="93"/>
      <c r="E88" s="113"/>
      <c r="F88" s="31" t="s">
        <v>112</v>
      </c>
      <c r="G88" s="33" t="n">
        <f aca="false">G81-G86</f>
        <v>23249.996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850.978305639138</v>
      </c>
      <c r="C89" s="93"/>
      <c r="D89" s="93"/>
      <c r="E89" s="113"/>
      <c r="F89" s="31" t="s">
        <v>113</v>
      </c>
      <c r="G89" s="33" t="n">
        <f aca="false">(G88/G87)</f>
        <v>775.710156878509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28933.2623917307</v>
      </c>
      <c r="C90" s="93"/>
      <c r="D90" s="93"/>
      <c r="E90" s="113"/>
      <c r="F90" s="31" t="s">
        <v>114</v>
      </c>
      <c r="G90" s="33" t="n">
        <f aca="false">((G89*(G85))+G77)</f>
        <v>27149.8554907478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28933.2623917307</v>
      </c>
      <c r="C92" s="93"/>
      <c r="D92" s="93"/>
      <c r="E92" s="113"/>
      <c r="F92" s="56" t="s">
        <v>116</v>
      </c>
      <c r="G92" s="65" t="n">
        <f aca="false">(G90+G91)</f>
        <v>27149.8554907478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850.978305639138</v>
      </c>
      <c r="C95" s="93"/>
      <c r="D95" s="93"/>
      <c r="E95" s="113"/>
      <c r="F95" s="95" t="s">
        <v>118</v>
      </c>
      <c r="G95" s="96" t="n">
        <f aca="false">G92/(G85)</f>
        <v>775.710156878509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850.978305639138</v>
      </c>
      <c r="C96" s="93"/>
      <c r="D96" s="93"/>
      <c r="E96" s="113"/>
      <c r="F96" s="97" t="s">
        <v>119</v>
      </c>
      <c r="G96" s="98" t="n">
        <f aca="false">G94+G95</f>
        <v>775.710156878509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850.978305639138</v>
      </c>
      <c r="B167" s="177" t="str">
        <f aca="false">B94</f>
        <v>0</v>
      </c>
      <c r="C167" s="174"/>
      <c r="D167" s="174"/>
      <c r="E167" s="177" t="n">
        <f aca="false">B96</f>
        <v>850.978305639138</v>
      </c>
      <c r="F167" s="23"/>
      <c r="G167" s="23" t="n">
        <f aca="false">ROUND(G95, 2)</f>
        <v>775.71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6524.24469736981</v>
      </c>
      <c r="B182" s="103" t="str">
        <f aca="false">B114</f>
        <v>239.99</v>
      </c>
      <c r="C182" s="103"/>
      <c r="D182" s="23"/>
      <c r="E182" s="103" t="n">
        <f aca="false">E179+A182+B182+A185</f>
        <v>30024.2306973698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850.978305639138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189.713509027778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289.705175694444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850.978305639138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3965.12230563914</v>
      </c>
      <c r="B201" s="186" t="n">
        <f aca="false">E179+A201+B182+A185</f>
        <v>27465.1083056391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850.978305639138</v>
      </c>
      <c r="B212" s="177" t="str">
        <f aca="false">B167</f>
        <v>0</v>
      </c>
      <c r="C212" s="174"/>
      <c r="D212" s="174"/>
      <c r="E212" s="177" t="n">
        <f aca="false">E167</f>
        <v>850.978305639138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6524.24469736981</v>
      </c>
      <c r="B224" s="103" t="str">
        <f aca="false">B182</f>
        <v>239.99</v>
      </c>
      <c r="C224" s="103"/>
      <c r="D224" s="113"/>
      <c r="E224" s="103" t="n">
        <f aca="false">E182</f>
        <v>30024.2306973698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850.978305639138</v>
      </c>
      <c r="B230" s="103" t="str">
        <f aca="false">B167</f>
        <v>0</v>
      </c>
      <c r="C230" s="186"/>
      <c r="D230" s="186"/>
      <c r="E230" s="103" t="n">
        <f aca="false">E167</f>
        <v>850.978305639138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850.978305639138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189.713509027778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2248.03517569445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2569.12239173067</v>
      </c>
      <c r="C254" s="197"/>
      <c r="D254" s="198" t="s">
        <v>216</v>
      </c>
      <c r="E254" s="198"/>
      <c r="F254" s="200" t="n">
        <f aca="false">F261+F267+F269+B270+B271</f>
        <v>227.656210833333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2441.45784756401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2569.12239173067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227.656210833333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2441.45784756401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13050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379.726765171556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379.726765171556</v>
      </c>
      <c r="B36" s="232" t="str">
        <f aca="false">IF(B26="YES", K42, "0.00")</f>
        <v>0.00</v>
      </c>
      <c r="C36" s="232"/>
      <c r="D36" s="232"/>
      <c r="E36" s="232" t="n">
        <f aca="false">K31</f>
        <v>13050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32402.4164558611</v>
      </c>
      <c r="N39" s="1" t="n">
        <f aca="false">K39-L39</f>
        <v>-12902.4164558611</v>
      </c>
      <c r="P39" s="212"/>
    </row>
    <row r="40" customFormat="false" ht="17.35" hidden="false" customHeight="false" outlineLevel="0" collapsed="false">
      <c r="A40" s="107" t="n">
        <f aca="false">E36*A45/100</f>
        <v>13050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10875</v>
      </c>
      <c r="L40" s="2" t="n">
        <f aca="false">K39-L39</f>
        <v>-12902.4164558611</v>
      </c>
      <c r="N40" s="1" t="n">
        <f aca="false">N38-N39</f>
        <v>15814.0964558611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7842.36287809211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11657.6371219079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379.726765171556</v>
      </c>
      <c r="L47" s="2" t="n">
        <f aca="false">L49-K42</f>
        <v>800</v>
      </c>
      <c r="M47" s="1" t="n">
        <f aca="false">K47-L47</f>
        <v>-420.273234828444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379.726765171556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379.726765171556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5189.91603668431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193.749966666667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379.726765171556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379.726765171556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379.726765171556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379.726765171556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23249.996</v>
      </c>
      <c r="C81" s="93"/>
      <c r="D81" s="93"/>
      <c r="E81" s="113"/>
      <c r="F81" s="25" t="s">
        <v>105</v>
      </c>
      <c r="G81" s="27" t="n">
        <f aca="false">G158</f>
        <v>23249.996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13050</v>
      </c>
      <c r="C82" s="93"/>
      <c r="D82" s="93"/>
      <c r="E82" s="113"/>
      <c r="F82" s="31" t="s">
        <v>106</v>
      </c>
      <c r="G82" s="33" t="n">
        <f aca="false">IF(A111 = "Yes", A40, 0)</f>
        <v>13050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13050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13050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8185.16446740319</v>
      </c>
      <c r="C86" s="93"/>
      <c r="D86" s="93"/>
      <c r="E86" s="113"/>
      <c r="F86" s="31" t="s">
        <v>110</v>
      </c>
      <c r="G86" s="33" t="n">
        <f aca="false">(G82/((1+G84)^(G85+1)))</f>
        <v>9494.35661836222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8827.90541154175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8827.90541154175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27.9568864661663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15064.8315325968</v>
      </c>
      <c r="C88" s="93"/>
      <c r="D88" s="93"/>
      <c r="E88" s="113"/>
      <c r="F88" s="31" t="s">
        <v>112</v>
      </c>
      <c r="G88" s="33" t="n">
        <f aca="false">G81-G86</f>
        <v>13755.6393816378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538.859416653153</v>
      </c>
      <c r="C89" s="93"/>
      <c r="D89" s="93"/>
      <c r="E89" s="113"/>
      <c r="F89" s="31" t="s">
        <v>113</v>
      </c>
      <c r="G89" s="33" t="n">
        <f aca="false">(G88/G87)</f>
        <v>458.941549181103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18860.0795828603</v>
      </c>
      <c r="C90" s="93"/>
      <c r="D90" s="93"/>
      <c r="E90" s="113"/>
      <c r="F90" s="31" t="s">
        <v>114</v>
      </c>
      <c r="G90" s="33" t="n">
        <f aca="false">((G89*(G85))+G77)</f>
        <v>16062.9542213386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18860.0795828603</v>
      </c>
      <c r="C92" s="93"/>
      <c r="D92" s="93"/>
      <c r="E92" s="113"/>
      <c r="F92" s="56" t="s">
        <v>116</v>
      </c>
      <c r="G92" s="65" t="n">
        <f aca="false">(G90+G91)</f>
        <v>16062.9542213386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538.859416653153</v>
      </c>
      <c r="C95" s="93"/>
      <c r="D95" s="93"/>
      <c r="E95" s="113"/>
      <c r="F95" s="95" t="s">
        <v>118</v>
      </c>
      <c r="G95" s="96" t="n">
        <f aca="false">G92/(G85)</f>
        <v>458.941549181103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538.859416653153</v>
      </c>
      <c r="C96" s="93"/>
      <c r="D96" s="93"/>
      <c r="E96" s="113"/>
      <c r="F96" s="97" t="s">
        <v>119</v>
      </c>
      <c r="G96" s="98" t="n">
        <f aca="false">G94+G95</f>
        <v>458.941549181103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-17743.055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538.859416653153</v>
      </c>
      <c r="B167" s="177" t="str">
        <f aca="false">B94</f>
        <v>0</v>
      </c>
      <c r="C167" s="174"/>
      <c r="D167" s="174"/>
      <c r="E167" s="177" t="n">
        <f aca="false">B96</f>
        <v>538.859416653153</v>
      </c>
      <c r="F167" s="23"/>
      <c r="G167" s="23" t="n">
        <f aca="false">ROUND(G95, 2)</f>
        <v>458.94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13050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13050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13050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13050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8660.08358286034</v>
      </c>
      <c r="B182" s="103" t="str">
        <f aca="false">B114</f>
        <v>199.99</v>
      </c>
      <c r="C182" s="103"/>
      <c r="D182" s="23"/>
      <c r="E182" s="103" t="n">
        <f aca="false">E179+A182+(B182*1.2)+A185</f>
        <v>32160.0675828603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13060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13070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13060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13060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193.749966666667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293.739966666667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538.859416653153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5862.904</v>
      </c>
      <c r="B201" s="186" t="n">
        <f aca="false">E179+A201+(B182*1.2)+A185</f>
        <v>29362.888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538.859416653153</v>
      </c>
      <c r="B212" s="177" t="str">
        <f aca="false">B167</f>
        <v>0</v>
      </c>
      <c r="C212" s="174"/>
      <c r="D212" s="174"/>
      <c r="E212" s="177" t="n">
        <f aca="false">E167</f>
        <v>538.859416653153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8660.08358286034</v>
      </c>
      <c r="B224" s="103" t="str">
        <f aca="false">B182</f>
        <v>199.99</v>
      </c>
      <c r="C224" s="103"/>
      <c r="D224" s="113"/>
      <c r="E224" s="103" t="n">
        <f aca="false">E182</f>
        <v>32160.0675828603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538.859416653153</v>
      </c>
      <c r="B230" s="103" t="str">
        <f aca="false">B167</f>
        <v>0</v>
      </c>
      <c r="C230" s="186"/>
      <c r="D230" s="186"/>
      <c r="E230" s="103" t="n">
        <f aca="false">E167</f>
        <v>538.859416653153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13050</v>
      </c>
      <c r="B233" s="103" t="n">
        <f aca="false">E185</f>
        <v>13060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24.3156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193.749966666667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2252.06996666667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2807.17958286034</v>
      </c>
      <c r="C254" s="197"/>
      <c r="D254" s="198" t="s">
        <v>216</v>
      </c>
      <c r="E254" s="198"/>
      <c r="F254" s="200" t="n">
        <f aca="false">F261+F267+F269+B270+B271</f>
        <v>232.49996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2674.66962286034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2807.17958286034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232.49996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2674.66962286034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20500</v>
      </c>
      <c r="C2" s="4" t="s">
        <v>2</v>
      </c>
      <c r="D2" s="5" t="n">
        <f aca="false">C9</f>
        <v>4100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24600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20500</v>
      </c>
      <c r="C9" s="14" t="n">
        <f aca="false">B9*0.2</f>
        <v>4100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20500</v>
      </c>
      <c r="C15" s="14" t="n">
        <f aca="false">SUM(C9:C13)</f>
        <v>4100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24600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19500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153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474.611354378281</v>
      </c>
      <c r="F33" s="232"/>
      <c r="G33" s="232"/>
      <c r="H33" s="47"/>
      <c r="I33" s="2"/>
      <c r="J33" s="34" t="s">
        <v>356</v>
      </c>
      <c r="K33" s="48" t="n">
        <f aca="false">E21</f>
        <v>20500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461.861354378281</v>
      </c>
      <c r="B36" s="232" t="n">
        <f aca="false">IF(B26="YES", K42, "0.00")</f>
        <v>12.75</v>
      </c>
      <c r="C36" s="232"/>
      <c r="D36" s="232"/>
      <c r="E36" s="232" t="n">
        <f aca="false">K31</f>
        <v>19500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20500</v>
      </c>
      <c r="L39" s="2" t="n">
        <f aca="false">(L47*K46)+K44</f>
        <v>24270.5927671537</v>
      </c>
      <c r="N39" s="1" t="n">
        <f aca="false">K39-L39</f>
        <v>-3770.59276715369</v>
      </c>
      <c r="P39" s="212"/>
    </row>
    <row r="40" customFormat="false" ht="17.35" hidden="false" customHeight="false" outlineLevel="0" collapsed="false">
      <c r="A40" s="107" t="n">
        <f aca="false">E36*A45/100</f>
        <v>19500</v>
      </c>
      <c r="B40" s="107" t="n">
        <f aca="false">IF(B26="YES", K42, "0.00")</f>
        <v>12.75</v>
      </c>
      <c r="C40" s="107"/>
      <c r="D40" s="107"/>
      <c r="E40" s="182" t="n">
        <f aca="false">K32</f>
        <v>153</v>
      </c>
      <c r="F40" s="186"/>
      <c r="G40" s="186"/>
      <c r="H40" s="47"/>
      <c r="J40" s="2" t="s">
        <v>106</v>
      </c>
      <c r="K40" s="2" t="n">
        <f aca="false">(A40)/1.2</f>
        <v>16250</v>
      </c>
      <c r="L40" s="2" t="n">
        <f aca="false">K39-L39</f>
        <v>-3770.59276715369</v>
      </c>
      <c r="N40" s="1" t="n">
        <f aca="false">N38-N39</f>
        <v>6682.27276715369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12.75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15147.966037908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5352.03396209199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461.861354378281</v>
      </c>
      <c r="L47" s="2" t="n">
        <f aca="false">L49-K42</f>
        <v>787.25</v>
      </c>
      <c r="M47" s="1" t="n">
        <f aca="false">K47-L47</f>
        <v>-325.388645621719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474.611354378281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474.611354378281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2211.65791717848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102.083333333333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461.861354378281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461.861354378281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474.611354378281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474.611354378281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24500</v>
      </c>
      <c r="C81" s="93"/>
      <c r="D81" s="93"/>
      <c r="E81" s="113"/>
      <c r="F81" s="25" t="s">
        <v>105</v>
      </c>
      <c r="G81" s="27" t="n">
        <f aca="false">G158</f>
        <v>24500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19500</v>
      </c>
      <c r="C82" s="93"/>
      <c r="D82" s="93"/>
      <c r="E82" s="113"/>
      <c r="F82" s="31" t="s">
        <v>106</v>
      </c>
      <c r="G82" s="33" t="n">
        <f aca="false">IF(A111 = "Yes", A40, 0)</f>
        <v>19500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19500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19500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17211.3007080073</v>
      </c>
      <c r="C86" s="93"/>
      <c r="D86" s="93"/>
      <c r="E86" s="113"/>
      <c r="F86" s="31" t="s">
        <v>110</v>
      </c>
      <c r="G86" s="33" t="n">
        <f aca="false">(G82/((1+G84)^(G85+1)))</f>
        <v>18276.021024736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16941.0932752196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16941.0932752196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7288.69929199271</v>
      </c>
      <c r="C88" s="93"/>
      <c r="D88" s="93"/>
      <c r="E88" s="113"/>
      <c r="F88" s="31" t="s">
        <v>112</v>
      </c>
      <c r="G88" s="33" t="n">
        <f aca="false">G81-G86</f>
        <v>6223.97897526399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704.908560883441</v>
      </c>
      <c r="C89" s="93"/>
      <c r="D89" s="93"/>
      <c r="E89" s="113"/>
      <c r="F89" s="31" t="s">
        <v>113</v>
      </c>
      <c r="G89" s="33" t="n">
        <f aca="false">(G88/G87)</f>
        <v>584.370853512356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7753.99416971785</v>
      </c>
      <c r="C90" s="93"/>
      <c r="D90" s="93"/>
      <c r="E90" s="113"/>
      <c r="F90" s="31" t="s">
        <v>114</v>
      </c>
      <c r="G90" s="33" t="n">
        <f aca="false">((G89*(G85))+G77)</f>
        <v>6428.07938863592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7753.99416971785</v>
      </c>
      <c r="C92" s="93"/>
      <c r="D92" s="93"/>
      <c r="E92" s="113"/>
      <c r="F92" s="56" t="s">
        <v>116</v>
      </c>
      <c r="G92" s="65" t="n">
        <f aca="false">(G90+G91)</f>
        <v>6428.07938863592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21.6981818181818</v>
      </c>
      <c r="C94" s="93"/>
      <c r="D94" s="93"/>
      <c r="E94" s="113"/>
      <c r="F94" s="88" t="s">
        <v>117</v>
      </c>
      <c r="G94" s="94" t="n">
        <f aca="false">IF(B26="YES",((E40/B85)*(1+A108)*(C45/100)),"0")</f>
        <v>18.0818181818182</v>
      </c>
      <c r="H94" s="33"/>
      <c r="J94" s="88" t="s">
        <v>117</v>
      </c>
      <c r="K94" s="89" t="n">
        <f aca="false">((E40/K85)*(1+J108))*1.2</f>
        <v>19.89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16.6909090909091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20.0290909090909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704.908560883441</v>
      </c>
      <c r="C95" s="93"/>
      <c r="D95" s="93"/>
      <c r="E95" s="113"/>
      <c r="F95" s="95" t="s">
        <v>118</v>
      </c>
      <c r="G95" s="96" t="n">
        <f aca="false">G92/(G85)</f>
        <v>584.370853512356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726.606742701623</v>
      </c>
      <c r="C96" s="93"/>
      <c r="D96" s="93"/>
      <c r="E96" s="113"/>
      <c r="F96" s="97" t="s">
        <v>119</v>
      </c>
      <c r="G96" s="98" t="n">
        <f aca="false">G94+G95</f>
        <v>602.452671694174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20500</v>
      </c>
      <c r="C121" s="121" t="n">
        <v>22500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24600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24600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24600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20500</v>
      </c>
      <c r="C125" s="133" t="n">
        <f aca="false">C121-C124</f>
        <v>22500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20500</v>
      </c>
      <c r="H135" s="153" t="n">
        <f aca="false">C125+E125+G125+H128</f>
        <v>22500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4100</v>
      </c>
      <c r="H137" s="33" t="n">
        <f aca="false">(H135+H136)*20%</f>
        <v>4500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24600</v>
      </c>
      <c r="H141" s="157" t="n">
        <f aca="false">(H135+H136+H139+H140+H137)-H138</f>
        <v>27000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24600</v>
      </c>
      <c r="H147" s="164" t="n">
        <f aca="false">H141-((H144*1.2)+(H145*1.2)+(H146*1.2)+(H142*1.2))</f>
        <v>27000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-18750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24500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704.908560883441</v>
      </c>
      <c r="B167" s="177" t="n">
        <f aca="false">B94</f>
        <v>21.6981818181818</v>
      </c>
      <c r="C167" s="174"/>
      <c r="D167" s="174"/>
      <c r="E167" s="177" t="n">
        <f aca="false">B96</f>
        <v>726.606742701623</v>
      </c>
      <c r="F167" s="23"/>
      <c r="G167" s="23" t="n">
        <f aca="false">ROUND(G95, 2)</f>
        <v>584.37</v>
      </c>
      <c r="H167" s="33"/>
      <c r="J167" s="176" t="e">
        <f aca="false">K95</f>
        <v>#VALUE!</v>
      </c>
      <c r="K167" s="177" t="n">
        <f aca="false">K94</f>
        <v>19.89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16.6909090909091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20.0290909090909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19500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19500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19500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19500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22500</v>
      </c>
      <c r="B173" s="103" t="n">
        <f aca="false">H137</f>
        <v>4500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24500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2753.99416971785</v>
      </c>
      <c r="B182" s="103" t="str">
        <f aca="false">B114</f>
        <v>239.99</v>
      </c>
      <c r="C182" s="103"/>
      <c r="D182" s="23"/>
      <c r="E182" s="103" t="n">
        <f aca="false">E179+A182+B182+A185</f>
        <v>27503.9841697179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19510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19520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19510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19510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9.72624</v>
      </c>
      <c r="B188" s="103" t="n">
        <f aca="false">(G158*B67)</f>
        <v>122.5</v>
      </c>
      <c r="C188" s="93"/>
      <c r="D188" s="93"/>
      <c r="E188" s="103" t="n">
        <f aca="false">(E40*A108)*0.1*(C45/100)</f>
        <v>4.59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4.59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3.06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3.06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227.081666666667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726.606742701623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1428.07</v>
      </c>
      <c r="B201" s="186" t="n">
        <f aca="false">E179+A201+B182+A185</f>
        <v>26178.06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704.908560883441</v>
      </c>
      <c r="B212" s="177" t="n">
        <f aca="false">B167</f>
        <v>21.6981818181818</v>
      </c>
      <c r="C212" s="174"/>
      <c r="D212" s="174"/>
      <c r="E212" s="177" t="n">
        <f aca="false">E167</f>
        <v>726.606742701623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22500</v>
      </c>
      <c r="B215" s="103" t="n">
        <f aca="false">B173</f>
        <v>4500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24500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2753.99416971785</v>
      </c>
      <c r="B224" s="103" t="str">
        <f aca="false">B182</f>
        <v>239.99</v>
      </c>
      <c r="C224" s="103"/>
      <c r="D224" s="113"/>
      <c r="E224" s="103" t="n">
        <f aca="false">E182</f>
        <v>27503.9841697179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704.908560883441</v>
      </c>
      <c r="B230" s="103" t="n">
        <f aca="false">B167</f>
        <v>21.6981818181818</v>
      </c>
      <c r="C230" s="186"/>
      <c r="D230" s="186"/>
      <c r="E230" s="103" t="n">
        <f aca="false">E167</f>
        <v>726.606742701623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19500</v>
      </c>
      <c r="B233" s="103" t="n">
        <f aca="false">E185</f>
        <v>19510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102.083333333333</v>
      </c>
      <c r="C240" s="93"/>
      <c r="D240" s="93"/>
      <c r="E240" s="103" t="n">
        <f aca="false">E188</f>
        <v>4.59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2206.665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1335.92416971785</v>
      </c>
      <c r="C254" s="197"/>
      <c r="D254" s="198" t="s">
        <v>216</v>
      </c>
      <c r="E254" s="198"/>
      <c r="F254" s="200" t="n">
        <f aca="false">F261+F267+F269+B270+B271</f>
        <v>122.5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145.891666666667</v>
      </c>
      <c r="C255" s="197"/>
      <c r="D255" s="198" t="s">
        <v>218</v>
      </c>
      <c r="E255" s="198"/>
      <c r="F255" s="200" t="n">
        <f aca="false">(B254-F254)+B255</f>
        <v>1359.31583638452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1335.92416971785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122.5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45.9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1359.31583638452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17190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984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35000</v>
      </c>
      <c r="C33" s="93"/>
      <c r="D33" s="93"/>
      <c r="E33" s="232" t="n">
        <f aca="false">K48</f>
        <v>1197.96200615051</v>
      </c>
      <c r="F33" s="232"/>
      <c r="G33" s="232"/>
      <c r="H33" s="47"/>
      <c r="I33" s="2"/>
      <c r="J33" s="34" t="s">
        <v>356</v>
      </c>
      <c r="K33" s="48" t="n">
        <f aca="false">E21</f>
        <v>19500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1156.96200615051</v>
      </c>
      <c r="B36" s="232" t="n">
        <f aca="false">IF(B26="YES", K42, "0.00")</f>
        <v>41</v>
      </c>
      <c r="C36" s="232"/>
      <c r="D36" s="232"/>
      <c r="E36" s="232" t="n">
        <f aca="false">K31</f>
        <v>17190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19500</v>
      </c>
      <c r="L39" s="2" t="n">
        <f aca="false">(L47*K46)+K44</f>
        <v>14988.9044951981</v>
      </c>
      <c r="N39" s="1" t="n">
        <f aca="false">K39-L39</f>
        <v>4511.09550480185</v>
      </c>
      <c r="P39" s="212"/>
    </row>
    <row r="40" customFormat="false" ht="17.35" hidden="false" customHeight="false" outlineLevel="0" collapsed="false">
      <c r="A40" s="107" t="n">
        <f aca="false">E36*A45/100</f>
        <v>8595</v>
      </c>
      <c r="B40" s="107" t="n">
        <f aca="false">IF(B26="YES", K42, "0.00")</f>
        <v>41</v>
      </c>
      <c r="C40" s="107"/>
      <c r="D40" s="107"/>
      <c r="E40" s="182" t="n">
        <f aca="false">K32</f>
        <v>984</v>
      </c>
      <c r="F40" s="186"/>
      <c r="G40" s="186"/>
      <c r="H40" s="47"/>
      <c r="J40" s="2" t="s">
        <v>106</v>
      </c>
      <c r="K40" s="2" t="n">
        <f aca="false">(A40)/1.2</f>
        <v>7162.5</v>
      </c>
      <c r="L40" s="2" t="n">
        <f aca="false">K39-L39</f>
        <v>4511.09550480185</v>
      </c>
      <c r="N40" s="1" t="n">
        <f aca="false">N38-N39</f>
        <v>-1599.41550480186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41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6385.26536576413</v>
      </c>
      <c r="L44" s="2"/>
      <c r="P44" s="212"/>
    </row>
    <row r="45" customFormat="false" ht="17.35" hidden="false" customHeight="false" outlineLevel="0" collapsed="false">
      <c r="A45" s="450" t="n">
        <v>50</v>
      </c>
      <c r="B45" s="93"/>
      <c r="C45" s="62" t="n">
        <v>50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13114.7346342359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11.3354929241555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1156.96200615051</v>
      </c>
      <c r="L47" s="2" t="n">
        <f aca="false">L49-K42</f>
        <v>759</v>
      </c>
      <c r="M47" s="1" t="n">
        <f aca="false">K47-L47</f>
        <v>397.962006150512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1197.96200615051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1197.96200615051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5848.73986039736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107.29165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1156.96200615051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1156.96200615051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1197.96200615051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1197.96200615051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25749.996</v>
      </c>
      <c r="C81" s="93"/>
      <c r="D81" s="93"/>
      <c r="E81" s="113"/>
      <c r="F81" s="25" t="s">
        <v>105</v>
      </c>
      <c r="G81" s="27" t="n">
        <f aca="false">G158</f>
        <v>25749.996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8595</v>
      </c>
      <c r="C82" s="93"/>
      <c r="D82" s="93"/>
      <c r="E82" s="113"/>
      <c r="F82" s="31" t="s">
        <v>106</v>
      </c>
      <c r="G82" s="33" t="n">
        <f aca="false">IF(A111 = "Yes", A40, 0)</f>
        <v>8595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8595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8595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7411.9835853766</v>
      </c>
      <c r="C86" s="93"/>
      <c r="D86" s="93"/>
      <c r="E86" s="113"/>
      <c r="F86" s="31" t="s">
        <v>110</v>
      </c>
      <c r="G86" s="33" t="n">
        <f aca="false">(G82/((1+G84)^(G85+1)))</f>
        <v>7730.32151506234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7467.11265130831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7467.11265130831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10.2227465017977</v>
      </c>
      <c r="C87" s="93"/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18338.0124146234</v>
      </c>
      <c r="C88" s="93"/>
      <c r="D88" s="93"/>
      <c r="E88" s="113"/>
      <c r="F88" s="31" t="s">
        <v>112</v>
      </c>
      <c r="G88" s="33" t="n">
        <f aca="false">G81-G86</f>
        <v>18019.6744849377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1793.8439940185</v>
      </c>
      <c r="C89" s="93"/>
      <c r="D89" s="93"/>
      <c r="E89" s="113"/>
      <c r="F89" s="31" t="s">
        <v>113</v>
      </c>
      <c r="G89" s="33" t="n">
        <f aca="false">(G88/G87)</f>
        <v>1726.66823683347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19732.2839342035</v>
      </c>
      <c r="C90" s="93"/>
      <c r="D90" s="93"/>
      <c r="E90" s="113"/>
      <c r="F90" s="31" t="s">
        <v>114</v>
      </c>
      <c r="G90" s="33" t="n">
        <f aca="false">((G89*(G85))+G77)</f>
        <v>18993.3506051682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19732.2839342035</v>
      </c>
      <c r="C92" s="93"/>
      <c r="D92" s="93"/>
      <c r="E92" s="113"/>
      <c r="F92" s="56" t="s">
        <v>116</v>
      </c>
      <c r="G92" s="65" t="n">
        <f aca="false">(G90+G91)</f>
        <v>18993.3506051682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53.6727272727273</v>
      </c>
      <c r="C94" s="93"/>
      <c r="D94" s="93"/>
      <c r="E94" s="113"/>
      <c r="F94" s="88" t="s">
        <v>117</v>
      </c>
      <c r="G94" s="94" t="n">
        <f aca="false">IF(B26="YES",((E40/B85)*(1+A108)*(C45/100)),"0")</f>
        <v>53.6727272727273</v>
      </c>
      <c r="H94" s="33"/>
      <c r="J94" s="88" t="s">
        <v>117</v>
      </c>
      <c r="K94" s="89" t="n">
        <f aca="false">((E40/K85)*(1+J108))*1.2</f>
        <v>127.92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107.345454545455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128.814545454545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1793.8439940185</v>
      </c>
      <c r="C95" s="93"/>
      <c r="D95" s="93"/>
      <c r="E95" s="113"/>
      <c r="F95" s="95" t="s">
        <v>118</v>
      </c>
      <c r="G95" s="96" t="n">
        <f aca="false">G92/(G85)</f>
        <v>1726.66823683347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1847.51672129123</v>
      </c>
      <c r="C96" s="93"/>
      <c r="D96" s="93"/>
      <c r="E96" s="113"/>
      <c r="F96" s="97" t="s">
        <v>119</v>
      </c>
      <c r="G96" s="98" t="n">
        <f aca="false">G94+G95</f>
        <v>1780.3409641062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19500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19500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19500</v>
      </c>
      <c r="H135" s="153" t="n">
        <f aca="false">C125+E125+G125+H128</f>
        <v>21458.33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3900</v>
      </c>
      <c r="H137" s="33" t="n">
        <f aca="false">(H135+H136)*20%</f>
        <v>4291.666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23400</v>
      </c>
      <c r="H141" s="157" t="n">
        <f aca="false">(H135+H136+H139+H140+H137)-H138</f>
        <v>25749.996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23400</v>
      </c>
      <c r="H147" s="164" t="n">
        <f aca="false">H141-((H144*1.2)+(H145*1.2)+(H146*1.2)+(H142*1.2))</f>
        <v>25749.996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-19826.3883333333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1793.8439940185</v>
      </c>
      <c r="B167" s="177" t="n">
        <f aca="false">B94</f>
        <v>53.6727272727273</v>
      </c>
      <c r="C167" s="174"/>
      <c r="D167" s="174"/>
      <c r="E167" s="177" t="n">
        <f aca="false">B96</f>
        <v>1847.51672129123</v>
      </c>
      <c r="F167" s="23"/>
      <c r="G167" s="23" t="n">
        <f aca="false">ROUND(G95, 2)</f>
        <v>1726.67</v>
      </c>
      <c r="H167" s="33"/>
      <c r="J167" s="176" t="e">
        <f aca="false">K95</f>
        <v>#VALUE!</v>
      </c>
      <c r="K167" s="177" t="n">
        <f aca="false">K94</f>
        <v>127.92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107.345454545455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128.814545454545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35000</v>
      </c>
      <c r="C170" s="181"/>
      <c r="D170" s="23"/>
      <c r="E170" s="182" t="n">
        <f aca="false">IF(A111="YES", A40, 0)</f>
        <v>8595</v>
      </c>
      <c r="F170" s="23"/>
      <c r="G170" s="23"/>
      <c r="H170" s="33"/>
      <c r="J170" s="179" t="n">
        <f aca="false">K29</f>
        <v>12</v>
      </c>
      <c r="K170" s="180" t="n">
        <f aca="false">K30</f>
        <v>35000</v>
      </c>
      <c r="L170" s="181"/>
      <c r="M170" s="23"/>
      <c r="N170" s="182" t="n">
        <f aca="false">IF(A111="YES", A40, 0)</f>
        <v>8595</v>
      </c>
      <c r="O170" s="23"/>
      <c r="P170" s="23"/>
      <c r="Q170" s="33"/>
      <c r="S170" s="179" t="n">
        <f aca="false">K29</f>
        <v>12</v>
      </c>
      <c r="T170" s="180" t="n">
        <f aca="false">K30</f>
        <v>35000</v>
      </c>
      <c r="U170" s="181"/>
      <c r="V170" s="23"/>
      <c r="W170" s="182" t="n">
        <f aca="false">IF(A111="YES", A40, 0)</f>
        <v>8595</v>
      </c>
      <c r="X170" s="23"/>
      <c r="Y170" s="23"/>
      <c r="Z170" s="33"/>
      <c r="AB170" s="179" t="n">
        <f aca="false">K29</f>
        <v>12</v>
      </c>
      <c r="AC170" s="180" t="n">
        <f aca="false">K30</f>
        <v>35000</v>
      </c>
      <c r="AD170" s="181"/>
      <c r="AE170" s="23"/>
      <c r="AF170" s="182" t="n">
        <f aca="false">IF(A111="YES", A40, 0)</f>
        <v>8595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2577.2879342035</v>
      </c>
      <c r="B182" s="103" t="str">
        <f aca="false">B114</f>
        <v>199.99</v>
      </c>
      <c r="C182" s="103"/>
      <c r="D182" s="23"/>
      <c r="E182" s="103" t="n">
        <f aca="false">E179+A182+(B182*1.2)+A185</f>
        <v>28577.2719342035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8605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8615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8605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8605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107.29165</v>
      </c>
      <c r="C188" s="93"/>
      <c r="D188" s="93"/>
      <c r="E188" s="103" t="n">
        <f aca="false">(E40*A108)*0.1*(C45/100)</f>
        <v>9.84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29.52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19.68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19.68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217.12165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1847.51672129123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1838.374</v>
      </c>
      <c r="B201" s="186" t="n">
        <f aca="false">E179+A201+(B182*1.2)+A185</f>
        <v>27838.358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1793.8439940185</v>
      </c>
      <c r="B212" s="177" t="n">
        <f aca="false">B167</f>
        <v>53.6727272727273</v>
      </c>
      <c r="C212" s="174"/>
      <c r="D212" s="174"/>
      <c r="E212" s="177" t="n">
        <f aca="false">E167</f>
        <v>1847.51672129123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2577.2879342035</v>
      </c>
      <c r="B224" s="103" t="str">
        <f aca="false">B182</f>
        <v>199.99</v>
      </c>
      <c r="C224" s="103"/>
      <c r="D224" s="113"/>
      <c r="E224" s="103" t="n">
        <f aca="false">E182</f>
        <v>28577.2719342035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1793.8439940185</v>
      </c>
      <c r="B230" s="103" t="n">
        <f aca="false">B167</f>
        <v>53.6727272727273</v>
      </c>
      <c r="C230" s="186"/>
      <c r="D230" s="186"/>
      <c r="E230" s="103" t="n">
        <f aca="false">E167</f>
        <v>1847.51672129123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8595</v>
      </c>
      <c r="B233" s="103" t="n">
        <f aca="false">E185</f>
        <v>8605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107.29165</v>
      </c>
      <c r="C240" s="93"/>
      <c r="D240" s="93"/>
      <c r="E240" s="103" t="n">
        <f aca="false">E188</f>
        <v>9.84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2175.45165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748.913934203505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198.39</v>
      </c>
      <c r="C255" s="197"/>
      <c r="D255" s="198" t="s">
        <v>218</v>
      </c>
      <c r="E255" s="198"/>
      <c r="F255" s="200" t="n">
        <f aca="false">(B254-F254)+B255</f>
        <v>818.553954203505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748.913934203505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98.4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818.553954203505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11384.1666666667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325.261904761905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969.508425789637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34155.0171248595</v>
      </c>
      <c r="C85" s="473"/>
      <c r="D85" s="473"/>
      <c r="E85" s="466" t="n">
        <f aca="false">B85/(B58+B57)</f>
        <v>975.857632138844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289.332537160972</v>
      </c>
      <c r="C86" s="473" t="s">
        <v>230</v>
      </c>
      <c r="D86" s="215"/>
      <c r="E86" s="466" t="n">
        <f aca="false">B86/(B58+B57)</f>
        <v>8.26664391888492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34444.3496620205</v>
      </c>
      <c r="C87" s="473"/>
      <c r="D87" s="475"/>
      <c r="E87" s="466" t="n">
        <f aca="false">E86+E85</f>
        <v>984.124276057729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984.124276057729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984.124276057729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984.124276057729</v>
      </c>
      <c r="B128" s="321" t="n">
        <f aca="false">IF(A105="YES", B89, 0)</f>
        <v>0</v>
      </c>
      <c r="C128" s="325"/>
      <c r="D128" s="321" t="n">
        <f aca="false">B91</f>
        <v>984.124276057729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984.124276057729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984.124276057729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984.124276057729</v>
      </c>
      <c r="B137" s="38" t="n">
        <f aca="false">IF(A105="YES", B89, 0)</f>
        <v>0</v>
      </c>
      <c r="C137" s="317"/>
      <c r="D137" s="38" t="n">
        <f aca="false">B91</f>
        <v>984.124276057729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729.115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984.124276057729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984.124276057729</v>
      </c>
      <c r="B177" s="355" t="n">
        <f aca="false">IF(A105="YES", B89, 0)</f>
        <v>0</v>
      </c>
      <c r="C177" s="357"/>
      <c r="D177" s="355" t="n">
        <f aca="false">B91</f>
        <v>984.124276057729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984.124276057729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984.124276057729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984.124276057729</v>
      </c>
      <c r="B186" s="103" t="n">
        <f aca="false">IF(A105="YES", B89, 0)</f>
        <v>0</v>
      </c>
      <c r="C186" s="353"/>
      <c r="D186" s="103" t="n">
        <f aca="false">B91</f>
        <v>984.124276057729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729.115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289.332537160972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650.595727376939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650.595727376939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-22461.5420932254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19500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650.595727376939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650.595727376939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650.595727376939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229.125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870</v>
      </c>
      <c r="C76" s="215"/>
      <c r="D76" s="291" t="n">
        <f aca="false">B76</f>
        <v>870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45.3571428571429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12254.1666666667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350.119047619048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650.595727376939</v>
      </c>
      <c r="C83" s="473"/>
      <c r="D83" s="215"/>
      <c r="E83" s="466" t="n">
        <f aca="false">B83+E80+E77+E64</f>
        <v>994.36556864678</v>
      </c>
      <c r="F83" s="63"/>
      <c r="G83" s="305" t="s">
        <v>104</v>
      </c>
      <c r="H83" s="306" t="n">
        <f aca="false">H47</f>
        <v>650.595727376939</v>
      </c>
      <c r="I83" s="215"/>
      <c r="J83" s="215"/>
      <c r="K83" s="216"/>
      <c r="L83" s="63"/>
      <c r="M83" s="305" t="s">
        <v>104</v>
      </c>
      <c r="N83" s="306" t="n">
        <f aca="false">H47</f>
        <v>650.595727376939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42030.0205498314</v>
      </c>
      <c r="C85" s="473"/>
      <c r="D85" s="473"/>
      <c r="E85" s="466" t="n">
        <f aca="false">B85/(B58+B57)</f>
        <v>1200.85772999518</v>
      </c>
      <c r="F85" s="63"/>
      <c r="G85" s="288" t="s">
        <v>114</v>
      </c>
      <c r="H85" s="131" t="n">
        <f aca="false">((H83*H29)+H81)*1.2</f>
        <v>28582.0205498314</v>
      </c>
      <c r="I85" s="215"/>
      <c r="J85" s="215"/>
      <c r="K85" s="216"/>
      <c r="L85" s="63"/>
      <c r="M85" s="288" t="s">
        <v>114</v>
      </c>
      <c r="N85" s="131" t="n">
        <f aca="false">((N83*H29)+N81)</f>
        <v>23488.3504581929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296.702444381626</v>
      </c>
      <c r="C86" s="473" t="s">
        <v>230</v>
      </c>
      <c r="D86" s="215"/>
      <c r="E86" s="466" t="n">
        <f aca="false">B86/(B58+B57)</f>
        <v>8.47721269661788</v>
      </c>
      <c r="F86" s="63"/>
      <c r="G86" s="214" t="s">
        <v>115</v>
      </c>
      <c r="H86" s="300" t="n">
        <f aca="false">((((H83*H29)+H81))/(1-H70))*H70</f>
        <v>201.769003478036</v>
      </c>
      <c r="I86" s="215"/>
      <c r="J86" s="215"/>
      <c r="K86" s="216"/>
      <c r="L86" s="63"/>
      <c r="M86" s="214" t="s">
        <v>115</v>
      </c>
      <c r="N86" s="300" t="n">
        <f aca="false">(N85/(1-N70))*N70</f>
        <v>198.973521428822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42326.7229942131</v>
      </c>
      <c r="C87" s="473"/>
      <c r="D87" s="475"/>
      <c r="E87" s="466" t="n">
        <f aca="false">E86+E85</f>
        <v>1209.3349426918</v>
      </c>
      <c r="F87" s="63"/>
      <c r="G87" s="285" t="s">
        <v>116</v>
      </c>
      <c r="H87" s="133" t="n">
        <f aca="false">IF(H110="YES",((H85+H86)-K114),(H85+H86))</f>
        <v>28783.7895533095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23687.3239796217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1209.3349426918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719.594738832737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592.183099490542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1209.3349426918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719.594738832737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592.183099490542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(E118)+E117-E114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719.594738832737</v>
      </c>
      <c r="H127" s="177" t="n">
        <f aca="false">IF(G105="YES", H89*H57, 0)</f>
        <v>0</v>
      </c>
      <c r="I127" s="177"/>
      <c r="J127" s="334" t="n">
        <f aca="false">H91</f>
        <v>719.594738832737</v>
      </c>
      <c r="K127" s="216"/>
      <c r="L127" s="63"/>
      <c r="M127" s="333" t="n">
        <f aca="false">N90</f>
        <v>592.183099490542</v>
      </c>
      <c r="N127" s="177" t="n">
        <f aca="false">IF(M105="YES", N89*N57, 0)</f>
        <v>0</v>
      </c>
      <c r="O127" s="177"/>
      <c r="P127" s="177" t="n">
        <f aca="false">N91</f>
        <v>592.183099490542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1209.3349426918</v>
      </c>
      <c r="B128" s="321" t="n">
        <f aca="false">IF(A105="YES", B89, 0)</f>
        <v>0</v>
      </c>
      <c r="C128" s="325"/>
      <c r="D128" s="321" t="n">
        <f aca="false">B91</f>
        <v>1209.3349426918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1209.3349426918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4317.56843299642</v>
      </c>
      <c r="H133" s="103" t="n">
        <f aca="false">IF(G105="YES", H89*H57, 0)</f>
        <v>0</v>
      </c>
      <c r="I133" s="221"/>
      <c r="J133" s="184" t="n">
        <f aca="false">H91*H57</f>
        <v>4317.56843299642</v>
      </c>
      <c r="K133" s="216"/>
      <c r="L133" s="63"/>
      <c r="M133" s="185" t="n">
        <f aca="false">N90*N57</f>
        <v>3553.09859694325</v>
      </c>
      <c r="N133" s="103" t="n">
        <f aca="false">IF(M105="YES", N89*N57, 0)</f>
        <v>0</v>
      </c>
      <c r="O133" s="221"/>
      <c r="P133" s="184" t="n">
        <f aca="false">N91*N57</f>
        <v>3553.09859694325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1209.3349426918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1209.3349426918</v>
      </c>
      <c r="B137" s="38" t="n">
        <f aca="false">IF(A105="YES", B89, 0)</f>
        <v>0</v>
      </c>
      <c r="C137" s="317"/>
      <c r="D137" s="38" t="n">
        <f aca="false">B91</f>
        <v>1209.3349426918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229.125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729.116666666667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719.594738832737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592.183099490542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1209.3349426918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1209.3349426918</v>
      </c>
      <c r="B177" s="355" t="n">
        <f aca="false">IF(A105="YES", B89, 0)</f>
        <v>0</v>
      </c>
      <c r="C177" s="357"/>
      <c r="D177" s="355" t="n">
        <f aca="false">B91</f>
        <v>1209.3349426918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1209.3349426918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1209.3349426918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1209.3349426918</v>
      </c>
      <c r="B186" s="103" t="n">
        <f aca="false">IF(A105="YES", B89, 0)</f>
        <v>0</v>
      </c>
      <c r="C186" s="353"/>
      <c r="D186" s="103" t="n">
        <f aca="false">B91</f>
        <v>1209.3349426918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229.125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729.116666666667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229.125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10110.8666666667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229.125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10110.8666666667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296.702444381626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19500</v>
      </c>
      <c r="C2" s="4" t="s">
        <v>2</v>
      </c>
      <c r="D2" s="5" t="n">
        <f aca="false">C9</f>
        <v>3900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19500</v>
      </c>
      <c r="C9" s="14" t="n">
        <f aca="false">B9*0.2</f>
        <v>3900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19500</v>
      </c>
      <c r="C15" s="14" t="n">
        <f aca="false">SUM(C9:C13)</f>
        <v>3900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19230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156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414.659015800854</v>
      </c>
      <c r="E33" s="216"/>
      <c r="F33" s="63"/>
      <c r="G33" s="219" t="s">
        <v>356</v>
      </c>
      <c r="H33" s="460" t="n">
        <f aca="false">E21-E11</f>
        <v>19500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401.659015800854</v>
      </c>
      <c r="B36" s="103" t="n">
        <f aca="false">IF(B26="YES", H42, "")</f>
        <v>13</v>
      </c>
      <c r="C36" s="221"/>
      <c r="D36" s="184" t="n">
        <f aca="false">H31</f>
        <v>19230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19500</v>
      </c>
      <c r="I39" s="238" t="n">
        <f aca="false">(I48*H46)+H44</f>
        <v>30887.7041334893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19230</v>
      </c>
      <c r="B40" s="107" t="n">
        <f aca="false">IF(B26="YES",H42,"0")</f>
        <v>13</v>
      </c>
      <c r="C40" s="107"/>
      <c r="D40" s="184" t="n">
        <f aca="false">I32</f>
        <v>156</v>
      </c>
      <c r="E40" s="216"/>
      <c r="F40" s="63"/>
      <c r="G40" s="63" t="s">
        <v>106</v>
      </c>
      <c r="H40" s="238" t="n">
        <f aca="false">A40/1.2</f>
        <v>16025</v>
      </c>
      <c r="I40" s="238" t="n">
        <f aca="false">H39-I39</f>
        <v>-11387.7041334893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14857.97849898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4642.02150102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11.5571201402374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401.659015800854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414.659015800854</v>
      </c>
      <c r="I48" s="238" t="n">
        <f aca="false">I49-H42</f>
        <v>1387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414.659015800854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23400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833.333333333333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117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472" t="n">
        <f aca="false">B73+B71</f>
        <v>214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290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314.166666666667</v>
      </c>
      <c r="C76" s="215"/>
      <c r="D76" s="291" t="n">
        <f aca="false">B76</f>
        <v>314.166666666667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77.3472222222222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10928.1666666667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910.680555555556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401.659015800854</v>
      </c>
      <c r="C83" s="473"/>
      <c r="D83" s="215"/>
      <c r="E83" s="466" t="n">
        <f aca="false">B83+E80+E77+E64</f>
        <v>1312.33957135641</v>
      </c>
      <c r="F83" s="63"/>
      <c r="G83" s="305" t="s">
        <v>104</v>
      </c>
      <c r="H83" s="306" t="n">
        <f aca="false">H47</f>
        <v>401.659015800854</v>
      </c>
      <c r="I83" s="215"/>
      <c r="J83" s="215"/>
      <c r="K83" s="216"/>
      <c r="L83" s="63"/>
      <c r="M83" s="305" t="s">
        <v>104</v>
      </c>
      <c r="N83" s="306" t="n">
        <f aca="false">H47</f>
        <v>401.659015800854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15748.0748562769</v>
      </c>
      <c r="C85" s="473"/>
      <c r="D85" s="473"/>
      <c r="E85" s="466" t="n">
        <f aca="false">B85/(B58+B57)</f>
        <v>1312.33957135641</v>
      </c>
      <c r="F85" s="63"/>
      <c r="G85" s="288" t="s">
        <v>114</v>
      </c>
      <c r="H85" s="131" t="n">
        <f aca="false">((H83*H29)+H81)*1.2</f>
        <v>6537.1898275323</v>
      </c>
      <c r="I85" s="215"/>
      <c r="J85" s="215"/>
      <c r="K85" s="216"/>
      <c r="L85" s="63"/>
      <c r="M85" s="288" t="s">
        <v>114</v>
      </c>
      <c r="N85" s="131" t="n">
        <f aca="false">((N83*H29)+N81)</f>
        <v>5433.90818961025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133.404425970882</v>
      </c>
      <c r="C86" s="473" t="s">
        <v>230</v>
      </c>
      <c r="D86" s="215"/>
      <c r="E86" s="466" t="n">
        <f aca="false">B86/(B58+B57)</f>
        <v>11.1170354975735</v>
      </c>
      <c r="F86" s="63"/>
      <c r="G86" s="214" t="s">
        <v>115</v>
      </c>
      <c r="H86" s="300" t="n">
        <f aca="false">((((H83*H29)+H81))/(1-H70))*H70</f>
        <v>46.1479717554721</v>
      </c>
      <c r="I86" s="215"/>
      <c r="J86" s="215"/>
      <c r="K86" s="216"/>
      <c r="L86" s="63"/>
      <c r="M86" s="214" t="s">
        <v>115</v>
      </c>
      <c r="N86" s="300" t="n">
        <f aca="false">(N85/(1-N70))*N70</f>
        <v>46.0314933367549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15881.4792822478</v>
      </c>
      <c r="C87" s="473"/>
      <c r="D87" s="475"/>
      <c r="E87" s="466" t="n">
        <f aca="false">E86+E85</f>
        <v>1323.45660685398</v>
      </c>
      <c r="F87" s="63"/>
      <c r="G87" s="285" t="s">
        <v>116</v>
      </c>
      <c r="H87" s="133" t="n">
        <f aca="false">IF(H110="YES",((H85+H86)-K114),(H85+H86))</f>
        <v>6583.33779928777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5479.93968294701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16.9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13.2141176470588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11.0117647058824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1323.45660685398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387.255164663987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322.34939311453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1340.35660685398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400.469282311046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333.361157820412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239.988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387.255164663987</v>
      </c>
      <c r="H127" s="177" t="n">
        <f aca="false">IF(G105="YES", H89*H57, 0)</f>
        <v>79.2847058823529</v>
      </c>
      <c r="I127" s="177"/>
      <c r="J127" s="334" t="n">
        <f aca="false">H91</f>
        <v>400.469282311046</v>
      </c>
      <c r="K127" s="216"/>
      <c r="L127" s="63"/>
      <c r="M127" s="333" t="n">
        <f aca="false">N90</f>
        <v>322.34939311453</v>
      </c>
      <c r="N127" s="177" t="n">
        <f aca="false">IF(M105="YES", N89*N57, 0)</f>
        <v>66.0705882352941</v>
      </c>
      <c r="O127" s="177"/>
      <c r="P127" s="177" t="n">
        <f aca="false">N91</f>
        <v>333.361157820412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1323.45660685398</v>
      </c>
      <c r="B128" s="321" t="n">
        <f aca="false">IF(A105="YES", B89, 0)</f>
        <v>16.9</v>
      </c>
      <c r="C128" s="325"/>
      <c r="D128" s="321" t="n">
        <f aca="false">B91</f>
        <v>1340.35660685398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1323.45660685398</v>
      </c>
      <c r="C131" s="317"/>
      <c r="D131" s="38" t="n">
        <f aca="false">IF(A105="YES", B89*B57, 0)</f>
        <v>16.9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2323.53098798392</v>
      </c>
      <c r="H133" s="103" t="n">
        <f aca="false">IF(G105="YES", H89*H57, 0)</f>
        <v>79.2847058823529</v>
      </c>
      <c r="I133" s="221"/>
      <c r="J133" s="184" t="n">
        <f aca="false">H91*H57</f>
        <v>2402.81569386627</v>
      </c>
      <c r="K133" s="216"/>
      <c r="L133" s="63"/>
      <c r="M133" s="185" t="n">
        <f aca="false">N90*N57</f>
        <v>1934.09635868718</v>
      </c>
      <c r="N133" s="103" t="n">
        <f aca="false">IF(M105="YES", N89*N57, 0)</f>
        <v>66.0705882352941</v>
      </c>
      <c r="O133" s="221"/>
      <c r="P133" s="184" t="n">
        <f aca="false">N91*N57</f>
        <v>2000.16694692247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1340.35660685398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1323.45660685398</v>
      </c>
      <c r="B137" s="38" t="n">
        <f aca="false">IF(A105="YES", B89, 0)</f>
        <v>16.9</v>
      </c>
      <c r="C137" s="317"/>
      <c r="D137" s="38" t="n">
        <f aca="false">B91</f>
        <v>1340.35660685398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3.12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3.12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117</v>
      </c>
      <c r="B148" s="103" t="n">
        <f aca="false">B102</f>
        <v>0</v>
      </c>
      <c r="C148" s="38"/>
      <c r="D148" s="38" t="n">
        <f aca="false">IF(A105="YES", (B40*B105)*B125, 0)*0.1</f>
        <v>4.68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221.67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400.469282311046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333.361157820412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1340.35660685398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1323.45660685398</v>
      </c>
      <c r="B177" s="355" t="n">
        <f aca="false">IF(A105="YES", B89, 0)</f>
        <v>16.9</v>
      </c>
      <c r="C177" s="357"/>
      <c r="D177" s="355" t="n">
        <f aca="false">B91</f>
        <v>1340.35660685398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1323.45660685398</v>
      </c>
      <c r="C180" s="353"/>
      <c r="D180" s="103" t="n">
        <f aca="false">IF(A105="YES", B89*B57, 0)</f>
        <v>16.9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1340.35660685398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1323.45660685398</v>
      </c>
      <c r="B186" s="103" t="n">
        <f aca="false">IF(A105="YES", B89, 0)</f>
        <v>16.9</v>
      </c>
      <c r="C186" s="353"/>
      <c r="D186" s="103" t="n">
        <f aca="false">B91</f>
        <v>1340.35660685398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117</v>
      </c>
      <c r="B197" s="103" t="n">
        <f aca="false">B102</f>
        <v>0</v>
      </c>
      <c r="C197" s="103"/>
      <c r="D197" s="103" t="n">
        <f aca="false">IF(A105="YES", (B40*B105)*B125, 0)*0.1</f>
        <v>4.68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221.67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117</v>
      </c>
      <c r="C211" s="320" t="s">
        <v>217</v>
      </c>
      <c r="D211" s="370" t="n">
        <f aca="false">B225+E221+B221+B223</f>
        <v>146.79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10029.79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117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10029.79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46.8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133.404425970882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9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216.666666666667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219.333333333333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219.333333333333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219.333333333333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219.333333333333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219.333333333333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1505.72591792776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0</v>
      </c>
      <c r="C176" s="174"/>
      <c r="D176" s="174"/>
      <c r="E176" s="177" t="n">
        <f aca="false">B105</f>
        <v>1505.72591792776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239.99</v>
      </c>
      <c r="C191" s="103"/>
      <c r="D191" s="23"/>
      <c r="E191" s="103" t="n">
        <f aca="false">E188+A191+B191+A194</f>
        <v>22812.9750972053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119.79165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219.783316666667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1505.72591792776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E188+A210+B191+A194</f>
        <v>22130.8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0</v>
      </c>
      <c r="C221" s="174"/>
      <c r="D221" s="174"/>
      <c r="E221" s="177" t="n">
        <f aca="false">E176</f>
        <v>1505.72591792776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239.99</v>
      </c>
      <c r="C233" s="103"/>
      <c r="D233" s="113"/>
      <c r="E233" s="103" t="n">
        <f aca="false">E191</f>
        <v>22812.9750972053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0</v>
      </c>
      <c r="C239" s="186"/>
      <c r="D239" s="186"/>
      <c r="E239" s="103" t="n">
        <f aca="false">E176</f>
        <v>1505.72591792776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2178.11331666667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648.416783871979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648.416783871979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22000</v>
      </c>
      <c r="B37" s="32"/>
      <c r="C37" s="41" t="s">
        <v>45</v>
      </c>
      <c r="D37" s="41"/>
      <c r="E37" s="32"/>
      <c r="F37" s="43" t="n">
        <f aca="false">A37-C37</f>
        <v>21000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4400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283.333333333333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219.333333333333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249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16550.9850972053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143.74998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21000</v>
      </c>
      <c r="C90" s="32"/>
      <c r="D90" s="32"/>
      <c r="E90" s="23"/>
      <c r="F90" s="25" t="s">
        <v>105</v>
      </c>
      <c r="G90" s="27" t="n">
        <f aca="false">F37</f>
        <v>21000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5351.12605035243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15648.8739496476</v>
      </c>
      <c r="C97" s="32"/>
      <c r="D97" s="32"/>
      <c r="E97" s="23"/>
      <c r="F97" s="31" t="s">
        <v>112</v>
      </c>
      <c r="G97" s="33" t="n">
        <f aca="false">G90-G95</f>
        <v>15376.6089154658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1505.72591792776</v>
      </c>
      <c r="C98" s="32"/>
      <c r="D98" s="32"/>
      <c r="E98" s="23"/>
      <c r="F98" s="31" t="s">
        <v>113</v>
      </c>
      <c r="G98" s="33" t="n">
        <f aca="false">(G97/G96)</f>
        <v>1443.71343665655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16562.9850972053</v>
      </c>
      <c r="C99" s="32"/>
      <c r="D99" s="32"/>
      <c r="E99" s="23"/>
      <c r="F99" s="31" t="s">
        <v>114</v>
      </c>
      <c r="G99" s="33" t="n">
        <f aca="false">((G98*(G94))+G86)</f>
        <v>15880.847803222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16562.9850972053</v>
      </c>
      <c r="C101" s="32"/>
      <c r="D101" s="32"/>
      <c r="E101" s="23"/>
      <c r="F101" s="56" t="s">
        <v>116</v>
      </c>
      <c r="G101" s="65" t="n">
        <f aca="false">(G99+G100)</f>
        <v>15880.847803222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1505.72591792776</v>
      </c>
      <c r="C104" s="32"/>
      <c r="D104" s="32"/>
      <c r="E104" s="23"/>
      <c r="F104" s="95" t="s">
        <v>118</v>
      </c>
      <c r="G104" s="96" t="n">
        <f aca="false">G101/(G94)</f>
        <v>1443.71343665655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1576.63500883685</v>
      </c>
      <c r="C105" s="32"/>
      <c r="D105" s="32"/>
      <c r="E105" s="23" t="s">
        <v>18</v>
      </c>
      <c r="F105" s="97" t="s">
        <v>119</v>
      </c>
      <c r="G105" s="98" t="n">
        <f aca="false">G103+G104</f>
        <v>1443.71343665655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26400</v>
      </c>
      <c r="C130" s="121" t="n">
        <v>23958.33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26400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26400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26400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26400</v>
      </c>
      <c r="C134" s="133" t="n">
        <f aca="false">C130-C133</f>
        <v>23958.33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22000</v>
      </c>
      <c r="H144" s="153" t="n">
        <f aca="false">C134+E134+G134+H137</f>
        <v>23958.33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4400</v>
      </c>
      <c r="H146" s="33" t="n">
        <f aca="false">(H144+H145)*20%</f>
        <v>4791.666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26400</v>
      </c>
      <c r="H150" s="157" t="n">
        <f aca="false">(H144+H145+H148+H149+H146)-H147</f>
        <v>28749.996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26400</v>
      </c>
      <c r="H156" s="164" t="n">
        <f aca="false">H150-((H153*1.2)+(H154*1.2)+(H155*1.2)+(H151*1.2))</f>
        <v>28749.996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1958.33</v>
      </c>
      <c r="I157" s="1" t="n">
        <f aca="false">(H157-G90)/1.2</f>
        <v>-15868.0583333333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28749.996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1505.72591792776</v>
      </c>
      <c r="B176" s="177" t="n">
        <f aca="false">B103</f>
        <v>70.9090909090909</v>
      </c>
      <c r="C176" s="174"/>
      <c r="D176" s="174"/>
      <c r="E176" s="177" t="n">
        <f aca="false">B105</f>
        <v>1576.63500883685</v>
      </c>
      <c r="F176" s="23"/>
      <c r="G176" s="23" t="n">
        <f aca="false">ROUND(G104, 2)</f>
        <v>1443.71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23958.33</v>
      </c>
      <c r="B182" s="103" t="n">
        <f aca="false">H146</f>
        <v>4791.666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28749.996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28749.996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-6187.01090279469</v>
      </c>
      <c r="B191" s="103" t="str">
        <f aca="false">B123</f>
        <v>199.99</v>
      </c>
      <c r="C191" s="103"/>
      <c r="D191" s="23"/>
      <c r="E191" s="103" t="n">
        <f aca="false">E188+A191+(B191*1.2)+A194</f>
        <v>22812.9730972053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119.79165</v>
      </c>
      <c r="C197" s="93"/>
      <c r="D197" s="93"/>
      <c r="E197" s="103" t="n">
        <f aca="false">K55*A117*0.1</f>
        <v>18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237.78165</v>
      </c>
      <c r="C200" s="93"/>
      <c r="D200" s="93"/>
      <c r="E200" s="103" t="n">
        <f aca="false">H157</f>
        <v>1958.33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1576.63500883685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-6869.186</v>
      </c>
      <c r="B210" s="186" t="n">
        <f aca="false">E188+A210+(B191*1.2)+A194</f>
        <v>22130.798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1505.72591792776</v>
      </c>
      <c r="B221" s="177" t="n">
        <f aca="false">B176</f>
        <v>70.9090909090909</v>
      </c>
      <c r="C221" s="174"/>
      <c r="D221" s="174"/>
      <c r="E221" s="177" t="n">
        <f aca="false">E176</f>
        <v>1576.63500883685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23958.33</v>
      </c>
      <c r="B224" s="103" t="n">
        <f aca="false">B182</f>
        <v>4791.666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28749.996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28749.996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-6187.01090279469</v>
      </c>
      <c r="B233" s="103" t="str">
        <f aca="false">B191</f>
        <v>199.99</v>
      </c>
      <c r="C233" s="103"/>
      <c r="D233" s="113"/>
      <c r="E233" s="103" t="n">
        <f aca="false">E191</f>
        <v>22812.9730972053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1505.72591792776</v>
      </c>
      <c r="B239" s="103" t="n">
        <f aca="false">B176</f>
        <v>70.9090909090909</v>
      </c>
      <c r="C239" s="186"/>
      <c r="D239" s="186"/>
      <c r="E239" s="103" t="n">
        <f aca="false">E176</f>
        <v>1576.63500883685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1958.33</v>
      </c>
      <c r="B249" s="103" t="n">
        <f aca="false">B197</f>
        <v>119.79165</v>
      </c>
      <c r="C249" s="93"/>
      <c r="D249" s="93"/>
      <c r="E249" s="103" t="n">
        <f aca="false">E197</f>
        <v>18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2196.11165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692.175097205312</v>
      </c>
      <c r="C263" s="197"/>
      <c r="D263" s="198" t="s">
        <v>216</v>
      </c>
      <c r="E263" s="198"/>
      <c r="F263" s="200" t="n">
        <f aca="false">F270+F276+F278+B279+B280</f>
        <v>143.74998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279.99</v>
      </c>
      <c r="C264" s="197"/>
      <c r="D264" s="198" t="s">
        <v>218</v>
      </c>
      <c r="E264" s="198"/>
      <c r="F264" s="200" t="n">
        <f aca="false">(B263-F263)+B264</f>
        <v>828.415117205312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16562.9850972053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143.74998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180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828.415117205312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20509.6597746903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269.5312125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17087.5385258558</v>
      </c>
      <c r="C88" s="93" t="n">
        <f aca="false">B81-B86</f>
        <v>17087.5385258558</v>
      </c>
      <c r="D88" s="93"/>
      <c r="E88" s="113"/>
      <c r="F88" s="31" t="s">
        <v>112</v>
      </c>
      <c r="G88" s="33" t="n">
        <f aca="false">G81-G86</f>
        <v>16517.5200059278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656.563231595436</v>
      </c>
      <c r="C89" s="93" t="n">
        <f aca="false">(B88/B87)</f>
        <v>656.563231595436</v>
      </c>
      <c r="D89" s="93"/>
      <c r="E89" s="113"/>
      <c r="F89" s="31" t="s">
        <v>113</v>
      </c>
      <c r="G89" s="33" t="n">
        <f aca="false">(G88/G87)</f>
        <v>595.205606615054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21010.023411054</v>
      </c>
      <c r="C90" s="93"/>
      <c r="D90" s="93"/>
      <c r="E90" s="113"/>
      <c r="F90" s="31" t="s">
        <v>114</v>
      </c>
      <c r="G90" s="33" t="n">
        <f aca="false">((G89*(G85))+G77)</f>
        <v>19046.5794116817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21010.023411054</v>
      </c>
      <c r="C92" s="93"/>
      <c r="D92" s="93"/>
      <c r="E92" s="113"/>
      <c r="F92" s="56" t="s">
        <v>116</v>
      </c>
      <c r="G92" s="65" t="n">
        <f aca="false">(G90+G91)</f>
        <v>19046.5794116817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656.563231595436</v>
      </c>
      <c r="C95" s="93"/>
      <c r="D95" s="93"/>
      <c r="E95" s="113"/>
      <c r="F95" s="95" t="s">
        <v>118</v>
      </c>
      <c r="G95" s="96" t="n">
        <f aca="false">G92/(G85)</f>
        <v>595.205606615054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656.563231595436</v>
      </c>
      <c r="C96" s="93"/>
      <c r="D96" s="93"/>
      <c r="E96" s="113"/>
      <c r="F96" s="97" t="s">
        <v>119</v>
      </c>
      <c r="G96" s="98" t="n">
        <f aca="false">G94+G95</f>
        <v>595.205606615054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656.563231595436</v>
      </c>
      <c r="B167" s="177" t="str">
        <f aca="false">B94</f>
        <v>0</v>
      </c>
      <c r="C167" s="174"/>
      <c r="D167" s="174"/>
      <c r="E167" s="177" t="n">
        <f aca="false">B96</f>
        <v>656.563231595436</v>
      </c>
      <c r="F167" s="23"/>
      <c r="G167" s="23" t="n">
        <f aca="false">ROUND(G95, 2)</f>
        <v>595.21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-1739.97258894604</v>
      </c>
      <c r="B182" s="103" t="str">
        <f aca="false">B114</f>
        <v>239.99</v>
      </c>
      <c r="C182" s="103"/>
      <c r="D182" s="23"/>
      <c r="E182" s="103" t="n">
        <f aca="false">E179+A182+B182+A185</f>
        <v>27260.013411054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224.60934375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324.601010416667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656.563231595436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-3703.276</v>
      </c>
      <c r="B201" s="186" t="n">
        <f aca="false">E179+A201+B182+A185</f>
        <v>25296.71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656.563231595436</v>
      </c>
      <c r="B212" s="177" t="str">
        <f aca="false">B167</f>
        <v>0</v>
      </c>
      <c r="C212" s="174"/>
      <c r="D212" s="174"/>
      <c r="E212" s="177" t="n">
        <f aca="false">E167</f>
        <v>656.563231595436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-1739.97258894604</v>
      </c>
      <c r="B224" s="103" t="str">
        <f aca="false">B182</f>
        <v>239.99</v>
      </c>
      <c r="C224" s="103"/>
      <c r="D224" s="113"/>
      <c r="E224" s="103" t="n">
        <f aca="false">E182</f>
        <v>27260.013411054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656.563231595436</v>
      </c>
      <c r="B230" s="103" t="str">
        <f aca="false">B167</f>
        <v>0</v>
      </c>
      <c r="C230" s="186"/>
      <c r="D230" s="186"/>
      <c r="E230" s="103" t="n">
        <f aca="false">E167</f>
        <v>656.563231595436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224.60934375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2282.93101041667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1973.30341105396</v>
      </c>
      <c r="C254" s="197"/>
      <c r="D254" s="198" t="s">
        <v>216</v>
      </c>
      <c r="E254" s="198"/>
      <c r="F254" s="200" t="n">
        <f aca="false">F261+F267+F269+B270+B271</f>
        <v>269.5312125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1803.76386522063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269.5312125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1803.76386522063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249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16061.9850972053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5351.12605035243</v>
      </c>
      <c r="C86" s="93" t="n">
        <f aca="false">(B82/((1+B84)^(B85+1)))</f>
        <v>5351.12605035243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10.3929099999715</v>
      </c>
      <c r="C87" s="93" t="n">
        <f aca="false">((1-(1/((1+B84)^B85)))/B84)</f>
        <v>10.3929099999715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15648.8739496476</v>
      </c>
      <c r="C88" s="93" t="n">
        <f aca="false">B81-B86</f>
        <v>15648.8739496476</v>
      </c>
      <c r="D88" s="93"/>
      <c r="E88" s="113"/>
      <c r="F88" s="31" t="s">
        <v>112</v>
      </c>
      <c r="G88" s="33" t="n">
        <f aca="false">G81-G86</f>
        <v>15376.6089154658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1505.72591792776</v>
      </c>
      <c r="C89" s="93" t="n">
        <f aca="false">(B88/B87)</f>
        <v>1505.72591792776</v>
      </c>
      <c r="D89" s="93"/>
      <c r="E89" s="113"/>
      <c r="F89" s="31" t="s">
        <v>113</v>
      </c>
      <c r="G89" s="33" t="n">
        <f aca="false">(G88/G87)</f>
        <v>1443.71343665655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16562.9850972053</v>
      </c>
      <c r="C90" s="93"/>
      <c r="D90" s="93"/>
      <c r="E90" s="113"/>
      <c r="F90" s="31" t="s">
        <v>114</v>
      </c>
      <c r="G90" s="33" t="n">
        <f aca="false">((G89*(G85))+G77)</f>
        <v>15880.847803222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16562.9850972053</v>
      </c>
      <c r="C92" s="93"/>
      <c r="D92" s="93"/>
      <c r="E92" s="113"/>
      <c r="F92" s="56" t="s">
        <v>116</v>
      </c>
      <c r="G92" s="65" t="n">
        <f aca="false">(G90+G91)</f>
        <v>15880.847803222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1505.72591792776</v>
      </c>
      <c r="C95" s="93"/>
      <c r="D95" s="93"/>
      <c r="E95" s="113"/>
      <c r="F95" s="95" t="s">
        <v>118</v>
      </c>
      <c r="G95" s="96" t="n">
        <f aca="false">G92/(G85)</f>
        <v>1443.71343665655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1505.72591792776</v>
      </c>
      <c r="C96" s="93"/>
      <c r="D96" s="93"/>
      <c r="E96" s="113"/>
      <c r="F96" s="97" t="s">
        <v>119</v>
      </c>
      <c r="G96" s="98" t="n">
        <f aca="false">G94+G95</f>
        <v>1443.71343665655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1505.72591792776</v>
      </c>
      <c r="B167" s="177" t="n">
        <f aca="false">B94</f>
        <v>0</v>
      </c>
      <c r="C167" s="174"/>
      <c r="D167" s="174"/>
      <c r="E167" s="177" t="n">
        <f aca="false">B96</f>
        <v>1505.72591792776</v>
      </c>
      <c r="F167" s="23"/>
      <c r="G167" s="23" t="n">
        <f aca="false">ROUND(G95, 2)</f>
        <v>1443.71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-6187.01090279469</v>
      </c>
      <c r="B182" s="103" t="str">
        <f aca="false">B114</f>
        <v>199.99</v>
      </c>
      <c r="C182" s="103"/>
      <c r="D182" s="23"/>
      <c r="E182" s="103" t="n">
        <f aca="false">E179+A182+(B182*1.2)+A185</f>
        <v>22812.9730972053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1505.72591792776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-6869.186</v>
      </c>
      <c r="B201" s="186" t="n">
        <f aca="false">E179+A201+(B182*1.2)+A185</f>
        <v>22130.798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1505.72591792776</v>
      </c>
      <c r="B212" s="177" t="n">
        <f aca="false">B167</f>
        <v>0</v>
      </c>
      <c r="C212" s="174"/>
      <c r="D212" s="174"/>
      <c r="E212" s="177" t="n">
        <f aca="false">E167</f>
        <v>1505.72591792776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-6187.01090279469</v>
      </c>
      <c r="B224" s="103" t="str">
        <f aca="false">B182</f>
        <v>199.99</v>
      </c>
      <c r="C224" s="103"/>
      <c r="D224" s="113"/>
      <c r="E224" s="103" t="n">
        <f aca="false">E182</f>
        <v>22812.9730972053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1505.72591792776</v>
      </c>
      <c r="B230" s="103" t="n">
        <f aca="false">B167</f>
        <v>0</v>
      </c>
      <c r="C230" s="186"/>
      <c r="D230" s="186"/>
      <c r="E230" s="103" t="n">
        <f aca="false">E167</f>
        <v>1505.72591792776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692.175097205312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648.415117205312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648.415117205312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239.99</v>
      </c>
      <c r="C182" s="103"/>
      <c r="D182" s="23"/>
      <c r="E182" s="103" t="n">
        <f aca="false">E179+A182+B182+A185</f>
        <v>23382.1654280035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119.79165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219.783316666667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E179+A201+B182+A185</f>
        <v>22696.75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239.99</v>
      </c>
      <c r="C224" s="103"/>
      <c r="D224" s="113"/>
      <c r="E224" s="103" t="n">
        <f aca="false">E182</f>
        <v>23382.1654280035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2178.11331666667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651.657114670138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651.657114670138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15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21000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16631.1754280035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143.74998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21000</v>
      </c>
      <c r="C81" s="93"/>
      <c r="D81" s="93"/>
      <c r="E81" s="113"/>
      <c r="F81" s="25" t="s">
        <v>105</v>
      </c>
      <c r="G81" s="27" t="n">
        <f aca="false">B81</f>
        <v>21000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5135.98267310144</v>
      </c>
      <c r="C86" s="93" t="n">
        <f aca="false">(B82/((1+B84)^(B85+1)))</f>
        <v>5135.98267310144</v>
      </c>
      <c r="D86" s="93"/>
      <c r="E86" s="113"/>
      <c r="F86" s="31" t="s">
        <v>110</v>
      </c>
      <c r="G86" s="33" t="n">
        <f aca="false">(G82/((1+G84)^(G85+1)))</f>
        <v>5396.38500178872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10.1857578641559</v>
      </c>
      <c r="C87" s="93" t="n">
        <f aca="false">((1-(1/((1+B84)^B85)))/B84)</f>
        <v>10.1857578641559</v>
      </c>
      <c r="D87" s="93"/>
      <c r="E87" s="113"/>
      <c r="F87" s="31" t="s">
        <v>111</v>
      </c>
      <c r="G87" s="33" t="n">
        <f aca="false">((1-(1/((1+G84)^G85)))/G84)</f>
        <v>10.4360954238574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15864.0173268986</v>
      </c>
      <c r="C88" s="93" t="n">
        <f aca="false">B81-B86</f>
        <v>15864.0173268986</v>
      </c>
      <c r="D88" s="93"/>
      <c r="E88" s="113"/>
      <c r="F88" s="31" t="s">
        <v>112</v>
      </c>
      <c r="G88" s="33" t="n">
        <f aca="false">G81-G86</f>
        <v>15603.6149982113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1557.47049345486</v>
      </c>
      <c r="C89" s="93" t="n">
        <f aca="false">(B88/B87)</f>
        <v>1557.47049345486</v>
      </c>
      <c r="D89" s="93"/>
      <c r="E89" s="113"/>
      <c r="F89" s="31" t="s">
        <v>113</v>
      </c>
      <c r="G89" s="33" t="n">
        <f aca="false">(G88/G87)</f>
        <v>1495.15832928671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17132.1754280035</v>
      </c>
      <c r="C90" s="93"/>
      <c r="D90" s="93"/>
      <c r="E90" s="113"/>
      <c r="F90" s="31" t="s">
        <v>114</v>
      </c>
      <c r="G90" s="33" t="n">
        <f aca="false">((G89*(G85))+G77)</f>
        <v>16446.7416221538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17132.1754280035</v>
      </c>
      <c r="C92" s="93"/>
      <c r="D92" s="93"/>
      <c r="E92" s="113"/>
      <c r="F92" s="56" t="s">
        <v>116</v>
      </c>
      <c r="G92" s="65" t="n">
        <f aca="false">(G90+G91)</f>
        <v>16446.7416221538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1557.47049345486</v>
      </c>
      <c r="C95" s="93"/>
      <c r="D95" s="93"/>
      <c r="E95" s="113"/>
      <c r="F95" s="95" t="s">
        <v>118</v>
      </c>
      <c r="G95" s="96" t="n">
        <f aca="false">G92/(G85)</f>
        <v>1495.15832928671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1557.47049345486</v>
      </c>
      <c r="C96" s="93"/>
      <c r="D96" s="93"/>
      <c r="E96" s="113"/>
      <c r="F96" s="97" t="s">
        <v>119</v>
      </c>
      <c r="G96" s="98" t="n">
        <f aca="false">G94+G95</f>
        <v>1495.15832928671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26400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26400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22000</v>
      </c>
      <c r="H135" s="153" t="n">
        <f aca="false">C125+E125+G125+H128</f>
        <v>23958.33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-15868.0583333333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28749.996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1557.47049345486</v>
      </c>
      <c r="B167" s="177" t="str">
        <f aca="false">B94</f>
        <v>0</v>
      </c>
      <c r="C167" s="174"/>
      <c r="D167" s="174"/>
      <c r="E167" s="177" t="n">
        <f aca="false">B96</f>
        <v>1557.47049345486</v>
      </c>
      <c r="F167" s="23"/>
      <c r="G167" s="23" t="n">
        <f aca="false">ROUND(G95, 2)</f>
        <v>1495.16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28749.996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-5617.82057199653</v>
      </c>
      <c r="B182" s="103" t="str">
        <f aca="false">B114</f>
        <v>199.99</v>
      </c>
      <c r="C182" s="103"/>
      <c r="D182" s="23"/>
      <c r="E182" s="103" t="n">
        <f aca="false">E179+A182+(B182*1.2)+A185</f>
        <v>23382.1634280035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119.79165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219.78165</v>
      </c>
      <c r="C191" s="93"/>
      <c r="D191" s="93"/>
      <c r="E191" s="103" t="n">
        <f aca="false">H148</f>
        <v>1958.33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1557.47049345486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-6303.236</v>
      </c>
      <c r="B201" s="186" t="n">
        <f aca="false">E179+A201+(B182*1.2)+A185</f>
        <v>22696.748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1557.47049345486</v>
      </c>
      <c r="B212" s="177" t="str">
        <f aca="false">B167</f>
        <v>0</v>
      </c>
      <c r="C212" s="174"/>
      <c r="D212" s="174"/>
      <c r="E212" s="177" t="n">
        <f aca="false">E167</f>
        <v>1557.47049345486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28749.996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-5617.82057199653</v>
      </c>
      <c r="B224" s="103" t="str">
        <f aca="false">B182</f>
        <v>199.99</v>
      </c>
      <c r="C224" s="103"/>
      <c r="D224" s="113"/>
      <c r="E224" s="103" t="n">
        <f aca="false">E182</f>
        <v>23382.1634280035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1557.47049345486</v>
      </c>
      <c r="B230" s="103" t="str">
        <f aca="false">B167</f>
        <v>0</v>
      </c>
      <c r="C230" s="186"/>
      <c r="D230" s="186"/>
      <c r="E230" s="103" t="n">
        <f aca="false">E167</f>
        <v>1557.47049345486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B188</f>
        <v>119.79165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2178.11165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695.415428003471</v>
      </c>
      <c r="C254" s="197"/>
      <c r="D254" s="198" t="s">
        <v>216</v>
      </c>
      <c r="E254" s="198"/>
      <c r="F254" s="200" t="n">
        <f aca="false">F261+F267+F269+B270+B271</f>
        <v>143.74998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651.655448003471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143.74998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651.655448003471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266.666666666667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269.333333333333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269.333333333333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269.333333333333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3323.66666666667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276.972222222222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7146.8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50.4513916901977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7197.2513916902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72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599.770949307517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671.770949307517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599.770949307517</v>
      </c>
      <c r="B134" s="321" t="n">
        <f aca="false">IF(A111="YES", B95, 0)</f>
        <v>72</v>
      </c>
      <c r="C134" s="325"/>
      <c r="D134" s="321" t="n">
        <f aca="false">B97</f>
        <v>671.770949307517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599.770949307517</v>
      </c>
      <c r="C137" s="317"/>
      <c r="D137" s="38" t="n">
        <f aca="false">IF(A111="YES", B95*B63, 0)</f>
        <v>72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671.770949307517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599.770949307517</v>
      </c>
      <c r="B143" s="38" t="n">
        <f aca="false">IF(A111="YES", B95, 0)</f>
        <v>72</v>
      </c>
      <c r="C143" s="317"/>
      <c r="D143" s="38" t="n">
        <f aca="false">B97</f>
        <v>671.770949307517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699.011666666667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671.770949307517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599.770949307517</v>
      </c>
      <c r="B177" s="355" t="n">
        <f aca="false">IF(A111="YES", B95, 0)</f>
        <v>72</v>
      </c>
      <c r="C177" s="357"/>
      <c r="D177" s="355" t="n">
        <f aca="false">A177+B177</f>
        <v>671.770949307517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599.770949307517</v>
      </c>
      <c r="C180" s="353"/>
      <c r="D180" s="103" t="n">
        <f aca="false">IF(A111="YES", B95*B63, 0)</f>
        <v>72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671.770949307517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599.770949307517</v>
      </c>
      <c r="B186" s="103" t="n">
        <f aca="false">IF(A111="YES", B95, 0)</f>
        <v>72</v>
      </c>
      <c r="C186" s="353"/>
      <c r="D186" s="103" t="n">
        <f aca="false">B97</f>
        <v>671.770949307517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699.011666666667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459.991666666667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2120.97166666667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50.4513916901977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4400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337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283.333333333333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216.666666666667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219.333333333333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219.333333333333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219.333333333333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317" t="n">
        <v>10000</v>
      </c>
      <c r="D70" s="32" t="n">
        <f aca="false">B70-A149</f>
        <v>1848</v>
      </c>
      <c r="E70" s="318" t="n">
        <f aca="false">D70/12</f>
        <v>154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</v>
      </c>
      <c r="C80" s="317"/>
      <c r="D80" s="317"/>
      <c r="E80" s="404" t="n">
        <f aca="false">E79+D82</f>
        <v>809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67.4166666666667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195</v>
      </c>
      <c r="C82" s="317"/>
      <c r="D82" s="32" t="n">
        <f aca="false">IF(A50="YES", 0, B82)</f>
        <v>195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0</v>
      </c>
      <c r="C83" s="317"/>
      <c r="D83" s="32" t="n">
        <f aca="false">B83</f>
        <v>0</v>
      </c>
      <c r="E83" s="318" t="n">
        <f aca="false">D83/12</f>
        <v>0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0</v>
      </c>
      <c r="C84" s="317"/>
      <c r="D84" s="32" t="n">
        <f aca="false">B84</f>
        <v>0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2657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221.416666666667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219.333333333333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5289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44.8039532069383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5333.80395320694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444.483662767245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444.483662767245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444.483662767245</v>
      </c>
      <c r="B134" s="321" t="n">
        <f aca="false">IF(A111="YES", B95, 0)</f>
        <v>0</v>
      </c>
      <c r="C134" s="326"/>
      <c r="D134" s="321" t="n">
        <f aca="false">B97</f>
        <v>444.483662767245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4000.3529649052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4000.3529649052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444.483662767245</v>
      </c>
      <c r="B143" s="38" t="n">
        <f aca="false">IF(A111="YES", B95, 0)</f>
        <v>0</v>
      </c>
      <c r="C143" s="317"/>
      <c r="D143" s="38" t="n">
        <f aca="false">B97</f>
        <v>444.483662767245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0</v>
      </c>
      <c r="C154" s="38"/>
      <c r="D154" s="38" t="n">
        <f aca="false">IF(A111="YES", (A44/100*B111)*B131, 0)*0.1</f>
        <v>0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4400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287.01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444.483662767245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444.483662767245</v>
      </c>
      <c r="B177" s="355" t="n">
        <f aca="false">IF(A111="YES", B95, 0)</f>
        <v>0</v>
      </c>
      <c r="C177" s="358"/>
      <c r="D177" s="355" t="n">
        <f aca="false">B91</f>
        <v>5289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4000.3529649052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4000.3529649052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444.483662767245</v>
      </c>
      <c r="B186" s="103" t="n">
        <f aca="false">IF(A111="YES", B95, 0)</f>
        <v>0</v>
      </c>
      <c r="C186" s="353"/>
      <c r="D186" s="103" t="n">
        <f aca="false">B97</f>
        <v>444.483662767245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287.01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1848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99.99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1760.97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1760.97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44.8039532069383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6913.57402178298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6913.57402178298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6913.57402178298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6913.57402178298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B97</f>
        <v>940.156992066694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9335.66666666667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9414.75057146699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784.562547622249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784.562547622249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784.562547622249</v>
      </c>
      <c r="B134" s="321" t="n">
        <f aca="false">IF(A111="YES", B95, 0)</f>
        <v>0</v>
      </c>
      <c r="C134" s="326"/>
      <c r="D134" s="321" t="n">
        <f aca="false">B97</f>
        <v>784.562547622249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784.562547622249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784.562547622249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784.562547622249</v>
      </c>
      <c r="B143" s="38" t="n">
        <f aca="false">IF(A111="YES", B95, 0)</f>
        <v>0</v>
      </c>
      <c r="C143" s="317"/>
      <c r="D143" s="38" t="n">
        <f aca="false">B97</f>
        <v>784.562547622249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784.562547622249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784.562547622249</v>
      </c>
      <c r="B177" s="355" t="n">
        <f aca="false">IF(A111="YES", B95, 0)</f>
        <v>0</v>
      </c>
      <c r="C177" s="358"/>
      <c r="D177" s="355" t="n">
        <f aca="false">B91</f>
        <v>9335.66666666667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784.562547622249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784.562547622249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784.562547622249</v>
      </c>
      <c r="B186" s="103" t="n">
        <f aca="false">IF(A111="YES", B95, 0)</f>
        <v>0</v>
      </c>
      <c r="C186" s="353"/>
      <c r="D186" s="103" t="n">
        <f aca="false">B97</f>
        <v>784.562547622249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3128.66666666667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260.722222222222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9140.66666666667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77.4320290439694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9218.09869571064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768.17489130922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768.17489130922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768.17489130922</v>
      </c>
      <c r="B134" s="321" t="n">
        <f aca="false">IF(A111="YES", B95, 0)</f>
        <v>0</v>
      </c>
      <c r="C134" s="326"/>
      <c r="D134" s="321" t="n">
        <f aca="false">B97</f>
        <v>768.17489130922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768.17489130922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768.17489130922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768.17489130922</v>
      </c>
      <c r="B143" s="38" t="n">
        <f aca="false">IF(A111="YES", B95, 0)</f>
        <v>0</v>
      </c>
      <c r="C143" s="317"/>
      <c r="D143" s="38" t="n">
        <f aca="false">B97</f>
        <v>768.17489130922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768.17489130922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768.17489130922</v>
      </c>
      <c r="B177" s="355" t="n">
        <f aca="false">IF(A111="YES", B95, 0)</f>
        <v>0</v>
      </c>
      <c r="C177" s="358"/>
      <c r="D177" s="355" t="n">
        <f aca="false">B91</f>
        <v>9140.66666666667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768.17489130922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768.17489130922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768.17489130922</v>
      </c>
      <c r="B186" s="103" t="n">
        <f aca="false">IF(A111="YES", B95, 0)</f>
        <v>0</v>
      </c>
      <c r="C186" s="353"/>
      <c r="D186" s="103" t="n">
        <f aca="false">B97</f>
        <v>768.17489130922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77.4320290439694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26400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1848</v>
      </c>
      <c r="C70" s="215" t="n">
        <v>10000</v>
      </c>
      <c r="D70" s="291" t="n">
        <f aca="false">B70-A149</f>
        <v>1848</v>
      </c>
      <c r="E70" s="216" t="n">
        <f aca="false">D70/12</f>
        <v>154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3323.66666666667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276.972222222222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11202.8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79.0839048003227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11281.8839048003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940.156992066694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940.156992066694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940.156992066694</v>
      </c>
      <c r="B134" s="321" t="n">
        <f aca="false">IF(A111="YES", B95, 0)</f>
        <v>0</v>
      </c>
      <c r="C134" s="326"/>
      <c r="D134" s="321" t="n">
        <f aca="false">B97</f>
        <v>940.156992066694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940.156992066694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940.156992066694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940.156992066694</v>
      </c>
      <c r="B143" s="38" t="n">
        <f aca="false">IF(A111="YES", B95, 0)</f>
        <v>0</v>
      </c>
      <c r="C143" s="317"/>
      <c r="D143" s="38" t="n">
        <f aca="false">B97</f>
        <v>940.156992066694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687.011666666667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940.156992066694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940.156992066694</v>
      </c>
      <c r="B177" s="355" t="n">
        <f aca="false">IF(A111="YES", B95, 0)</f>
        <v>0</v>
      </c>
      <c r="C177" s="358"/>
      <c r="D177" s="355" t="n">
        <f aca="false">B91</f>
        <v>11202.8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940.156992066694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940.156992066694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940.156992066694</v>
      </c>
      <c r="B186" s="103" t="n">
        <f aca="false">IF(A111="YES", B95, 0)</f>
        <v>0</v>
      </c>
      <c r="C186" s="353"/>
      <c r="D186" s="103" t="n">
        <f aca="false">B97</f>
        <v>940.156992066694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687.011666666667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1848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2000.97166666667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1848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2000.97166666667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79.0839048003227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187.02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809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67.4166666666667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195</v>
      </c>
      <c r="C82" s="215"/>
      <c r="D82" s="291" t="n">
        <f aca="false">IF(A50="YES", 0, B82)</f>
        <v>195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6515.66666666667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542.972222222222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12527.6666666667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106.123840258169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12633.7905069248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1052.81587557707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1052.81587557707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1052.81587557707</v>
      </c>
      <c r="B134" s="321" t="n">
        <f aca="false">IF(A111="YES", B95, 0)</f>
        <v>0</v>
      </c>
      <c r="C134" s="326"/>
      <c r="D134" s="321" t="n">
        <f aca="false">B97</f>
        <v>1052.81587557707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1052.81587557707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1052.81587557707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1052.81587557707</v>
      </c>
      <c r="B143" s="38" t="n">
        <f aca="false">IF(A111="YES", B95, 0)</f>
        <v>0</v>
      </c>
      <c r="C143" s="317"/>
      <c r="D143" s="38" t="n">
        <f aca="false">B97</f>
        <v>1052.81587557707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187.02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687.01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1052.81587557707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1052.81587557707</v>
      </c>
      <c r="B177" s="355" t="n">
        <f aca="false">IF(A111="YES", B95, 0)</f>
        <v>0</v>
      </c>
      <c r="C177" s="358"/>
      <c r="D177" s="355" t="n">
        <f aca="false">B91</f>
        <v>12527.6666666667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1052.81587557707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1052.81587557707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1052.81587557707</v>
      </c>
      <c r="B186" s="103" t="n">
        <f aca="false">IF(A111="YES", B95, 0)</f>
        <v>0</v>
      </c>
      <c r="C186" s="353"/>
      <c r="D186" s="103" t="n">
        <f aca="false">B97</f>
        <v>1052.81587557707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187.02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687.01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187.02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5192.97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187.02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5192.97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106.123840258169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-26766.5028158088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0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</v>
      </c>
      <c r="C81" s="93"/>
      <c r="D81" s="93"/>
      <c r="E81" s="113"/>
      <c r="F81" s="25" t="s">
        <v>105</v>
      </c>
      <c r="G81" s="27" t="n">
        <f aca="false">G158</f>
        <v>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0.179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0.0149166666666667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10753.5075423224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27.1122826196943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-10753.5075423224</v>
      </c>
      <c r="C88" s="93"/>
      <c r="D88" s="93"/>
      <c r="E88" s="113"/>
      <c r="F88" s="31" t="s">
        <v>112</v>
      </c>
      <c r="G88" s="33" t="n">
        <f aca="false">G81-G86</f>
        <v>-13332.1137955163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-396.628631132337</v>
      </c>
      <c r="C89" s="93"/>
      <c r="D89" s="93"/>
      <c r="E89" s="113"/>
      <c r="F89" s="31" t="s">
        <v>113</v>
      </c>
      <c r="G89" s="33" t="n">
        <f aca="false">(G88/G87)</f>
        <v>-444.811090885438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-13882.0020896318</v>
      </c>
      <c r="C90" s="93"/>
      <c r="D90" s="93"/>
      <c r="E90" s="113"/>
      <c r="F90" s="31" t="s">
        <v>114</v>
      </c>
      <c r="G90" s="33" t="n">
        <f aca="false">((G89*(G85))+G77)</f>
        <v>-15568.3881809903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-13882.0020896318</v>
      </c>
      <c r="C92" s="93"/>
      <c r="D92" s="93"/>
      <c r="E92" s="113"/>
      <c r="F92" s="56" t="s">
        <v>116</v>
      </c>
      <c r="G92" s="65" t="n">
        <f aca="false">(G90+G91)</f>
        <v>-15568.3881809903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-396.628631132337</v>
      </c>
      <c r="C95" s="93"/>
      <c r="D95" s="93"/>
      <c r="E95" s="113"/>
      <c r="F95" s="95" t="s">
        <v>118</v>
      </c>
      <c r="G95" s="96" t="n">
        <f aca="false">G92/(G85)</f>
        <v>-444.811090885438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-396.628631132337</v>
      </c>
      <c r="C96" s="93"/>
      <c r="D96" s="93"/>
      <c r="E96" s="113"/>
      <c r="F96" s="97" t="s">
        <v>119</v>
      </c>
      <c r="G96" s="98" t="n">
        <f aca="false">G94+G95</f>
        <v>-444.811090885438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0.179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-22000</v>
      </c>
      <c r="I148" s="1" t="n">
        <f aca="false">(H148-G81)/1.2</f>
        <v>-18333.3333333333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-396.628631132337</v>
      </c>
      <c r="B167" s="177" t="str">
        <f aca="false">B94</f>
        <v>0</v>
      </c>
      <c r="C167" s="174"/>
      <c r="D167" s="174"/>
      <c r="E167" s="177" t="n">
        <f aca="false">B96</f>
        <v>-396.628631132337</v>
      </c>
      <c r="F167" s="23"/>
      <c r="G167" s="23" t="n">
        <f aca="false">ROUND(G95, 2)</f>
        <v>-444.81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4442.9979103682</v>
      </c>
      <c r="B182" s="103" t="str">
        <f aca="false">B114</f>
        <v>239.99</v>
      </c>
      <c r="C182" s="103"/>
      <c r="D182" s="23"/>
      <c r="E182" s="103" t="n">
        <f aca="false">E179+A182+B182+A185</f>
        <v>4692.9879103682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0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-22000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-396.628631132337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2756.65</v>
      </c>
      <c r="B201" s="186" t="n">
        <f aca="false">E179+A201+B182+A185</f>
        <v>3006.64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-396.628631132337</v>
      </c>
      <c r="B212" s="177" t="str">
        <f aca="false">B167</f>
        <v>0</v>
      </c>
      <c r="C212" s="174"/>
      <c r="D212" s="174"/>
      <c r="E212" s="177" t="n">
        <f aca="false">E167</f>
        <v>-396.628631132337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4442.9979103682</v>
      </c>
      <c r="B224" s="103" t="str">
        <f aca="false">B182</f>
        <v>239.99</v>
      </c>
      <c r="C224" s="103"/>
      <c r="D224" s="113"/>
      <c r="E224" s="103" t="n">
        <f aca="false">E182</f>
        <v>4692.9879103682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-396.628631132337</v>
      </c>
      <c r="B230" s="103" t="str">
        <f aca="false">B167</f>
        <v>0</v>
      </c>
      <c r="C230" s="186"/>
      <c r="D230" s="186"/>
      <c r="E230" s="103" t="n">
        <f aca="false">E167</f>
        <v>-396.628631132337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26.9316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-22000</v>
      </c>
      <c r="B240" s="103" t="n">
        <f aca="false">B68</f>
        <v>0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-21900.0083333333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0.179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1696.3479103682</v>
      </c>
      <c r="C254" s="197"/>
      <c r="D254" s="198" t="s">
        <v>216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1796.33957703487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0.179</v>
      </c>
      <c r="C260" s="43"/>
      <c r="D260" s="166" t="s">
        <v>215</v>
      </c>
      <c r="E260" s="166"/>
      <c r="F260" s="146" t="n">
        <f aca="false">B254</f>
        <v>1696.3479103682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0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1796.33957703487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357.90279794936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357.90279794936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35572.4137111818</v>
      </c>
      <c r="N39" s="1" t="n">
        <f aca="false">K39-L39</f>
        <v>-13572.4137111818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-13572.4137111818</v>
      </c>
      <c r="N40" s="1" t="n">
        <f aca="false">N38-N39</f>
        <v>16484.0937111818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11012.3601334129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10987.6398665871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30.7000669722112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357.90279794936</v>
      </c>
      <c r="L47" s="2" t="n">
        <f aca="false">L49-K42</f>
        <v>800</v>
      </c>
      <c r="M47" s="1" t="n">
        <f aca="false">K47-L47</f>
        <v>-442.09720205064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357.90279794936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357.90279794936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5079.75314230575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357.90279794936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357.90279794936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357.90279794936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357.90279794936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0.149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0.0124166666666667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11751.9432832851</v>
      </c>
      <c r="C86" s="93"/>
      <c r="D86" s="93"/>
      <c r="E86" s="113"/>
      <c r="F86" s="31" t="s">
        <v>110</v>
      </c>
      <c r="G86" s="33" t="n">
        <f aca="false">(G82/((1+G84)^(G85+1)))</f>
        <v>13332.1137955163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28.2467531799516</v>
      </c>
      <c r="C87" s="93"/>
      <c r="D87" s="93"/>
      <c r="E87" s="113"/>
      <c r="F87" s="31" t="s">
        <v>111</v>
      </c>
      <c r="G87" s="33" t="n">
        <f aca="false">((1-(1/((1+G84)^G85)))/G84)</f>
        <v>29.9725300665895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14498.0527167149</v>
      </c>
      <c r="C88" s="93"/>
      <c r="D88" s="93"/>
      <c r="E88" s="113"/>
      <c r="F88" s="31" t="s">
        <v>112</v>
      </c>
      <c r="G88" s="33" t="n">
        <f aca="false">G81-G86</f>
        <v>12917.8822044837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513.264396242364</v>
      </c>
      <c r="C89" s="93"/>
      <c r="D89" s="93"/>
      <c r="E89" s="113"/>
      <c r="F89" s="31" t="s">
        <v>113</v>
      </c>
      <c r="G89" s="33" t="n">
        <f aca="false">(G88/G87)</f>
        <v>430.990716358754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17964.2538684827</v>
      </c>
      <c r="C90" s="93"/>
      <c r="D90" s="93"/>
      <c r="E90" s="113"/>
      <c r="F90" s="31" t="s">
        <v>114</v>
      </c>
      <c r="G90" s="33" t="n">
        <f aca="false">((G89*(G85))+G77)</f>
        <v>15084.6750725564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17964.2538684827</v>
      </c>
      <c r="C92" s="93"/>
      <c r="D92" s="93"/>
      <c r="E92" s="113"/>
      <c r="F92" s="56" t="s">
        <v>116</v>
      </c>
      <c r="G92" s="65" t="n">
        <f aca="false">(G90+G91)</f>
        <v>15084.6750725564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513.264396242364</v>
      </c>
      <c r="C95" s="93"/>
      <c r="D95" s="93"/>
      <c r="E95" s="113"/>
      <c r="F95" s="95" t="s">
        <v>118</v>
      </c>
      <c r="G95" s="96" t="n">
        <f aca="false">G92/(G85)</f>
        <v>430.990716358754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513.264396242364</v>
      </c>
      <c r="C96" s="93"/>
      <c r="D96" s="93"/>
      <c r="E96" s="113"/>
      <c r="F96" s="97" t="s">
        <v>119</v>
      </c>
      <c r="G96" s="98" t="n">
        <f aca="false">G94+G95</f>
        <v>430.990716358754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0.149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513.264396242364</v>
      </c>
      <c r="B167" s="177" t="str">
        <f aca="false">B94</f>
        <v>0</v>
      </c>
      <c r="C167" s="174"/>
      <c r="D167" s="174"/>
      <c r="E167" s="177" t="n">
        <f aca="false">B96</f>
        <v>513.264396242364</v>
      </c>
      <c r="F167" s="23"/>
      <c r="G167" s="23" t="n">
        <f aca="false">ROUND(G95, 2)</f>
        <v>430.99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10039.2578684827</v>
      </c>
      <c r="B182" s="103" t="str">
        <f aca="false">B114</f>
        <v>199.99</v>
      </c>
      <c r="C182" s="103"/>
      <c r="D182" s="23"/>
      <c r="E182" s="103" t="n">
        <f aca="false">E179+A182+(B182*1.2)+A185</f>
        <v>36539.2418684827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513.264396242364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7159.654</v>
      </c>
      <c r="B201" s="186" t="n">
        <f aca="false">E179+A201+(B182*1.2)+A185</f>
        <v>33659.638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513.264396242364</v>
      </c>
      <c r="B212" s="177" t="str">
        <f aca="false">B167</f>
        <v>0</v>
      </c>
      <c r="C212" s="174"/>
      <c r="D212" s="174"/>
      <c r="E212" s="177" t="n">
        <f aca="false">E167</f>
        <v>513.264396242364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10039.2578684827</v>
      </c>
      <c r="B224" s="103" t="str">
        <f aca="false">B182</f>
        <v>199.99</v>
      </c>
      <c r="C224" s="103"/>
      <c r="D224" s="113"/>
      <c r="E224" s="103" t="n">
        <f aca="false">E182</f>
        <v>36539.2418684827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513.264396242364</v>
      </c>
      <c r="B230" s="103" t="str">
        <f aca="false">B167</f>
        <v>0</v>
      </c>
      <c r="C230" s="186"/>
      <c r="D230" s="186"/>
      <c r="E230" s="103" t="n">
        <f aca="false">E167</f>
        <v>513.264396242364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2277.06996666667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0.149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2889.60386848272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2727.09390848272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0.0425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0.149</v>
      </c>
      <c r="C260" s="43"/>
      <c r="D260" s="166" t="s">
        <v>215</v>
      </c>
      <c r="E260" s="166"/>
      <c r="F260" s="146" t="n">
        <f aca="false">B254</f>
        <v>2889.60386848272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2727.09390848272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299.074948996254</v>
      </c>
      <c r="F33" s="232"/>
      <c r="G33" s="232"/>
      <c r="H33" s="47"/>
      <c r="I33" s="2"/>
      <c r="J33" s="34" t="s">
        <v>356</v>
      </c>
      <c r="K33" s="48" t="n">
        <f aca="false">E21</f>
        <v>22000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299.074948996254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22000</v>
      </c>
      <c r="L39" s="2" t="n">
        <f aca="false">(L47*K46)+K44</f>
        <v>38223.1913572654</v>
      </c>
      <c r="N39" s="1" t="n">
        <f aca="false">K39-L39</f>
        <v>-16223.1913572654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-16223.1913572654</v>
      </c>
      <c r="N40" s="1" t="n">
        <f aca="false">N38-N39</f>
        <v>19134.8713572654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9685.98020404118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299.074948996254</v>
      </c>
      <c r="L47" s="2" t="n">
        <f aca="false">L49-K42</f>
        <v>800</v>
      </c>
      <c r="M47" s="1" t="n">
        <f aca="false">K47-L47</f>
        <v>-500.925051003746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299.074948996254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299.074948996254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5231.2476407486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299.074948996254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299.074948996254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299.074948996254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299.074948996254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22000</v>
      </c>
      <c r="C121" s="121" t="n">
        <v>23958.33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26400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26400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26400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22000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22000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4400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26400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26400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1958.33</v>
      </c>
      <c r="I148" s="1" t="n">
        <f aca="false">(H148-G81)/1.2</f>
        <v>-20243.055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239.99</v>
      </c>
      <c r="C182" s="103"/>
      <c r="D182" s="23"/>
      <c r="E182" s="103" t="n">
        <f aca="false">E179+A182+B182+A185</f>
        <v>34572.9358046137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318.741633333333</v>
      </c>
      <c r="C191" s="93"/>
      <c r="D191" s="93"/>
      <c r="E191" s="103" t="n">
        <f aca="false">H148</f>
        <v>1958.33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E179+A201+B182+A185</f>
        <v>31197.04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239.99</v>
      </c>
      <c r="C224" s="103"/>
      <c r="D224" s="113"/>
      <c r="E224" s="103" t="n">
        <f aca="false">E182</f>
        <v>34572.9358046137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1958.33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2277.07163333334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3223.3875112804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3223.3875112804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22458.33</v>
      </c>
      <c r="C2" s="4" t="s">
        <v>2</v>
      </c>
      <c r="D2" s="5" t="n">
        <f aca="false">C9</f>
        <v>4491.666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26949.996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22458.33</v>
      </c>
      <c r="C9" s="14" t="n">
        <f aca="false">B9*0.2</f>
        <v>4491.666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22458.33</v>
      </c>
      <c r="C15" s="14" t="n">
        <f aca="false">SUM(C9:C13)</f>
        <v>4491.666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26949.996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22458.33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18325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313.22684880256</v>
      </c>
      <c r="F33" s="232"/>
      <c r="G33" s="232"/>
      <c r="H33" s="47"/>
      <c r="I33" s="2"/>
      <c r="J33" s="34" t="s">
        <v>356</v>
      </c>
      <c r="K33" s="48" t="n">
        <f aca="false">E21</f>
        <v>22458.33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313.22684880256</v>
      </c>
      <c r="B36" s="232" t="str">
        <f aca="false">IF(B26="YES", K42, "0.00")</f>
        <v>0.00</v>
      </c>
      <c r="C36" s="232"/>
      <c r="D36" s="232"/>
      <c r="E36" s="232" t="n">
        <f aca="false">K31</f>
        <v>18325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22458.33</v>
      </c>
      <c r="L39" s="2" t="n">
        <f aca="false">(L47*K46)+K44</f>
        <v>38223.1913572654</v>
      </c>
      <c r="N39" s="1" t="n">
        <f aca="false">K39-L39</f>
        <v>-15764.8613572654</v>
      </c>
      <c r="P39" s="212"/>
    </row>
    <row r="40" customFormat="false" ht="17.35" hidden="false" customHeight="false" outlineLevel="0" collapsed="false">
      <c r="A40" s="107" t="n">
        <f aca="false">E36*A45/100</f>
        <v>18325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15270.8333333333</v>
      </c>
      <c r="L40" s="2" t="n">
        <f aca="false">K39-L39</f>
        <v>-15764.8613572654</v>
      </c>
      <c r="N40" s="1" t="n">
        <f aca="false">N38-N39</f>
        <v>18676.5413572654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12314.0197959588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10144.3102040412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313.22684880256</v>
      </c>
      <c r="L47" s="2" t="n">
        <f aca="false">L49-K42</f>
        <v>800</v>
      </c>
      <c r="M47" s="1" t="n">
        <f aca="false">K47-L47</f>
        <v>-486.77315119744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313.22684880256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313.22684880256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4721.77924772159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218.749966666667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313.22684880256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313.22684880256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313.22684880256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313.22684880256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26249.996</v>
      </c>
      <c r="C81" s="93"/>
      <c r="D81" s="93"/>
      <c r="E81" s="113"/>
      <c r="F81" s="25" t="s">
        <v>105</v>
      </c>
      <c r="G81" s="27" t="n">
        <f aca="false">G158</f>
        <v>26249.996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18325</v>
      </c>
      <c r="C82" s="93"/>
      <c r="D82" s="93"/>
      <c r="E82" s="113"/>
      <c r="F82" s="31" t="s">
        <v>106</v>
      </c>
      <c r="G82" s="33" t="n">
        <f aca="false">IF(A111 = "Yes", A40, 0)</f>
        <v>18325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18325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18325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12807.7997019195</v>
      </c>
      <c r="C86" s="93"/>
      <c r="D86" s="93"/>
      <c r="E86" s="113"/>
      <c r="F86" s="31" t="s">
        <v>110</v>
      </c>
      <c r="G86" s="33" t="n">
        <f aca="false">(G82/((1+G84)^(G85+1)))</f>
        <v>14863.0218937223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12396.273307778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12396.273307778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13442.1962980805</v>
      </c>
      <c r="C88" s="93"/>
      <c r="D88" s="93"/>
      <c r="E88" s="113"/>
      <c r="F88" s="31" t="s">
        <v>112</v>
      </c>
      <c r="G88" s="33" t="n">
        <f aca="false">G81-G86</f>
        <v>11386.9741062777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457.084165846107</v>
      </c>
      <c r="C89" s="93"/>
      <c r="D89" s="93"/>
      <c r="E89" s="113"/>
      <c r="F89" s="31" t="s">
        <v>113</v>
      </c>
      <c r="G89" s="33" t="n">
        <f aca="false">(G88/G87)</f>
        <v>360.628189585997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15997.9458046137</v>
      </c>
      <c r="C90" s="93"/>
      <c r="D90" s="93"/>
      <c r="E90" s="113"/>
      <c r="F90" s="31" t="s">
        <v>114</v>
      </c>
      <c r="G90" s="33" t="n">
        <f aca="false">((G89*(G85))+G77)</f>
        <v>12621.9866355099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15997.9458046137</v>
      </c>
      <c r="C92" s="93"/>
      <c r="D92" s="93"/>
      <c r="E92" s="113"/>
      <c r="F92" s="56" t="s">
        <v>116</v>
      </c>
      <c r="G92" s="65" t="n">
        <f aca="false">(G90+G91)</f>
        <v>12621.9866355099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457.084165846107</v>
      </c>
      <c r="C95" s="93"/>
      <c r="D95" s="93"/>
      <c r="E95" s="113"/>
      <c r="F95" s="95" t="s">
        <v>118</v>
      </c>
      <c r="G95" s="96" t="n">
        <f aca="false">G92/(G85)</f>
        <v>360.628189585997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457.084165846107</v>
      </c>
      <c r="C96" s="93"/>
      <c r="D96" s="93"/>
      <c r="E96" s="113"/>
      <c r="F96" s="97" t="s">
        <v>119</v>
      </c>
      <c r="G96" s="98" t="n">
        <f aca="false">G94+G95</f>
        <v>360.628189585997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22458.33</v>
      </c>
      <c r="C121" s="121" t="n">
        <v>23958.33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26949.996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26949.996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26949.996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22458.33</v>
      </c>
      <c r="C125" s="133" t="n">
        <f aca="false">C121-C124</f>
        <v>23958.33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22458.33</v>
      </c>
      <c r="H135" s="153" t="n">
        <f aca="false">C125+E125+G125+H128</f>
        <v>23958.33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4491.666</v>
      </c>
      <c r="H137" s="33" t="n">
        <f aca="false">(H135+H136)*20%</f>
        <v>4791.666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26949.996</v>
      </c>
      <c r="H141" s="157" t="n">
        <f aca="false">(H135+H136+H139+H140+H137)-H138</f>
        <v>28749.996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26949.996</v>
      </c>
      <c r="H147" s="164" t="n">
        <f aca="false">H141-((H144*1.2)+(H145*1.2)+(H146*1.2)+(H142*1.2))</f>
        <v>28749.996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-20624.9966666667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26249.996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457.084165846107</v>
      </c>
      <c r="B167" s="177" t="str">
        <f aca="false">B94</f>
        <v>0</v>
      </c>
      <c r="C167" s="174"/>
      <c r="D167" s="174"/>
      <c r="E167" s="177" t="n">
        <f aca="false">B96</f>
        <v>457.084165846107</v>
      </c>
      <c r="F167" s="23"/>
      <c r="G167" s="23" t="n">
        <f aca="false">ROUND(G95, 2)</f>
        <v>360.63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18325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18325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18325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18325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23958.33</v>
      </c>
      <c r="B173" s="103" t="n">
        <f aca="false">H137</f>
        <v>4791.666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28749.996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26249.996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8072.94980461373</v>
      </c>
      <c r="B182" s="103" t="str">
        <f aca="false">B114</f>
        <v>199.99</v>
      </c>
      <c r="C182" s="103"/>
      <c r="D182" s="23"/>
      <c r="E182" s="103" t="n">
        <f aca="false">E179+A182+(B182*1.2)+A185</f>
        <v>34572.9338046137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18335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18345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18335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18335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218.749966666667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318.739966666667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457.084165846107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4697.054</v>
      </c>
      <c r="B201" s="186" t="n">
        <f aca="false">E179+A201+(B182*1.2)+A185</f>
        <v>31197.038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457.084165846107</v>
      </c>
      <c r="B212" s="177" t="str">
        <f aca="false">B167</f>
        <v>0</v>
      </c>
      <c r="C212" s="174"/>
      <c r="D212" s="174"/>
      <c r="E212" s="177" t="n">
        <f aca="false">E167</f>
        <v>457.084165846107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23958.33</v>
      </c>
      <c r="B215" s="103" t="n">
        <f aca="false">B173</f>
        <v>4791.666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28749.996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26249.996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8072.94980461373</v>
      </c>
      <c r="B224" s="103" t="str">
        <f aca="false">B182</f>
        <v>199.99</v>
      </c>
      <c r="C224" s="103"/>
      <c r="D224" s="113"/>
      <c r="E224" s="103" t="n">
        <f aca="false">E182</f>
        <v>34572.9338046137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457.084165846107</v>
      </c>
      <c r="B230" s="103" t="str">
        <f aca="false">B167</f>
        <v>0</v>
      </c>
      <c r="C230" s="186"/>
      <c r="D230" s="186"/>
      <c r="E230" s="103" t="n">
        <f aca="false">E167</f>
        <v>457.084165846107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18325</v>
      </c>
      <c r="B233" s="103" t="n">
        <f aca="false">E185</f>
        <v>18335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218.749966666667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1818.73996666667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3385.89580461373</v>
      </c>
      <c r="C254" s="197"/>
      <c r="D254" s="198" t="s">
        <v>216</v>
      </c>
      <c r="E254" s="198"/>
      <c r="F254" s="200" t="n">
        <f aca="false">F261+F267+F269+B270+B271</f>
        <v>262.49996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3223.38584461373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3385.89580461373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262.49996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3223.38584461373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10968.8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11046.232029044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920.519335753664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920.519335753664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920.519335753664</v>
      </c>
      <c r="B128" s="321" t="n">
        <f aca="false">IF(A105="YES", B89, 0)</f>
        <v>0</v>
      </c>
      <c r="C128" s="326"/>
      <c r="D128" s="321" t="n">
        <f aca="false">B91</f>
        <v>920.519335753664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8284.67402178298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8284.67402178298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920.519335753664</v>
      </c>
      <c r="B137" s="38" t="n">
        <f aca="false">IF(A105="YES", B89, 0)</f>
        <v>0</v>
      </c>
      <c r="C137" s="317"/>
      <c r="D137" s="38" t="n">
        <f aca="false">B91</f>
        <v>920.519335753664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631.99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920.519335753664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920.519335753664</v>
      </c>
      <c r="B171" s="355" t="n">
        <f aca="false">IF(A105="YES", B89, 0)</f>
        <v>0</v>
      </c>
      <c r="C171" s="358"/>
      <c r="D171" s="355" t="n">
        <f aca="false">B91</f>
        <v>920.519335753664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8284.67402178298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8284.67402178298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920.519335753664</v>
      </c>
      <c r="B180" s="103" t="n">
        <f aca="false">IF(A105="YES", B89, 0)</f>
        <v>0</v>
      </c>
      <c r="C180" s="353"/>
      <c r="D180" s="103" t="n">
        <f aca="false">B91</f>
        <v>920.519335753664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631.99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2055.99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2055.99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1848</v>
      </c>
      <c r="C64" s="215" t="n">
        <v>10000</v>
      </c>
      <c r="D64" s="291" t="n">
        <f aca="false">B64</f>
        <v>1848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132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3128.66666666667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260.722222222222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9140.66666666667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77.4320290439694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9218.09869571064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768.17489130922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828.17489130922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 t="n">
        <v>0</v>
      </c>
      <c r="C108" s="217"/>
      <c r="D108" s="217" t="n">
        <v>0</v>
      </c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768.17489130922</v>
      </c>
      <c r="B128" s="321" t="n">
        <f aca="false">IF(A105="YES", B89, 0)</f>
        <v>60</v>
      </c>
      <c r="C128" s="326"/>
      <c r="D128" s="321" t="n">
        <f aca="false">B91</f>
        <v>828.17489130922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6913.57402178298</v>
      </c>
      <c r="C131" s="317"/>
      <c r="D131" s="38" t="n">
        <f aca="false">IF(A105="YES", B89*B57, 0)</f>
        <v>540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7453.57402178298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768.17489130922</v>
      </c>
      <c r="B137" s="38" t="n">
        <f aca="false">IF(A105="YES", B89, 0)</f>
        <v>60</v>
      </c>
      <c r="C137" s="317"/>
      <c r="D137" s="38" t="n">
        <f aca="false">B91</f>
        <v>828.17489130922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132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643.99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828.17489130922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768.17489130922</v>
      </c>
      <c r="B171" s="355" t="n">
        <f aca="false">IF(A105="YES", B89, 0)</f>
        <v>60</v>
      </c>
      <c r="C171" s="358"/>
      <c r="D171" s="355" t="n">
        <f aca="false">B91</f>
        <v>828.17489130922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6913.57402178298</v>
      </c>
      <c r="C174" s="353"/>
      <c r="D174" s="103" t="n">
        <f aca="false">IF(A105="YES", B89*B57, 0)</f>
        <v>540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7453.57402178298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768.17489130922</v>
      </c>
      <c r="B180" s="103" t="n">
        <f aca="false">IF(A105="YES", B89, 0)</f>
        <v>60</v>
      </c>
      <c r="C180" s="353"/>
      <c r="D180" s="103" t="n">
        <f aca="false">B91</f>
        <v>828.17489130922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132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643.99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1848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132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2175.99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1848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132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2175.99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77.4320290439694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20.0555555555556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10722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297.833333333333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562.154095157951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20237.5474256862</v>
      </c>
      <c r="C85" s="473"/>
      <c r="D85" s="473"/>
      <c r="E85" s="466" t="n">
        <f aca="false">B85/(B58+B57)</f>
        <v>562.154095157951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171.435456207911</v>
      </c>
      <c r="C86" s="473" t="s">
        <v>230</v>
      </c>
      <c r="D86" s="215"/>
      <c r="E86" s="466" t="n">
        <f aca="false">B86/(B58+B57)</f>
        <v>4.7620960057753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20408.9828818941</v>
      </c>
      <c r="C87" s="473"/>
      <c r="D87" s="475"/>
      <c r="E87" s="466" t="n">
        <f aca="false">E86+E85</f>
        <v>566.916191163726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566.916191163726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631.916191163726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566.916191163726</v>
      </c>
      <c r="B128" s="321" t="n">
        <f aca="false">IF(A105="YES", B89, 0)</f>
        <v>65</v>
      </c>
      <c r="C128" s="325"/>
      <c r="D128" s="321" t="n">
        <f aca="false">B91</f>
        <v>631.916191163726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566.916191163726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631.916191163726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566.916191163726</v>
      </c>
      <c r="B137" s="38" t="n">
        <f aca="false">IF(A105="YES", B89, 0)</f>
        <v>65</v>
      </c>
      <c r="C137" s="317"/>
      <c r="D137" s="38" t="n">
        <f aca="false">B91</f>
        <v>631.916191163726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631.916191163726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566.916191163726</v>
      </c>
      <c r="B177" s="355" t="n">
        <f aca="false">IF(A105="YES", B89, 0)</f>
        <v>65</v>
      </c>
      <c r="C177" s="357"/>
      <c r="D177" s="355" t="n">
        <f aca="false">B91</f>
        <v>631.916191163726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566.916191163726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631.916191163726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566.916191163726</v>
      </c>
      <c r="B186" s="103" t="n">
        <f aca="false">IF(A105="YES", B89, 0)</f>
        <v>65</v>
      </c>
      <c r="C186" s="353"/>
      <c r="D186" s="103" t="n">
        <f aca="false">B91</f>
        <v>631.916191163726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10375.99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10375.99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171.435456207911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201" activeCellId="0" sqref="A20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734.005436015008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0.1065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734.005436015008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41961.5420932254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-19961.5420932254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0.008875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22000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29.9725300665895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734.005436015008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734.005436015008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734.005436015008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0.00979166666666667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258.5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157.5</v>
      </c>
      <c r="C73" s="215"/>
      <c r="D73" s="472" t="n">
        <f aca="false">B73+B71</f>
        <v>317.5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540</v>
      </c>
      <c r="C76" s="215"/>
      <c r="D76" s="291" t="n">
        <f aca="false">B76</f>
        <v>540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35.9285714285714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11924.1666666667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340.690476190476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734.005436015008</v>
      </c>
      <c r="C83" s="473"/>
      <c r="D83" s="215"/>
      <c r="E83" s="466" t="n">
        <f aca="false">B83+E80+E77+E64</f>
        <v>1068.34670585628</v>
      </c>
      <c r="F83" s="63"/>
      <c r="G83" s="305" t="s">
        <v>104</v>
      </c>
      <c r="H83" s="306" t="n">
        <f aca="false">H47</f>
        <v>734.005436015008</v>
      </c>
      <c r="I83" s="215"/>
      <c r="J83" s="215"/>
      <c r="K83" s="216"/>
      <c r="L83" s="63"/>
      <c r="M83" s="305" t="s">
        <v>104</v>
      </c>
      <c r="N83" s="306" t="n">
        <f aca="false">H47</f>
        <v>734.005436015008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45137.2283126303</v>
      </c>
      <c r="C85" s="473"/>
      <c r="D85" s="473"/>
      <c r="E85" s="466" t="n">
        <f aca="false">B85/(B58+B57)</f>
        <v>1289.63509464658</v>
      </c>
      <c r="F85" s="63"/>
      <c r="G85" s="288" t="s">
        <v>114</v>
      </c>
      <c r="H85" s="131" t="n">
        <f aca="false">((H83*H29)+H81)*1.2</f>
        <v>32085.2283126303</v>
      </c>
      <c r="I85" s="215"/>
      <c r="J85" s="215"/>
      <c r="K85" s="216"/>
      <c r="L85" s="63"/>
      <c r="M85" s="288" t="s">
        <v>114</v>
      </c>
      <c r="N85" s="131" t="n">
        <f aca="false">((N83*H29)+N81)</f>
        <v>26407.6902605253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318.637150250517</v>
      </c>
      <c r="C86" s="473" t="s">
        <v>230</v>
      </c>
      <c r="D86" s="215"/>
      <c r="E86" s="466" t="n">
        <f aca="false">B86/(B58+B57)</f>
        <v>9.10391857858619</v>
      </c>
      <c r="F86" s="63"/>
      <c r="G86" s="214" t="s">
        <v>115</v>
      </c>
      <c r="H86" s="300" t="n">
        <f aca="false">((((H83*H29)+H81))/(1-H70))*H70</f>
        <v>226.49919139614</v>
      </c>
      <c r="I86" s="215"/>
      <c r="J86" s="215"/>
      <c r="K86" s="216"/>
      <c r="L86" s="63"/>
      <c r="M86" s="214" t="s">
        <v>115</v>
      </c>
      <c r="N86" s="300" t="n">
        <f aca="false">(N85/(1-N70))*N70</f>
        <v>223.703709346927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45455.8654628809</v>
      </c>
      <c r="C87" s="473"/>
      <c r="D87" s="475"/>
      <c r="E87" s="466" t="n">
        <f aca="false">E86+E85</f>
        <v>1298.73901322517</v>
      </c>
      <c r="F87" s="63"/>
      <c r="G87" s="285" t="s">
        <v>116</v>
      </c>
      <c r="H87" s="133" t="n">
        <f aca="false">IF(H110="YES",((H85+H86)-K114),(H85+H86))</f>
        <v>32311.7275040265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26631.3939698722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1298.73901322517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807.793187600662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665.784849246805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1298.73901322517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807.793187600662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665.784849246805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807.793187600662</v>
      </c>
      <c r="H127" s="177" t="n">
        <f aca="false">IF(G105="YES", H89*H57, 0)</f>
        <v>0</v>
      </c>
      <c r="I127" s="177"/>
      <c r="J127" s="334" t="n">
        <f aca="false">H91</f>
        <v>807.793187600662</v>
      </c>
      <c r="K127" s="216"/>
      <c r="L127" s="63"/>
      <c r="M127" s="333" t="n">
        <f aca="false">N90</f>
        <v>665.784849246805</v>
      </c>
      <c r="N127" s="177" t="n">
        <f aca="false">IF(M105="YES", N89*N57, 0)</f>
        <v>0</v>
      </c>
      <c r="O127" s="177"/>
      <c r="P127" s="177" t="n">
        <f aca="false">N91</f>
        <v>665.784849246805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1298.73901322517</v>
      </c>
      <c r="B128" s="321" t="n">
        <f aca="false">IF(A105="YES", B89, 0)</f>
        <v>0</v>
      </c>
      <c r="C128" s="325"/>
      <c r="D128" s="321" t="n">
        <f aca="false">B91</f>
        <v>1298.73901322517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1298.73901322517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4846.75912560397</v>
      </c>
      <c r="H133" s="103" t="n">
        <f aca="false">IF(G105="YES", H89*H57, 0)</f>
        <v>0</v>
      </c>
      <c r="I133" s="221"/>
      <c r="J133" s="184" t="n">
        <f aca="false">H91*H57</f>
        <v>4846.75912560397</v>
      </c>
      <c r="K133" s="216"/>
      <c r="L133" s="63"/>
      <c r="M133" s="185" t="n">
        <f aca="false">N90*N57</f>
        <v>3994.70909548083</v>
      </c>
      <c r="N133" s="103" t="n">
        <f aca="false">IF(M105="YES", N89*N57, 0)</f>
        <v>0</v>
      </c>
      <c r="O133" s="221"/>
      <c r="P133" s="184" t="n">
        <f aca="false">N91*N57</f>
        <v>3994.70909548083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1298.73901322517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1298.73901322517</v>
      </c>
      <c r="B137" s="38" t="n">
        <f aca="false">IF(A105="YES", B89, 0)</f>
        <v>0</v>
      </c>
      <c r="C137" s="317"/>
      <c r="D137" s="38" t="n">
        <f aca="false">B91</f>
        <v>1298.73901322517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258.5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139.99</v>
      </c>
      <c r="B151" s="38" t="n">
        <f aca="false">(A148+B148+D148+A151)*(A143/B64)</f>
        <v>0</v>
      </c>
      <c r="C151" s="38"/>
      <c r="D151" s="38" t="n">
        <f aca="false">(A148+B148+D148+A151)-B151</f>
        <v>798.49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807.793187600662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665.784849246805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1298.73901322517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1298.73901322517</v>
      </c>
      <c r="B177" s="355" t="n">
        <f aca="false">IF(A105="YES", B89, 0)</f>
        <v>0</v>
      </c>
      <c r="C177" s="357"/>
      <c r="D177" s="355" t="n">
        <f aca="false">B91</f>
        <v>1298.73901322517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1298.73901322517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1298.73901322517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1298.73901322517</v>
      </c>
      <c r="B186" s="103" t="n">
        <f aca="false">IF(A105="YES", B89, 0)</f>
        <v>0</v>
      </c>
      <c r="C186" s="353"/>
      <c r="D186" s="103" t="n">
        <f aca="false">B91</f>
        <v>1298.73901322517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258.5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798.49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0.1065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258.5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10081.4916666667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0.00979166666666667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258.5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10081.4916666667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317.5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318.637150250517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46854.17</v>
      </c>
      <c r="C3" s="484" t="n">
        <v>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550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585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48887.5</v>
      </c>
      <c r="B35" s="223" t="s">
        <v>45</v>
      </c>
      <c r="C35" s="223"/>
      <c r="D35" s="279" t="n">
        <f aca="false">A35-B35</f>
        <v>47887.5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336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340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-167.958333333333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4051.95</v>
      </c>
      <c r="C70" s="317" t="n">
        <v>10000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90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90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578.85</v>
      </c>
      <c r="C73" s="317"/>
      <c r="D73" s="32"/>
      <c r="E73" s="318"/>
      <c r="F73" s="388"/>
      <c r="G73" s="366" t="s">
        <v>93</v>
      </c>
      <c r="H73" s="65" t="n">
        <f aca="false">H67*H72</f>
        <v>289.425</v>
      </c>
      <c r="I73" s="317"/>
      <c r="J73" s="32"/>
      <c r="K73" s="318"/>
      <c r="L73" s="388"/>
      <c r="M73" s="366" t="s">
        <v>93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5421.95</v>
      </c>
      <c r="C87" s="317"/>
      <c r="D87" s="317"/>
      <c r="E87" s="318"/>
      <c r="F87" s="388"/>
      <c r="G87" s="412" t="s">
        <v>102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102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451.829166666667</v>
      </c>
      <c r="C88" s="317"/>
      <c r="D88" s="317"/>
      <c r="E88" s="318"/>
      <c r="F88" s="388"/>
      <c r="G88" s="316" t="s">
        <v>103</v>
      </c>
      <c r="H88" s="33" t="n">
        <f aca="false">H87/H29</f>
        <v>600.461111111111</v>
      </c>
      <c r="I88" s="317"/>
      <c r="J88" s="317"/>
      <c r="K88" s="318"/>
      <c r="L88" s="388"/>
      <c r="M88" s="316" t="s">
        <v>103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-217.958333333333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114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114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115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360.626156716418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78</v>
      </c>
      <c r="C134" s="325"/>
      <c r="D134" s="321" t="n">
        <f aca="false">B97</f>
        <v>360.626156716418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2543.63541044776</v>
      </c>
      <c r="C137" s="317"/>
      <c r="D137" s="38" t="n">
        <f aca="false">IF(A111="YES", B95*B63, 0)</f>
        <v>702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3245.63541044776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78</v>
      </c>
      <c r="C143" s="317"/>
      <c r="D143" s="38" t="n">
        <f aca="false">B97</f>
        <v>360.626156716418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1096.84166666667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360.626156716418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78</v>
      </c>
      <c r="C177" s="357"/>
      <c r="D177" s="355" t="n">
        <f aca="false">A177+B177</f>
        <v>360.626156716418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2543.63541044776</v>
      </c>
      <c r="C180" s="353"/>
      <c r="D180" s="103" t="n">
        <f aca="false">IF(A111="YES", B95*B63, 0)</f>
        <v>702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3245.63541044776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78</v>
      </c>
      <c r="C186" s="353"/>
      <c r="D186" s="103" t="n">
        <f aca="false">B97</f>
        <v>360.626156716418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1096.84166666667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3993.09166666667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3993.09166666667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345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290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55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21273</v>
      </c>
      <c r="F15" s="388"/>
      <c r="G15" s="17" t="n">
        <f aca="false">E15</f>
        <v>21273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21273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45162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338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17785</v>
      </c>
      <c r="B35" s="223" t="s">
        <v>45</v>
      </c>
      <c r="C35" s="223"/>
      <c r="D35" s="279" t="n">
        <f aca="false">A35-B35</f>
        <v>16785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335</v>
      </c>
      <c r="B41" s="104" t="s">
        <v>336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337</v>
      </c>
      <c r="C44" s="104"/>
      <c r="D44" s="104" t="s">
        <v>337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338</v>
      </c>
      <c r="B46" s="230" t="s">
        <v>339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338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340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338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E15*B72</f>
        <v>106.365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0</v>
      </c>
      <c r="C80" s="317"/>
      <c r="D80" s="317"/>
      <c r="E80" s="404" t="n">
        <f aca="false">E79+D82</f>
        <v>614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51.1666666666667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341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2745.62666666667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228.802222222222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6289.62666666667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53.2804195240016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6342.90708619067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528.575590515889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588.575590515889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342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285</v>
      </c>
      <c r="E104" s="318"/>
      <c r="F104" s="388"/>
      <c r="G104" s="316" t="s">
        <v>125</v>
      </c>
      <c r="H104" s="317" t="s">
        <v>23</v>
      </c>
      <c r="I104" s="317"/>
      <c r="J104" s="317" t="s">
        <v>285</v>
      </c>
      <c r="K104" s="318"/>
      <c r="L104" s="388"/>
      <c r="M104" s="316" t="s">
        <v>125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287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288</v>
      </c>
      <c r="B107" s="317" t="s">
        <v>289</v>
      </c>
      <c r="C107" s="317"/>
      <c r="D107" s="317" t="s">
        <v>290</v>
      </c>
      <c r="E107" s="318"/>
      <c r="F107" s="388"/>
      <c r="G107" s="316" t="s">
        <v>288</v>
      </c>
      <c r="H107" s="317" t="s">
        <v>289</v>
      </c>
      <c r="I107" s="317"/>
      <c r="J107" s="317" t="s">
        <v>290</v>
      </c>
      <c r="K107" s="318"/>
      <c r="L107" s="388"/>
      <c r="M107" s="316" t="s">
        <v>288</v>
      </c>
      <c r="N107" s="317" t="s">
        <v>289</v>
      </c>
      <c r="O107" s="317"/>
      <c r="P107" s="317" t="s">
        <v>290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20</v>
      </c>
      <c r="C111" s="312"/>
      <c r="D111" s="107" t="s">
        <v>291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343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388"/>
      <c r="G114" s="217" t="s">
        <v>292</v>
      </c>
      <c r="H114" s="217"/>
      <c r="I114" s="217"/>
      <c r="J114" s="217"/>
      <c r="K114" s="217"/>
      <c r="L114" s="388"/>
      <c r="M114" s="217" t="s">
        <v>292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293</v>
      </c>
      <c r="B116" s="389" t="s">
        <v>19</v>
      </c>
      <c r="C116" s="317"/>
      <c r="D116" s="317"/>
      <c r="E116" s="318"/>
      <c r="F116" s="388"/>
      <c r="G116" s="316" t="s">
        <v>293</v>
      </c>
      <c r="H116" s="389" t="s">
        <v>18</v>
      </c>
      <c r="I116" s="317"/>
      <c r="J116" s="317"/>
      <c r="K116" s="318"/>
      <c r="L116" s="388"/>
      <c r="M116" s="316" t="s">
        <v>293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294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294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294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388"/>
      <c r="G128" s="217" t="s">
        <v>295</v>
      </c>
      <c r="H128" s="217"/>
      <c r="I128" s="217"/>
      <c r="J128" s="217"/>
      <c r="K128" s="217"/>
      <c r="L128" s="388"/>
      <c r="M128" s="217" t="s">
        <v>295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528.575590515889</v>
      </c>
      <c r="B134" s="321" t="n">
        <f aca="false">IF(A111="YES", B95, 0)</f>
        <v>60</v>
      </c>
      <c r="C134" s="326"/>
      <c r="D134" s="321" t="n">
        <f aca="false">B97</f>
        <v>588.575590515889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298</v>
      </c>
      <c r="H135" s="424" t="s">
        <v>299</v>
      </c>
      <c r="I135" s="424"/>
      <c r="J135" s="424" t="s">
        <v>300</v>
      </c>
      <c r="K135" s="318"/>
      <c r="L135" s="388"/>
      <c r="M135" s="423" t="s">
        <v>344</v>
      </c>
      <c r="N135" s="424" t="s">
        <v>252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4757.180314643</v>
      </c>
      <c r="C137" s="317"/>
      <c r="D137" s="38" t="n">
        <f aca="false">IF(A111="YES", B95*B63, 0)</f>
        <v>540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303</v>
      </c>
      <c r="H138" s="317" t="s">
        <v>304</v>
      </c>
      <c r="I138" s="317"/>
      <c r="J138" s="317" t="s">
        <v>305</v>
      </c>
      <c r="K138" s="318"/>
      <c r="L138" s="388"/>
      <c r="M138" s="316" t="s">
        <v>345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5297.180314643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308</v>
      </c>
      <c r="H141" s="317" t="s">
        <v>309</v>
      </c>
      <c r="I141" s="317"/>
      <c r="J141" s="317" t="s">
        <v>310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388"/>
      <c r="G142" s="111" t="n">
        <f aca="false">E15*0.000006</f>
        <v>0.127638</v>
      </c>
      <c r="H142" s="38" t="n">
        <f aca="false">IF(G111="YES", E15*0.000002, 0)</f>
        <v>0.042546</v>
      </c>
      <c r="I142" s="38"/>
      <c r="J142" s="38" t="n">
        <f aca="false">G142+H142</f>
        <v>0.170184</v>
      </c>
      <c r="K142" s="105"/>
      <c r="L142" s="388"/>
      <c r="M142" s="111" t="n">
        <f aca="false">E15*0.000006</f>
        <v>0.127638</v>
      </c>
      <c r="N142" s="38" t="n">
        <f aca="false">IF(M111="YES", E15*0.000002, 0)</f>
        <v>0.042546</v>
      </c>
      <c r="O142" s="38"/>
      <c r="P142" s="38" t="n">
        <f aca="false">M142+N142</f>
        <v>0.170184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528.575590515889</v>
      </c>
      <c r="B143" s="38" t="n">
        <f aca="false">IF(A111="YES", B95, 0)</f>
        <v>60</v>
      </c>
      <c r="C143" s="317"/>
      <c r="D143" s="38" t="n">
        <f aca="false">B97</f>
        <v>588.575590515889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311</v>
      </c>
      <c r="H144" s="317" t="s">
        <v>312</v>
      </c>
      <c r="I144" s="317"/>
      <c r="J144" s="317" t="s">
        <v>313</v>
      </c>
      <c r="K144" s="318"/>
      <c r="L144" s="388"/>
      <c r="M144" s="316" t="s">
        <v>139</v>
      </c>
      <c r="N144" s="317" t="s">
        <v>312</v>
      </c>
      <c r="O144" s="317"/>
      <c r="P144" s="317" t="s">
        <v>313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315</v>
      </c>
      <c r="H147" s="317" t="s">
        <v>316</v>
      </c>
      <c r="I147" s="317"/>
      <c r="J147" s="317" t="s">
        <v>317</v>
      </c>
      <c r="K147" s="318"/>
      <c r="L147" s="388"/>
      <c r="M147" s="316" t="s">
        <v>315</v>
      </c>
      <c r="N147" s="317" t="s">
        <v>316</v>
      </c>
      <c r="O147" s="317"/>
      <c r="P147" s="317" t="s">
        <v>317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319</v>
      </c>
      <c r="H150" s="317" t="s">
        <v>320</v>
      </c>
      <c r="I150" s="317"/>
      <c r="J150" s="317"/>
      <c r="K150" s="318"/>
      <c r="L150" s="388"/>
      <c r="M150" s="316" t="s">
        <v>319</v>
      </c>
      <c r="N150" s="317" t="s">
        <v>320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346</v>
      </c>
      <c r="N153" s="39" t="s">
        <v>347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106.365</v>
      </c>
      <c r="B154" s="103" t="n">
        <f aca="false">B108</f>
        <v>400</v>
      </c>
      <c r="C154" s="38"/>
      <c r="D154" s="38" t="n">
        <f aca="false">IF(A111="YES", (A44/100*B111)*B131, 0)*0.1</f>
        <v>12</v>
      </c>
      <c r="E154" s="105"/>
      <c r="F154" s="388"/>
      <c r="G154" s="348" t="s">
        <v>325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618.355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325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588.575590515889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528.575590515889</v>
      </c>
      <c r="B177" s="355" t="n">
        <f aca="false">IF(A111="YES", B95, 0)</f>
        <v>60</v>
      </c>
      <c r="C177" s="358"/>
      <c r="D177" s="355" t="n">
        <f aca="false">B91</f>
        <v>6289.62666666667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4757.180314643</v>
      </c>
      <c r="C180" s="353"/>
      <c r="D180" s="103" t="n">
        <f aca="false">IF(A111="YES", B95*B63, 0)</f>
        <v>540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5297.180314643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528.575590515889</v>
      </c>
      <c r="B186" s="103" t="n">
        <f aca="false">IF(A111="YES", B95, 0)</f>
        <v>60</v>
      </c>
      <c r="C186" s="353"/>
      <c r="D186" s="103" t="n">
        <f aca="false">B97</f>
        <v>588.575590515889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400</v>
      </c>
      <c r="C197" s="103"/>
      <c r="D197" s="103" t="n">
        <f aca="false">IF(A111="YES", (A44/100*B111)*B131, 0)*0.1</f>
        <v>12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618.355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459.99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1818.585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1818.585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53.2804195240016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260" colorId="64" zoomScale="85" zoomScaleNormal="85" zoomScalePageLayoutView="100" workbookViewId="0">
      <selection pane="topLeft" activeCell="F271" activeCellId="0" sqref="F27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/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48937.5</v>
      </c>
      <c r="B37" s="32"/>
      <c r="C37" s="41" t="s">
        <v>45</v>
      </c>
      <c r="D37" s="41"/>
      <c r="E37" s="32"/>
      <c r="F37" s="43" t="n">
        <f aca="false">A37-C37</f>
        <v>47937.5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50772.0791451533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50298.6406238561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53646.2822828198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53646.2822828198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549.234375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426.832021875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47937.5</v>
      </c>
      <c r="C90" s="32"/>
      <c r="D90" s="32"/>
      <c r="E90" s="23"/>
      <c r="F90" s="25" t="s">
        <v>105</v>
      </c>
      <c r="G90" s="27" t="n">
        <f aca="false">F37</f>
        <v>47937.5</v>
      </c>
      <c r="H90" s="33"/>
      <c r="J90" s="25" t="s">
        <v>105</v>
      </c>
      <c r="K90" s="27" t="n">
        <f aca="false">P167</f>
        <v>37715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45528.749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45528.749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4379.8532592462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43557.6467407538</v>
      </c>
      <c r="C97" s="32"/>
      <c r="D97" s="32"/>
      <c r="E97" s="23"/>
      <c r="F97" s="31" t="s">
        <v>112</v>
      </c>
      <c r="G97" s="33" t="n">
        <f aca="false">G90-G95</f>
        <v>42917.189207262</v>
      </c>
      <c r="H97" s="33"/>
      <c r="J97" s="31" t="s">
        <v>112</v>
      </c>
      <c r="K97" s="33" t="n">
        <f aca="false">K90-K95</f>
        <v>37715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45520.1897086168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45520.1897086168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1587.00247328604</v>
      </c>
      <c r="C98" s="32"/>
      <c r="D98" s="32"/>
      <c r="E98" s="23"/>
      <c r="F98" s="31" t="s">
        <v>113</v>
      </c>
      <c r="G98" s="33" t="n">
        <f aca="false">(G97/G96)</f>
        <v>1464.37240517979</v>
      </c>
      <c r="H98" s="33"/>
      <c r="J98" s="31" t="s">
        <v>113</v>
      </c>
      <c r="K98" s="33" t="n">
        <f aca="false">(K97/K96)</f>
        <v>1572.2075194955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1676.82132133812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1676.82132133812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50784.0791451533</v>
      </c>
      <c r="C99" s="32"/>
      <c r="D99" s="32"/>
      <c r="E99" s="23"/>
      <c r="F99" s="31" t="s">
        <v>114</v>
      </c>
      <c r="G99" s="33" t="n">
        <f aca="false">((G98*(G94))+G86)</f>
        <v>46859.9169657532</v>
      </c>
      <c r="H99" s="33"/>
      <c r="J99" s="31" t="s">
        <v>114</v>
      </c>
      <c r="K99" s="33" t="n">
        <f aca="false">((K98*(K94))+K86)</f>
        <v>51882.8481433516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53658.2822828198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53658.2822828198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50784.0791451533</v>
      </c>
      <c r="C101" s="32"/>
      <c r="D101" s="32"/>
      <c r="E101" s="23"/>
      <c r="F101" s="56" t="s">
        <v>116</v>
      </c>
      <c r="G101" s="65" t="n">
        <f aca="false">(G99+G100)</f>
        <v>46859.9169657532</v>
      </c>
      <c r="H101" s="33"/>
      <c r="J101" s="56" t="s">
        <v>116</v>
      </c>
      <c r="K101" s="65" t="n">
        <f aca="false">(K99+K100)</f>
        <v>51882.8481433516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53658.2822828198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53658.2822828198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1587.00247328604</v>
      </c>
      <c r="C104" s="32"/>
      <c r="D104" s="32"/>
      <c r="E104" s="23"/>
      <c r="F104" s="95" t="s">
        <v>118</v>
      </c>
      <c r="G104" s="96" t="n">
        <f aca="false">G101/(G94)</f>
        <v>1464.37240517979</v>
      </c>
      <c r="H104" s="33"/>
      <c r="J104" s="95" t="s">
        <v>118</v>
      </c>
      <c r="K104" s="96" t="n">
        <f aca="false">K101/(K94)</f>
        <v>1572.2075194955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1676.82132133812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1676.82132133812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1587.00247328604</v>
      </c>
      <c r="C105" s="32"/>
      <c r="D105" s="32"/>
      <c r="E105" s="23" t="s">
        <v>18</v>
      </c>
      <c r="F105" s="97" t="s">
        <v>119</v>
      </c>
      <c r="G105" s="98" t="n">
        <f aca="false">G103+G104</f>
        <v>1464.37240517979</v>
      </c>
      <c r="H105" s="33"/>
      <c r="J105" s="97" t="s">
        <v>119</v>
      </c>
      <c r="K105" s="98" t="n">
        <f aca="false">(K103+K104)</f>
        <v>1572.2075194955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1676.82132133812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1676.82132133812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234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149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149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149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153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153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153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645</v>
      </c>
      <c r="H148" s="33" t="n">
        <f aca="false">G148</f>
        <v>645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645</v>
      </c>
      <c r="Q148" s="33" t="n">
        <f aca="false">P148</f>
        <v>645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645</v>
      </c>
      <c r="Z148" s="33" t="n">
        <f aca="false">Y148</f>
        <v>645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645</v>
      </c>
      <c r="AI148" s="33" t="n">
        <f aca="false">AH148</f>
        <v>645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58585</v>
      </c>
      <c r="H150" s="157" t="n">
        <f aca="false">(H144+H145+H148+H149+H146)-H147</f>
        <v>58585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58585</v>
      </c>
      <c r="Q150" s="157" t="n">
        <f aca="false">(Q144+Q145+Q148+Q149+Q146)-Q147</f>
        <v>36715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58585</v>
      </c>
      <c r="Z150" s="157" t="n">
        <f aca="false">(Z144+Z145+Z148+Z149+Z146)-Z147</f>
        <v>44528.749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58585</v>
      </c>
      <c r="AI150" s="157" t="n">
        <f aca="false">(AI144+AI145+AI148+AI149+AI146)-AI147</f>
        <v>44528.749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58585</v>
      </c>
      <c r="H156" s="164" t="n">
        <f aca="false">H150-((H153*1.2)+(H154*1.2)+(H155*1.2)+(H151*1.2))</f>
        <v>58585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58585</v>
      </c>
      <c r="Q156" s="164" t="n">
        <f aca="false">Q150-((Q153*1.2)+(Q154*1.2)+(Q155*1.2)+(Q151*1.2))</f>
        <v>36715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58585</v>
      </c>
      <c r="Z156" s="164" t="n">
        <f aca="false">Z150-((Z153*1.2)+(Z154*1.2)+(Z155*1.2)+(Z151*1.2))</f>
        <v>44528.749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58585</v>
      </c>
      <c r="AI156" s="164" t="n">
        <f aca="false">AI150-((AI153*1.2)+(AI154*1.2)+(AI155*1.2)+(AI151*1.2))</f>
        <v>44528.749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-39947.9166666667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-21870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-14056.251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-14056.251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58585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37715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45528.749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45528.749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1587.00247328604</v>
      </c>
      <c r="B176" s="177" t="n">
        <f aca="false">B103</f>
        <v>0</v>
      </c>
      <c r="C176" s="174"/>
      <c r="D176" s="174"/>
      <c r="E176" s="177" t="n">
        <f aca="false">B105</f>
        <v>1587.00247328604</v>
      </c>
      <c r="F176" s="23"/>
      <c r="G176" s="23" t="n">
        <f aca="false">ROUND(G104, 2)</f>
        <v>1464.37</v>
      </c>
      <c r="H176" s="33"/>
      <c r="J176" s="176" t="n">
        <f aca="false">K104</f>
        <v>1572.2075194955</v>
      </c>
      <c r="K176" s="178" t="n">
        <f aca="false">K103</f>
        <v>0</v>
      </c>
      <c r="L176" s="175"/>
      <c r="M176" s="175"/>
      <c r="N176" s="178" t="n">
        <f aca="false">K105</f>
        <v>1572.2075194955</v>
      </c>
      <c r="O176" s="23"/>
      <c r="P176" s="23"/>
      <c r="Q176" s="33"/>
      <c r="S176" s="176" t="n">
        <f aca="false">T104</f>
        <v>1676.82132133812</v>
      </c>
      <c r="T176" s="178" t="n">
        <f aca="false">T103</f>
        <v>0</v>
      </c>
      <c r="U176" s="175"/>
      <c r="V176" s="175"/>
      <c r="W176" s="178" t="n">
        <f aca="false">T105</f>
        <v>1676.82132133812</v>
      </c>
      <c r="X176" s="23"/>
      <c r="Y176" s="23"/>
      <c r="Z176" s="33"/>
      <c r="AB176" s="176" t="n">
        <f aca="false">AC104</f>
        <v>1676.82132133812</v>
      </c>
      <c r="AC176" s="178" t="n">
        <f aca="false">AC103</f>
        <v>0</v>
      </c>
      <c r="AD176" s="175"/>
      <c r="AE176" s="175"/>
      <c r="AF176" s="178" t="n">
        <f aca="false">AC105</f>
        <v>1676.82132133812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700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700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700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700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58585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36715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44528.749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44528.749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58585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37715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45528.749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45528.749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-1800.92085484668</v>
      </c>
      <c r="B191" s="103" t="str">
        <f aca="false">B123</f>
        <v>199.99</v>
      </c>
      <c r="C191" s="103"/>
      <c r="D191" s="23"/>
      <c r="E191" s="103" t="n">
        <f aca="false">E188+A191+(B191*1.2)+A194</f>
        <v>57034.0671451533</v>
      </c>
      <c r="F191" s="23"/>
      <c r="G191" s="23"/>
      <c r="H191" s="105"/>
      <c r="J191" s="111" t="n">
        <f aca="false">(J176*K68)+N194-N188-J194</f>
        <v>12607.6406238561</v>
      </c>
      <c r="K191" s="38" t="n">
        <f aca="false">K123</f>
        <v>239.99</v>
      </c>
      <c r="L191" s="38"/>
      <c r="M191" s="23"/>
      <c r="N191" s="38" t="n">
        <f aca="false">N188+J191+K191+J194</f>
        <v>50582.6306238561</v>
      </c>
      <c r="O191" s="23"/>
      <c r="P191" s="23"/>
      <c r="Q191" s="105"/>
      <c r="S191" s="111" t="n">
        <f aca="false">(S176*T68)+W194-W188-S194</f>
        <v>8141.53328281981</v>
      </c>
      <c r="T191" s="38" t="n">
        <f aca="false">T123</f>
        <v>199.99</v>
      </c>
      <c r="U191" s="38"/>
      <c r="V191" s="23"/>
      <c r="W191" s="38" t="n">
        <f aca="false">W188+S191+T191+S194</f>
        <v>53880.2722828198</v>
      </c>
      <c r="X191" s="23"/>
      <c r="Y191" s="23"/>
      <c r="Z191" s="105"/>
      <c r="AB191" s="111" t="n">
        <f aca="false">(AB176*AC68)+AF194-AF188-AB194</f>
        <v>8141.53328281981</v>
      </c>
      <c r="AC191" s="38" t="n">
        <f aca="false">AC123</f>
        <v>239.99</v>
      </c>
      <c r="AD191" s="38"/>
      <c r="AE191" s="23"/>
      <c r="AF191" s="38" t="n">
        <f aca="false">AF188+AB191+AC191+AB194</f>
        <v>53920.2722828198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457.6953125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0.11717</v>
      </c>
      <c r="K197" s="38" t="n">
        <f aca="false">(P167*K76)/1.2</f>
        <v>2258.97135416667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355.6933515625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355.6933515625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557.6853125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3398.96135416667</v>
      </c>
      <c r="L200" s="32"/>
      <c r="M200" s="32"/>
      <c r="N200" s="38" t="n">
        <f aca="false">Q157</f>
        <v>-21870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1455.6833515625</v>
      </c>
      <c r="U200" s="32"/>
      <c r="V200" s="32"/>
      <c r="W200" s="38" t="n">
        <f aca="false">Z157</f>
        <v>-14056.251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1495.6833515625</v>
      </c>
      <c r="AD200" s="32"/>
      <c r="AE200" s="32"/>
      <c r="AF200" s="38" t="n">
        <f aca="false">AI157</f>
        <v>-14056.251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1587.00247328604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1572.2075194955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1676.82132133812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1676.82132133812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-5725.16</v>
      </c>
      <c r="B210" s="186" t="n">
        <f aca="false">E188+A210+(B191*1.2)+A194</f>
        <v>53109.828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1587.00247328604</v>
      </c>
      <c r="B221" s="177" t="n">
        <f aca="false">B176</f>
        <v>0</v>
      </c>
      <c r="C221" s="174"/>
      <c r="D221" s="174"/>
      <c r="E221" s="177" t="n">
        <f aca="false">E176</f>
        <v>1587.00247328604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700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58585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58585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-1800.92085484668</v>
      </c>
      <c r="B233" s="103" t="str">
        <f aca="false">B191</f>
        <v>199.99</v>
      </c>
      <c r="C233" s="103"/>
      <c r="D233" s="113"/>
      <c r="E233" s="103" t="n">
        <f aca="false">E191</f>
        <v>57034.0671451533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1587.00247328604</v>
      </c>
      <c r="B239" s="103" t="n">
        <f aca="false">B176</f>
        <v>0</v>
      </c>
      <c r="C239" s="186"/>
      <c r="D239" s="186"/>
      <c r="E239" s="103" t="n">
        <f aca="false">E176</f>
        <v>1587.00247328604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457.6953125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557.6853125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3934.23914515333</v>
      </c>
      <c r="C263" s="197"/>
      <c r="D263" s="198" t="s">
        <v>216</v>
      </c>
      <c r="E263" s="198"/>
      <c r="F263" s="200" t="n">
        <f aca="false">F270+F276+F278+B279+B280</f>
        <v>549.234375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3484.99477015333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3934.23914515333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549.234375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3484.99477015333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248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17785</v>
      </c>
      <c r="B37" s="32"/>
      <c r="C37" s="41" t="s">
        <v>45</v>
      </c>
      <c r="D37" s="41"/>
      <c r="E37" s="32"/>
      <c r="F37" s="43" t="n">
        <f aca="false">A37-C37</f>
        <v>16785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424.606060606061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425.575757575758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425.575757575758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13429.924318412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48723.2285773438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20311.2734592316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20311.2734592316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199.434375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161.7140625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425.575757575758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425.575757575758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425.575757575758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16785</v>
      </c>
      <c r="C90" s="32"/>
      <c r="D90" s="32"/>
      <c r="E90" s="23"/>
      <c r="F90" s="25" t="s">
        <v>105</v>
      </c>
      <c r="G90" s="27" t="n">
        <f aca="false">F37</f>
        <v>16785</v>
      </c>
      <c r="H90" s="33"/>
      <c r="J90" s="25" t="s">
        <v>105</v>
      </c>
      <c r="K90" s="27" t="n">
        <f aca="false">P167</f>
        <v>36534.004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17249.5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17249.5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11529.1760889046</v>
      </c>
      <c r="C97" s="32"/>
      <c r="D97" s="32"/>
      <c r="E97" s="23"/>
      <c r="F97" s="31" t="s">
        <v>112</v>
      </c>
      <c r="G97" s="33" t="n">
        <f aca="false">G90-G95</f>
        <v>11764.689207262</v>
      </c>
      <c r="H97" s="33"/>
      <c r="J97" s="31" t="s">
        <v>112</v>
      </c>
      <c r="K97" s="33" t="n">
        <f aca="false">K90-K95</f>
        <v>36534.004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17240.9407086168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17240.9407086168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420.060134950376</v>
      </c>
      <c r="C98" s="32"/>
      <c r="D98" s="32"/>
      <c r="E98" s="23"/>
      <c r="F98" s="31" t="s">
        <v>113</v>
      </c>
      <c r="G98" s="33" t="n">
        <f aca="false">(G97/G96)</f>
        <v>401.42158768673</v>
      </c>
      <c r="H98" s="33"/>
      <c r="J98" s="31" t="s">
        <v>113</v>
      </c>
      <c r="K98" s="33" t="n">
        <f aca="false">(K97/K96)</f>
        <v>1522.97589304199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635.102295600989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635.102295600989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13441.924318412</v>
      </c>
      <c r="C99" s="32"/>
      <c r="D99" s="32"/>
      <c r="E99" s="23"/>
      <c r="F99" s="31" t="s">
        <v>114</v>
      </c>
      <c r="G99" s="33" t="n">
        <f aca="false">((G98*(G94))+G86)</f>
        <v>12845.4908059753</v>
      </c>
      <c r="H99" s="33"/>
      <c r="J99" s="31" t="s">
        <v>114</v>
      </c>
      <c r="K99" s="33" t="n">
        <f aca="false">((K98*(K94))+K86)</f>
        <v>50258.2044703858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20323.2734592316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20323.2734592316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13441.924318412</v>
      </c>
      <c r="C101" s="32"/>
      <c r="D101" s="32"/>
      <c r="E101" s="23"/>
      <c r="F101" s="56" t="s">
        <v>116</v>
      </c>
      <c r="G101" s="65" t="n">
        <f aca="false">(G99+G100)</f>
        <v>12845.4908059753</v>
      </c>
      <c r="H101" s="33"/>
      <c r="J101" s="56" t="s">
        <v>116</v>
      </c>
      <c r="K101" s="65" t="n">
        <f aca="false">(K99+K100)</f>
        <v>50258.2044703858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20323.2734592316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20323.2734592316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420.060134950376</v>
      </c>
      <c r="C104" s="32"/>
      <c r="D104" s="32"/>
      <c r="E104" s="23"/>
      <c r="F104" s="95" t="s">
        <v>118</v>
      </c>
      <c r="G104" s="96" t="n">
        <f aca="false">G101/(G94)</f>
        <v>401.42158768673</v>
      </c>
      <c r="H104" s="33"/>
      <c r="J104" s="95" t="s">
        <v>118</v>
      </c>
      <c r="K104" s="96" t="n">
        <f aca="false">K101/(K94)</f>
        <v>1522.97589304199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635.102295600989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635.102295600989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420.060134950376</v>
      </c>
      <c r="C105" s="32"/>
      <c r="D105" s="32"/>
      <c r="E105" s="23" t="s">
        <v>19</v>
      </c>
      <c r="F105" s="97" t="s">
        <v>119</v>
      </c>
      <c r="G105" s="98" t="n">
        <f aca="false">G103+G104</f>
        <v>401.42158768673</v>
      </c>
      <c r="H105" s="33"/>
      <c r="J105" s="97" t="s">
        <v>119</v>
      </c>
      <c r="K105" s="98" t="n">
        <f aca="false">(K103+K104)</f>
        <v>1522.97589304199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635.102295600989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635.102295600989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290</v>
      </c>
      <c r="H148" s="33" t="n">
        <f aca="false">G148</f>
        <v>290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290</v>
      </c>
      <c r="Q148" s="33" t="n">
        <f aca="false">P148</f>
        <v>290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290</v>
      </c>
      <c r="Z148" s="33" t="n">
        <f aca="false">Y148</f>
        <v>290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290</v>
      </c>
      <c r="AI148" s="33" t="n">
        <f aca="false">AH148</f>
        <v>290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55</v>
      </c>
      <c r="H149" s="33" t="n">
        <f aca="false">G149</f>
        <v>55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55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55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55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21273</v>
      </c>
      <c r="H150" s="157" t="n">
        <f aca="false">(H144+H145+H148+H149+H146)-H147</f>
        <v>21273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21273</v>
      </c>
      <c r="Q150" s="157" t="n">
        <f aca="false">(Q144+Q145+Q148+Q149+Q146)-Q147</f>
        <v>35534.004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21273</v>
      </c>
      <c r="Z150" s="157" t="n">
        <f aca="false">(Z144+Z145+Z148+Z149+Z146)-Z147</f>
        <v>16249.5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21273</v>
      </c>
      <c r="AI150" s="157" t="n">
        <f aca="false">(AI144+AI145+AI148+AI149+AI146)-AI147</f>
        <v>16249.5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21273</v>
      </c>
      <c r="H156" s="164" t="n">
        <f aca="false">H150-((H153*1.2)+(H154*1.2)+(H155*1.2)+(H151*1.2))</f>
        <v>21273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21273</v>
      </c>
      <c r="Q156" s="164" t="n">
        <f aca="false">Q150-((Q153*1.2)+(Q154*1.2)+(Q155*1.2)+(Q151*1.2))</f>
        <v>35534.004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21273</v>
      </c>
      <c r="Z156" s="164" t="n">
        <f aca="false">Z150-((Z153*1.2)+(Z154*1.2)+(Z155*1.2)+(Z151*1.2))</f>
        <v>16249.5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21273</v>
      </c>
      <c r="AI156" s="164" t="n">
        <f aca="false">AI150-((AI153*1.2)+(AI154*1.2)+(AI155*1.2)+(AI151*1.2))</f>
        <v>16249.5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-13987.5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14261.004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-5023.5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-5023.5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21273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36534.004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17249.5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17249.5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420.060134950376</v>
      </c>
      <c r="B176" s="177" t="n">
        <f aca="false">B103</f>
        <v>0</v>
      </c>
      <c r="C176" s="174"/>
      <c r="D176" s="174"/>
      <c r="E176" s="177" t="n">
        <f aca="false">B105</f>
        <v>420.060134950376</v>
      </c>
      <c r="F176" s="23"/>
      <c r="G176" s="23" t="n">
        <f aca="false">ROUND(G104, 2)</f>
        <v>401.42</v>
      </c>
      <c r="H176" s="33"/>
      <c r="J176" s="176" t="n">
        <f aca="false">K104</f>
        <v>1522.97589304199</v>
      </c>
      <c r="K176" s="178" t="n">
        <f aca="false">K103</f>
        <v>0</v>
      </c>
      <c r="L176" s="175"/>
      <c r="M176" s="175"/>
      <c r="N176" s="178" t="n">
        <f aca="false">K105</f>
        <v>1522.97589304199</v>
      </c>
      <c r="O176" s="23"/>
      <c r="P176" s="23"/>
      <c r="Q176" s="33"/>
      <c r="S176" s="176" t="n">
        <f aca="false">T104</f>
        <v>635.102295600989</v>
      </c>
      <c r="T176" s="178" t="n">
        <f aca="false">T103</f>
        <v>0</v>
      </c>
      <c r="U176" s="175"/>
      <c r="V176" s="175"/>
      <c r="W176" s="178" t="n">
        <f aca="false">T105</f>
        <v>635.102295600989</v>
      </c>
      <c r="X176" s="23"/>
      <c r="Y176" s="23"/>
      <c r="Z176" s="33"/>
      <c r="AB176" s="176" t="n">
        <f aca="false">AC104</f>
        <v>635.102295600989</v>
      </c>
      <c r="AC176" s="178" t="n">
        <f aca="false">AC103</f>
        <v>0</v>
      </c>
      <c r="AD176" s="175"/>
      <c r="AE176" s="175"/>
      <c r="AF176" s="178" t="n">
        <f aca="false">AC105</f>
        <v>635.102295600989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345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345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345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345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21273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35534.004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16249.5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16249.5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21273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36534.004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17249.5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17249.5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-631.07568158798</v>
      </c>
      <c r="B191" s="103" t="str">
        <f aca="false">B123</f>
        <v>239.99</v>
      </c>
      <c r="C191" s="103"/>
      <c r="D191" s="23"/>
      <c r="E191" s="103" t="n">
        <f aca="false">E188+A191+B191+A194</f>
        <v>20891.914318412</v>
      </c>
      <c r="F191" s="23"/>
      <c r="G191" s="23"/>
      <c r="H191" s="105"/>
      <c r="J191" s="111" t="n">
        <f aca="false">(J176*K68)+N194-N188-J194</f>
        <v>12213.2245773438</v>
      </c>
      <c r="K191" s="38" t="n">
        <f aca="false">K123</f>
        <v>239.99</v>
      </c>
      <c r="L191" s="38"/>
      <c r="M191" s="23"/>
      <c r="N191" s="38" t="n">
        <f aca="false">N188+J191+K191+J194</f>
        <v>49007.2185773438</v>
      </c>
      <c r="O191" s="23"/>
      <c r="P191" s="23"/>
      <c r="Q191" s="105"/>
      <c r="S191" s="111" t="n">
        <f aca="false">(S176*T68)+W194-W188-S194</f>
        <v>3085.77345923163</v>
      </c>
      <c r="T191" s="38" t="n">
        <f aca="false">T123</f>
        <v>199.99</v>
      </c>
      <c r="U191" s="38"/>
      <c r="V191" s="23"/>
      <c r="W191" s="38" t="n">
        <f aca="false">W188+S191+T191+S194</f>
        <v>20545.2634592316</v>
      </c>
      <c r="X191" s="23"/>
      <c r="Y191" s="23"/>
      <c r="Z191" s="105"/>
      <c r="AB191" s="111" t="n">
        <f aca="false">(AB176*AC68)+AF194-AF188-AB194</f>
        <v>3085.77345923163</v>
      </c>
      <c r="AC191" s="38" t="n">
        <f aca="false">AC123</f>
        <v>239.99</v>
      </c>
      <c r="AD191" s="38"/>
      <c r="AE191" s="23"/>
      <c r="AF191" s="38" t="n">
        <f aca="false">AF188+AB191+AC191+AB194</f>
        <v>20585.2634592316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166.1953125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0.042546</v>
      </c>
      <c r="K197" s="38" t="n">
        <f aca="false">(P167*K76)/1.2</f>
        <v>2188.23461458333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134.76171875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134.76171875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266.186979166667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3328.22461458333</v>
      </c>
      <c r="L200" s="32"/>
      <c r="M200" s="32"/>
      <c r="N200" s="38" t="n">
        <f aca="false">Q157</f>
        <v>14261.004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1234.75171875</v>
      </c>
      <c r="U200" s="32"/>
      <c r="V200" s="32"/>
      <c r="W200" s="38" t="n">
        <f aca="false">Z157</f>
        <v>-5023.5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1274.75171875</v>
      </c>
      <c r="AD200" s="32"/>
      <c r="AE200" s="32"/>
      <c r="AF200" s="38" t="n">
        <f aca="false">AI157</f>
        <v>-5023.5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420.060134950376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1522.97589304199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635.102295600989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635.102295600989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-1227.56</v>
      </c>
      <c r="B210" s="186" t="n">
        <f aca="false">E188+A210+B191+A194</f>
        <v>20295.43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420.060134950376</v>
      </c>
      <c r="B221" s="177" t="n">
        <f aca="false">B176</f>
        <v>0</v>
      </c>
      <c r="C221" s="174"/>
      <c r="D221" s="174"/>
      <c r="E221" s="177" t="n">
        <f aca="false">E176</f>
        <v>420.060134950376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345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21273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21273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-631.07568158798</v>
      </c>
      <c r="B233" s="103" t="str">
        <f aca="false">B191</f>
        <v>239.99</v>
      </c>
      <c r="C233" s="103"/>
      <c r="D233" s="113"/>
      <c r="E233" s="103" t="n">
        <f aca="false">E191</f>
        <v>20891.914318412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420.060134950376</v>
      </c>
      <c r="B239" s="103" t="n">
        <f aca="false">B176</f>
        <v>0</v>
      </c>
      <c r="C239" s="186"/>
      <c r="D239" s="186"/>
      <c r="E239" s="103" t="n">
        <f aca="false">E176</f>
        <v>420.060134950376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166.1953125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266.186979166667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606.484318412018</v>
      </c>
      <c r="C263" s="197"/>
      <c r="D263" s="198" t="s">
        <v>216</v>
      </c>
      <c r="E263" s="198"/>
      <c r="F263" s="200" t="n">
        <f aca="false">F270+F276+F278+B279+B280</f>
        <v>199.434375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507.041610078685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606.484318412018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199.434375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507.041610078685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22000</v>
      </c>
      <c r="C2" s="4" t="s">
        <v>2</v>
      </c>
      <c r="D2" s="5" t="n">
        <f aca="false">C9</f>
        <v>4400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26400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22000</v>
      </c>
      <c r="C9" s="14" t="n">
        <f aca="false">B9*0.2</f>
        <v>4400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22000</v>
      </c>
      <c r="C15" s="14" t="n">
        <f aca="false">SUM(C9:C13)</f>
        <v>4400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26400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22000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314.320761824618</v>
      </c>
      <c r="E33" s="216"/>
      <c r="F33" s="63"/>
      <c r="G33" s="219" t="s">
        <v>356</v>
      </c>
      <c r="H33" s="460" t="n">
        <f aca="false">E21-E11</f>
        <v>22000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264.320761824618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22000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-35161.3120530432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8560.41495666158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264.320761824618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314.320761824618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314.320761824618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26400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264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162</v>
      </c>
      <c r="C73" s="215"/>
      <c r="D73" s="472" t="n">
        <f aca="false">B73+B71</f>
        <v>322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180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555</v>
      </c>
      <c r="C76" s="215"/>
      <c r="D76" s="291" t="n">
        <f aca="false">B76</f>
        <v>555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473"/>
      <c r="D79" s="291" t="n">
        <f aca="false">B79</f>
        <v>300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473"/>
      <c r="D80" s="291" t="n">
        <f aca="false">B80</f>
        <v>100</v>
      </c>
      <c r="E80" s="466" t="n">
        <f aca="false">(D73+D76+D79+D80)/(B58+B57)</f>
        <v>35.4722222222222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11943.6666666667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331.768518518518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264.320761824618</v>
      </c>
      <c r="C83" s="473"/>
      <c r="D83" s="215"/>
      <c r="E83" s="466" t="n">
        <f aca="false">B83+E80+E77+E64</f>
        <v>589.916440836963</v>
      </c>
      <c r="F83" s="63"/>
      <c r="G83" s="305" t="s">
        <v>104</v>
      </c>
      <c r="H83" s="306" t="n">
        <f aca="false">H47</f>
        <v>264.320761824618</v>
      </c>
      <c r="I83" s="215"/>
      <c r="J83" s="215"/>
      <c r="K83" s="216"/>
      <c r="L83" s="63"/>
      <c r="M83" s="305" t="s">
        <v>104</v>
      </c>
      <c r="N83" s="306" t="n">
        <f aca="false">H47</f>
        <v>264.320761824618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21459.2140923529</v>
      </c>
      <c r="C85" s="473"/>
      <c r="D85" s="473"/>
      <c r="E85" s="466" t="n">
        <f aca="false">B85/(B58+B57)</f>
        <v>596.089280343136</v>
      </c>
      <c r="F85" s="63"/>
      <c r="G85" s="288" t="s">
        <v>114</v>
      </c>
      <c r="H85" s="131" t="n">
        <f aca="false">((H83*H29)+H81)*1.2</f>
        <v>12697.5569108235</v>
      </c>
      <c r="I85" s="215"/>
      <c r="J85" s="215"/>
      <c r="K85" s="216"/>
      <c r="L85" s="63"/>
      <c r="M85" s="288" t="s">
        <v>114</v>
      </c>
      <c r="N85" s="131" t="n">
        <f aca="false">((N83*H29)+N81)</f>
        <v>10237.5474256862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181.784387228484</v>
      </c>
      <c r="C86" s="473" t="s">
        <v>230</v>
      </c>
      <c r="D86" s="215"/>
      <c r="E86" s="466" t="n">
        <f aca="false">B86/(B58+B57)</f>
        <v>5.04956631190232</v>
      </c>
      <c r="F86" s="63"/>
      <c r="G86" s="214" t="s">
        <v>115</v>
      </c>
      <c r="H86" s="300" t="n">
        <f aca="false">((((H83*H29)+H81))/(1-H70))*H70</f>
        <v>89.6358394269508</v>
      </c>
      <c r="I86" s="215"/>
      <c r="J86" s="215"/>
      <c r="K86" s="216"/>
      <c r="L86" s="63"/>
      <c r="M86" s="214" t="s">
        <v>115</v>
      </c>
      <c r="N86" s="300" t="n">
        <f aca="false">(N85/(1-N70))*N70</f>
        <v>86.7238789590201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21640.9984795814</v>
      </c>
      <c r="C87" s="473"/>
      <c r="D87" s="475"/>
      <c r="E87" s="466" t="n">
        <f aca="false">E86+E85</f>
        <v>601.138846655039</v>
      </c>
      <c r="F87" s="63"/>
      <c r="G87" s="285" t="s">
        <v>116</v>
      </c>
      <c r="H87" s="133" t="n">
        <f aca="false">IF(H110="YES",((H85+H86)-K114),(H85+H86))</f>
        <v>12787.1927502504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10324.2713046453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601.138846655038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311.882750006108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251.81149523525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666.138846655038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522.614457323181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427.421251332811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311.882750006108</v>
      </c>
      <c r="H127" s="177" t="n">
        <f aca="false">IF(G105="YES", H89*H57, 0)</f>
        <v>1264.39024390244</v>
      </c>
      <c r="I127" s="177"/>
      <c r="J127" s="334" t="n">
        <f aca="false">H91</f>
        <v>522.614457323181</v>
      </c>
      <c r="K127" s="216"/>
      <c r="L127" s="63"/>
      <c r="M127" s="333" t="n">
        <f aca="false">N90</f>
        <v>251.81149523525</v>
      </c>
      <c r="N127" s="177" t="n">
        <f aca="false">IF(M105="YES", N89*N57, 0)</f>
        <v>1053.65853658537</v>
      </c>
      <c r="O127" s="177"/>
      <c r="P127" s="177" t="n">
        <f aca="false">N91</f>
        <v>427.421251332811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601.138846655038</v>
      </c>
      <c r="B128" s="321" t="n">
        <f aca="false">IF(A105="YES", B89, 0)</f>
        <v>65</v>
      </c>
      <c r="C128" s="325"/>
      <c r="D128" s="321" t="n">
        <f aca="false">B91</f>
        <v>666.138846655038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601.138846655038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1871.29650003665</v>
      </c>
      <c r="H133" s="103" t="n">
        <f aca="false">IF(G105="YES", H89*H57, 0)</f>
        <v>1264.39024390244</v>
      </c>
      <c r="I133" s="221"/>
      <c r="J133" s="184" t="n">
        <f aca="false">H91*H57</f>
        <v>3135.68674393909</v>
      </c>
      <c r="K133" s="216"/>
      <c r="L133" s="63"/>
      <c r="M133" s="185" t="n">
        <f aca="false">N90*N57</f>
        <v>1510.8689714115</v>
      </c>
      <c r="N133" s="103" t="n">
        <f aca="false">IF(M105="YES", N89*N57, 0)</f>
        <v>1053.65853658537</v>
      </c>
      <c r="O133" s="221"/>
      <c r="P133" s="184" t="n">
        <f aca="false">N91*N57</f>
        <v>2564.52750799687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666.138846655038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601.138846655038</v>
      </c>
      <c r="B137" s="38" t="n">
        <f aca="false">IF(A105="YES", B89, 0)</f>
        <v>65</v>
      </c>
      <c r="C137" s="317"/>
      <c r="D137" s="38" t="n">
        <f aca="false">B91</f>
        <v>666.138846655038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264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817.99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522.614457323181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427.421251332811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666.138846655038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601.138846655038</v>
      </c>
      <c r="B177" s="355" t="n">
        <f aca="false">IF(A105="YES", B89, 0)</f>
        <v>65</v>
      </c>
      <c r="C177" s="357"/>
      <c r="D177" s="355" t="n">
        <f aca="false">B91</f>
        <v>666.138846655038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601.138846655038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666.138846655038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601.138846655038</v>
      </c>
      <c r="B186" s="103" t="n">
        <f aca="false">IF(A105="YES", B89, 0)</f>
        <v>65</v>
      </c>
      <c r="C186" s="353"/>
      <c r="D186" s="103" t="n">
        <f aca="false">B91</f>
        <v>666.138846655038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264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817.99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264</v>
      </c>
      <c r="C211" s="320" t="s">
        <v>217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10615.99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264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10615.99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160</v>
      </c>
      <c r="C229" s="336" t="s">
        <v>226</v>
      </c>
      <c r="D229" s="343"/>
      <c r="E229" s="149" t="n">
        <f aca="false">B72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322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181.784387228484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300</v>
      </c>
      <c r="C233" s="382" t="s">
        <v>332</v>
      </c>
      <c r="D233" s="383"/>
      <c r="E233" s="149" t="n">
        <f aca="false">B74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100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 t="n">
        <v>0</v>
      </c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50283.7155087897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43557.6467407538</v>
      </c>
      <c r="C88" s="93" t="n">
        <f aca="false">B81-B86</f>
        <v>43557.6467407538</v>
      </c>
      <c r="D88" s="93"/>
      <c r="E88" s="113"/>
      <c r="F88" s="31" t="s">
        <v>112</v>
      </c>
      <c r="G88" s="33" t="n">
        <f aca="false">G81-G86</f>
        <v>42917.189207262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1587.00247328604</v>
      </c>
      <c r="C89" s="93" t="n">
        <f aca="false">(B88/B87)</f>
        <v>1587.00247328604</v>
      </c>
      <c r="D89" s="93"/>
      <c r="E89" s="113"/>
      <c r="F89" s="31" t="s">
        <v>113</v>
      </c>
      <c r="G89" s="33" t="n">
        <f aca="false">(G88/G87)</f>
        <v>1464.37240517979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50784.0791451533</v>
      </c>
      <c r="C90" s="93"/>
      <c r="D90" s="93"/>
      <c r="E90" s="113"/>
      <c r="F90" s="31" t="s">
        <v>114</v>
      </c>
      <c r="G90" s="33" t="n">
        <f aca="false">((G89*(G85))+G77)</f>
        <v>46859.9169657532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50784.0791451533</v>
      </c>
      <c r="C92" s="93"/>
      <c r="D92" s="93"/>
      <c r="E92" s="113"/>
      <c r="F92" s="56" t="s">
        <v>116</v>
      </c>
      <c r="G92" s="65" t="n">
        <f aca="false">(G90+G91)</f>
        <v>46859.9169657532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1587.00247328604</v>
      </c>
      <c r="C95" s="93"/>
      <c r="D95" s="93"/>
      <c r="E95" s="113"/>
      <c r="F95" s="95" t="s">
        <v>118</v>
      </c>
      <c r="G95" s="96" t="n">
        <f aca="false">G92/(G85)</f>
        <v>1464.37240517979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1587.00247328604</v>
      </c>
      <c r="C96" s="93"/>
      <c r="D96" s="93"/>
      <c r="E96" s="113"/>
      <c r="F96" s="97" t="s">
        <v>119</v>
      </c>
      <c r="G96" s="98" t="n">
        <f aca="false">G94+G95</f>
        <v>1464.37240517979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1587.00247328604</v>
      </c>
      <c r="B167" s="177" t="str">
        <f aca="false">B94</f>
        <v>0</v>
      </c>
      <c r="C167" s="174"/>
      <c r="D167" s="174"/>
      <c r="E167" s="177" t="n">
        <f aca="false">B96</f>
        <v>1587.00247328604</v>
      </c>
      <c r="F167" s="23"/>
      <c r="G167" s="23" t="n">
        <f aca="false">ROUND(G95, 2)</f>
        <v>1464.37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-1800.92085484668</v>
      </c>
      <c r="B182" s="103" t="str">
        <f aca="false">B114</f>
        <v>199.99</v>
      </c>
      <c r="C182" s="103"/>
      <c r="D182" s="23"/>
      <c r="E182" s="103" t="n">
        <f aca="false">E179+A182+(B182*1.2)+A185</f>
        <v>57034.0671451533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557.6853125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1587.00247328604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-5725.16</v>
      </c>
      <c r="B201" s="186" t="n">
        <f aca="false">E179+A201+(B182*1.2)+A185</f>
        <v>53109.828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1587.00247328604</v>
      </c>
      <c r="B212" s="177" t="str">
        <f aca="false">B167</f>
        <v>0</v>
      </c>
      <c r="C212" s="174"/>
      <c r="D212" s="174"/>
      <c r="E212" s="177" t="n">
        <f aca="false">E167</f>
        <v>1587.00247328604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-1800.92085484668</v>
      </c>
      <c r="B224" s="103" t="str">
        <f aca="false">B182</f>
        <v>199.99</v>
      </c>
      <c r="C224" s="103"/>
      <c r="D224" s="113"/>
      <c r="E224" s="103" t="n">
        <f aca="false">E182</f>
        <v>57034.0671451533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1587.00247328604</v>
      </c>
      <c r="B230" s="103" t="str">
        <f aca="false">B167</f>
        <v>0</v>
      </c>
      <c r="C230" s="186"/>
      <c r="D230" s="186"/>
      <c r="E230" s="103" t="n">
        <f aca="false">E167</f>
        <v>1587.00247328604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557.6853125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3934.23914515333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3484.99477015333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3934.23914515333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3484.99477015333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700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645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58585</v>
      </c>
      <c r="I15" s="2"/>
      <c r="J15" s="17" t="n">
        <f aca="false">H15</f>
        <v>58585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58585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0.1065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47937.5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53630.7266140654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549.234375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47937.5</v>
      </c>
      <c r="C81" s="93"/>
      <c r="D81" s="93"/>
      <c r="E81" s="113"/>
      <c r="F81" s="25" t="s">
        <v>105</v>
      </c>
      <c r="G81" s="27" t="n">
        <f aca="false">B81</f>
        <v>47937.5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3912.46147414419</v>
      </c>
      <c r="C86" s="93" t="n">
        <f aca="false">(B82/((1+B84)^(B85+1)))</f>
        <v>3912.46147414419</v>
      </c>
      <c r="D86" s="93"/>
      <c r="E86" s="113"/>
      <c r="F86" s="31" t="s">
        <v>110</v>
      </c>
      <c r="G86" s="33" t="n">
        <f aca="false">(G82/((1+G84)^(G85+1)))</f>
        <v>4482.47999407216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26.0257317247775</v>
      </c>
      <c r="C87" s="93" t="n">
        <f aca="false">((1-(1/((1+B84)^B85)))/B84)</f>
        <v>26.0257317247775</v>
      </c>
      <c r="D87" s="93"/>
      <c r="E87" s="113"/>
      <c r="F87" s="31" t="s">
        <v>111</v>
      </c>
      <c r="G87" s="33" t="n">
        <f aca="false">((1-(1/((1+G84)^G85)))/G84)</f>
        <v>27.750948281323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44025.0385258558</v>
      </c>
      <c r="C88" s="93" t="n">
        <f aca="false">B81-B86</f>
        <v>44025.0385258558</v>
      </c>
      <c r="D88" s="93"/>
      <c r="E88" s="113"/>
      <c r="F88" s="31" t="s">
        <v>112</v>
      </c>
      <c r="G88" s="33" t="n">
        <f aca="false">G81-G86</f>
        <v>43455.0200059278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1691.59657032591</v>
      </c>
      <c r="C89" s="93" t="n">
        <f aca="false">(B88/B87)</f>
        <v>1691.59657032591</v>
      </c>
      <c r="D89" s="93"/>
      <c r="E89" s="113"/>
      <c r="F89" s="31" t="s">
        <v>113</v>
      </c>
      <c r="G89" s="33" t="n">
        <f aca="false">(G88/G87)</f>
        <v>1565.89315670968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54131.090250429</v>
      </c>
      <c r="C90" s="93"/>
      <c r="D90" s="93"/>
      <c r="E90" s="113"/>
      <c r="F90" s="31" t="s">
        <v>114</v>
      </c>
      <c r="G90" s="33" t="n">
        <f aca="false">((G89*(G85))+G77)</f>
        <v>50108.5810147096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54131.090250429</v>
      </c>
      <c r="C92" s="93"/>
      <c r="D92" s="93"/>
      <c r="E92" s="113"/>
      <c r="F92" s="56" t="s">
        <v>116</v>
      </c>
      <c r="G92" s="65" t="n">
        <f aca="false">(G90+G91)</f>
        <v>50108.5810147096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1691.59657032591</v>
      </c>
      <c r="C95" s="93"/>
      <c r="D95" s="93"/>
      <c r="E95" s="113"/>
      <c r="F95" s="95" t="s">
        <v>118</v>
      </c>
      <c r="G95" s="96" t="n">
        <f aca="false">G92/(G85)</f>
        <v>1565.89315670968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1691.59657032591</v>
      </c>
      <c r="C96" s="93"/>
      <c r="D96" s="93"/>
      <c r="E96" s="113"/>
      <c r="F96" s="97" t="s">
        <v>119</v>
      </c>
      <c r="G96" s="98" t="n">
        <f aca="false">G94+G95</f>
        <v>1565.89315670968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/>
      <c r="E108" s="108" t="n">
        <f aca="false">B83</f>
        <v>0.1565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645</v>
      </c>
      <c r="H139" s="33" t="n">
        <f aca="false">G139</f>
        <v>645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58585</v>
      </c>
      <c r="H141" s="157" t="n">
        <f aca="false">(H135+H136+H139+H140+H137)-H138</f>
        <v>58585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58585</v>
      </c>
      <c r="H147" s="164" t="n">
        <f aca="false">H141-((H144*1.2)+(H145*1.2)+(H146*1.2)+(H142*1.2))</f>
        <v>58585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-39947.9166666667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58585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1691.59657032591</v>
      </c>
      <c r="B167" s="177" t="str">
        <f aca="false">B94</f>
        <v>0</v>
      </c>
      <c r="C167" s="174"/>
      <c r="D167" s="174"/>
      <c r="E167" s="177" t="n">
        <f aca="false">B96</f>
        <v>1691.59657032591</v>
      </c>
      <c r="F167" s="23"/>
      <c r="G167" s="23" t="n">
        <f aca="false">ROUND(G95, 2)</f>
        <v>1565.89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700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58585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58585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1546.09025042901</v>
      </c>
      <c r="B182" s="103" t="str">
        <f aca="false">B114</f>
        <v>239.99</v>
      </c>
      <c r="C182" s="103"/>
      <c r="D182" s="23"/>
      <c r="E182" s="103" t="n">
        <f aca="false">E179+A182+B182+A185</f>
        <v>60381.080250429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457.6953125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557.686979166667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1691.59657032591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-2476.52</v>
      </c>
      <c r="B201" s="186" t="n">
        <f aca="false">E179+A201+B182+A185</f>
        <v>56358.47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1691.59657032591</v>
      </c>
      <c r="B212" s="177" t="str">
        <f aca="false">B167</f>
        <v>0</v>
      </c>
      <c r="C212" s="174"/>
      <c r="D212" s="174"/>
      <c r="E212" s="177" t="n">
        <f aca="false">E167</f>
        <v>1691.59657032591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700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58585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58585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1546.09025042901</v>
      </c>
      <c r="B224" s="103" t="str">
        <f aca="false">B182</f>
        <v>239.99</v>
      </c>
      <c r="C224" s="103"/>
      <c r="D224" s="113"/>
      <c r="E224" s="103" t="n">
        <f aca="false">E182</f>
        <v>60381.080250429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1691.59657032591</v>
      </c>
      <c r="B230" s="103" t="str">
        <f aca="false">B167</f>
        <v>0</v>
      </c>
      <c r="C230" s="186"/>
      <c r="D230" s="186"/>
      <c r="E230" s="103" t="n">
        <f aca="false">E167</f>
        <v>1691.59657032591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457.6953125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557.686979166667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4032.61025042901</v>
      </c>
      <c r="C254" s="197"/>
      <c r="D254" s="198" t="s">
        <v>216</v>
      </c>
      <c r="E254" s="198"/>
      <c r="F254" s="200" t="n">
        <f aca="false">F261+F267+F269+B270+B271</f>
        <v>549.234375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3583.36754209568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4032.61025042901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549.234375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3583.36754209568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19837.5</v>
      </c>
      <c r="C3" s="498" t="n">
        <v>479.17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265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20316.67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20866.67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4173.334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210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25305.004</v>
      </c>
      <c r="F15" s="63"/>
      <c r="G15" s="274" t="n">
        <f aca="false">E15</f>
        <v>25305.004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25040.004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25305.004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4.38</v>
      </c>
      <c r="E32" s="226"/>
      <c r="F32" s="63"/>
      <c r="G32" s="227" t="s">
        <v>243</v>
      </c>
      <c r="H32" s="225" t="str">
        <f aca="false">A41</f>
        <v>4.38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504.38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504.38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4.38</v>
      </c>
      <c r="I44" s="394" t="n">
        <f aca="false">((A41*(B35-1))+D32)/B35</f>
        <v>4.38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505.38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505.38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25040.004</v>
      </c>
      <c r="C67" s="215"/>
      <c r="D67" s="215"/>
      <c r="E67" s="216"/>
      <c r="F67" s="63"/>
      <c r="G67" s="214" t="s">
        <v>14</v>
      </c>
      <c r="H67" s="291" t="n">
        <f aca="false">G18</f>
        <v>25040.004</v>
      </c>
      <c r="I67" s="215"/>
      <c r="J67" s="215"/>
      <c r="K67" s="216"/>
      <c r="L67" s="63"/>
      <c r="M67" s="214" t="s">
        <v>14</v>
      </c>
      <c r="N67" s="291" t="n">
        <f aca="false">G18</f>
        <v>25040.004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1752.80028</v>
      </c>
      <c r="C70" s="215" t="n">
        <v>10000</v>
      </c>
      <c r="D70" s="291" t="n">
        <f aca="false">B70-A149</f>
        <v>1752.80028</v>
      </c>
      <c r="E70" s="216" t="n">
        <f aca="false">D70/12</f>
        <v>146.06669</v>
      </c>
      <c r="F70" s="63"/>
      <c r="G70" s="285" t="s">
        <v>90</v>
      </c>
      <c r="H70" s="133" t="n">
        <f aca="false">H67*H69</f>
        <v>1752.80028</v>
      </c>
      <c r="I70" s="215"/>
      <c r="J70" s="291" t="n">
        <f aca="false">H70-G151</f>
        <v>1752.80028</v>
      </c>
      <c r="K70" s="216"/>
      <c r="L70" s="63"/>
      <c r="M70" s="285" t="s">
        <v>90</v>
      </c>
      <c r="N70" s="133" t="n">
        <f aca="false">N67*N69</f>
        <v>1752.80028</v>
      </c>
      <c r="O70" s="215"/>
      <c r="P70" s="291" t="n">
        <f aca="false">N70-M151</f>
        <v>1752.80028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125.20002</v>
      </c>
      <c r="C73" s="215"/>
      <c r="D73" s="291"/>
      <c r="E73" s="216"/>
      <c r="F73" s="63"/>
      <c r="G73" s="285" t="s">
        <v>93</v>
      </c>
      <c r="H73" s="133" t="n">
        <f aca="false">H67*H72</f>
        <v>125.20002</v>
      </c>
      <c r="I73" s="215"/>
      <c r="J73" s="291"/>
      <c r="K73" s="216"/>
      <c r="L73" s="63"/>
      <c r="M73" s="285" t="s">
        <v>93</v>
      </c>
      <c r="N73" s="133" t="n">
        <f aca="false">N67*N72</f>
        <v>125.20002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3033.46694666667</v>
      </c>
      <c r="C87" s="215"/>
      <c r="D87" s="215"/>
      <c r="E87" s="216"/>
      <c r="F87" s="63"/>
      <c r="G87" s="303" t="s">
        <v>102</v>
      </c>
      <c r="H87" s="304" t="n">
        <f aca="false">SUM(J70:J86)</f>
        <v>4879.30028</v>
      </c>
      <c r="I87" s="215"/>
      <c r="J87" s="215"/>
      <c r="K87" s="216"/>
      <c r="L87" s="63"/>
      <c r="M87" s="303" t="s">
        <v>102</v>
      </c>
      <c r="N87" s="304" t="n">
        <f aca="false">SUM(P70:P86)</f>
        <v>4866.80028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252.788912222222</v>
      </c>
      <c r="C88" s="215"/>
      <c r="D88" s="215"/>
      <c r="E88" s="216"/>
      <c r="F88" s="63"/>
      <c r="G88" s="214" t="s">
        <v>103</v>
      </c>
      <c r="H88" s="300" t="n">
        <f aca="false">H87/H29</f>
        <v>406.608356666667</v>
      </c>
      <c r="I88" s="215"/>
      <c r="J88" s="215"/>
      <c r="K88" s="216"/>
      <c r="L88" s="63"/>
      <c r="M88" s="214" t="s">
        <v>103</v>
      </c>
      <c r="N88" s="300" t="n">
        <f aca="false">N87/H29</f>
        <v>405.56669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9045.46694666667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13069.560336</v>
      </c>
      <c r="I91" s="215"/>
      <c r="J91" s="215"/>
      <c r="K91" s="216"/>
      <c r="L91" s="63"/>
      <c r="M91" s="288" t="s">
        <v>114</v>
      </c>
      <c r="N91" s="131" t="n">
        <f aca="false">((N89*H29)+N87)</f>
        <v>10878.80028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76.6255772004841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92.2619225010085</v>
      </c>
      <c r="I92" s="215"/>
      <c r="J92" s="215"/>
      <c r="K92" s="216"/>
      <c r="L92" s="63"/>
      <c r="M92" s="214" t="s">
        <v>115</v>
      </c>
      <c r="N92" s="300" t="n">
        <f aca="false">(N91/(1-N76))*N76</f>
        <v>92.1560330294474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9122.09252386715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15161.822258501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12970.9563130294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5.694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760.174376988929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765.868376988929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760.174376988929</v>
      </c>
      <c r="B134" s="321" t="n">
        <f aca="false">IF(A111="YES", B95, 0)</f>
        <v>5.694</v>
      </c>
      <c r="C134" s="326"/>
      <c r="D134" s="321" t="n">
        <f aca="false">B97</f>
        <v>765.868376988929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6841.56939290036</v>
      </c>
      <c r="C137" s="317"/>
      <c r="D137" s="38" t="n">
        <f aca="false">IF(A111="YES", B95*B63, 0)</f>
        <v>51.246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6892.81539290036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0.151830024</v>
      </c>
      <c r="H142" s="103" t="n">
        <f aca="false">IF(G111="YES", E15*0.000002, 0)</f>
        <v>0.050610008</v>
      </c>
      <c r="I142" s="103"/>
      <c r="J142" s="103" t="n">
        <f aca="false">G142+H142</f>
        <v>0.202440032</v>
      </c>
      <c r="K142" s="105"/>
      <c r="L142" s="63"/>
      <c r="M142" s="111" t="n">
        <f aca="false">E15*0.000006</f>
        <v>0.151830024</v>
      </c>
      <c r="N142" s="103" t="n">
        <f aca="false">IF(M111="YES", E15*0.000002, 0)</f>
        <v>0.050610008</v>
      </c>
      <c r="O142" s="103"/>
      <c r="P142" s="103" t="n">
        <f aca="false">M142+N142</f>
        <v>0.202440032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760.174376988929</v>
      </c>
      <c r="B143" s="38" t="n">
        <f aca="false">IF(A111="YES", B95, 0)</f>
        <v>5.694</v>
      </c>
      <c r="C143" s="317"/>
      <c r="D143" s="38" t="n">
        <f aca="false">B97</f>
        <v>765.868376988929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104.33335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104.33335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18.02880288</v>
      </c>
      <c r="B146" s="343" t="n">
        <f aca="false">G18*0.000002 *1.2*100</f>
        <v>6.00960096</v>
      </c>
      <c r="C146" s="317"/>
      <c r="D146" s="343" t="n">
        <f aca="false">A146+B146</f>
        <v>24.03840384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1.0512</v>
      </c>
      <c r="H148" s="103" t="n">
        <f aca="false">G108-100</f>
        <v>139.988</v>
      </c>
      <c r="I148" s="103"/>
      <c r="J148" s="103" t="n">
        <f aca="false">(H145+J145+G148+H148)-H151</f>
        <v>1325.37255</v>
      </c>
      <c r="K148" s="105"/>
      <c r="L148" s="63"/>
      <c r="M148" s="111" t="n">
        <f aca="false">IF(M111="YES", ((A41*N111)*0.1)*(M133), 0)</f>
        <v>1.0512</v>
      </c>
      <c r="N148" s="103" t="n">
        <f aca="false">M108-100</f>
        <v>99.99</v>
      </c>
      <c r="O148" s="103"/>
      <c r="P148" s="103" t="n">
        <f aca="false">(N145+P145+M148+N148)-N151</f>
        <v>1285.37455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125.20002</v>
      </c>
      <c r="B154" s="38" t="n">
        <f aca="false">B108</f>
        <v>400</v>
      </c>
      <c r="C154" s="38"/>
      <c r="D154" s="38" t="n">
        <f aca="false">IF(A111="YES", (A41/100*B111)*B131, 0)*0.1</f>
        <v>1.5768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626.76682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765.868376988929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760.174376988929</v>
      </c>
      <c r="B177" s="355" t="n">
        <f aca="false">IF(A111="YES", B95, 0)</f>
        <v>5.694</v>
      </c>
      <c r="C177" s="358"/>
      <c r="D177" s="355" t="n">
        <f aca="false">B91</f>
        <v>9045.46694666667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6841.56939290036</v>
      </c>
      <c r="C180" s="353"/>
      <c r="D180" s="103" t="n">
        <f aca="false">IF(A111="YES", B95*B63, 0)</f>
        <v>51.246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6892.81539290036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760.174376988929</v>
      </c>
      <c r="B186" s="103" t="n">
        <f aca="false">IF(A111="YES", B95, 0)</f>
        <v>5.694</v>
      </c>
      <c r="C186" s="353"/>
      <c r="D186" s="103" t="n">
        <f aca="false">B97</f>
        <v>765.868376988929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18.02880288</v>
      </c>
      <c r="B189" s="365" t="n">
        <f aca="false">G18*0.000002 *1.2*100</f>
        <v>6.00960096</v>
      </c>
      <c r="C189" s="353"/>
      <c r="D189" s="365" t="n">
        <f aca="false">A189+B189</f>
        <v>24.03840384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125.20002</v>
      </c>
      <c r="B197" s="103" t="n">
        <f aca="false">B108</f>
        <v>400</v>
      </c>
      <c r="C197" s="103"/>
      <c r="D197" s="103" t="n">
        <f aca="false">IF(A111="YES", (A41/100*B111)*B131, 0)*0.1</f>
        <v>1.5768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626.76682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1752.80028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125.20002</v>
      </c>
      <c r="C211" s="320" t="s">
        <v>217</v>
      </c>
      <c r="D211" s="370" t="n">
        <f aca="false">B225+E221+B221+B223</f>
        <v>355.758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1983.35826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1752.80028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125.20002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1983.35826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15.768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76.6255772004841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249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2078.96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173.246666666667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9709.152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68.5397983057685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9777.69179830577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814.807649858814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814.807649858814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814.807649858814</v>
      </c>
      <c r="B134" s="321" t="n">
        <f aca="false">IF(A111="YES", B95, 0)</f>
        <v>0</v>
      </c>
      <c r="C134" s="326"/>
      <c r="D134" s="321" t="n">
        <f aca="false">B97</f>
        <v>814.807649858814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814.807649858814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814.807649858814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814.807649858814</v>
      </c>
      <c r="B143" s="38" t="n">
        <f aca="false">IF(A111="YES", B95, 0)</f>
        <v>0</v>
      </c>
      <c r="C143" s="317"/>
      <c r="D143" s="38" t="n">
        <f aca="false">B97</f>
        <v>814.807649858814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206.356666666667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814.807649858814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814.807649858814</v>
      </c>
      <c r="B177" s="355" t="n">
        <f aca="false">IF(A111="YES", B95, 0)</f>
        <v>0</v>
      </c>
      <c r="C177" s="358"/>
      <c r="D177" s="355" t="n">
        <f aca="false">B91</f>
        <v>9709.152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814.807649858814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814.807649858814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814.807649858814</v>
      </c>
      <c r="B186" s="103" t="n">
        <f aca="false">IF(A111="YES", B95, 0)</f>
        <v>0</v>
      </c>
      <c r="C186" s="353"/>
      <c r="D186" s="103" t="n">
        <f aca="false">B97</f>
        <v>814.807649858814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206.356666666667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1458.58666666667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1458.58666666667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68.5397983057685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11433.95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967.236732822375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6.336</v>
      </c>
      <c r="C134" s="326"/>
      <c r="D134" s="321" t="n">
        <f aca="false">B97</f>
        <v>967.236732822375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960.900732822375</v>
      </c>
      <c r="C137" s="317"/>
      <c r="D137" s="38" t="n">
        <f aca="false">IF(A111="YES", B95*B63, 0)</f>
        <v>6.336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967.236732822375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6.336</v>
      </c>
      <c r="C143" s="317"/>
      <c r="D143" s="38" t="n">
        <f aca="false">B97</f>
        <v>967.236732822375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967.236732822375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6.336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960.900732822375</v>
      </c>
      <c r="C180" s="353"/>
      <c r="D180" s="103" t="n">
        <f aca="false">IF(A111="YES", B95*B63, 0)</f>
        <v>6.336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967.236732822375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6.336</v>
      </c>
      <c r="C186" s="353"/>
      <c r="D186" s="103" t="n">
        <f aca="false">B97</f>
        <v>967.236732822375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332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333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n">
        <f aca="false">IF(B38="YES", D38+A41, D38)</f>
        <v>560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339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5332.61666666667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444.384722222222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11344.6166666667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96.1020371117386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11440.7187037784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953.393225314867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1031.39322531487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287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s">
        <v>291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953.393225314867</v>
      </c>
      <c r="B134" s="321" t="n">
        <f aca="false">IF(A111="YES", B95, 0)</f>
        <v>78</v>
      </c>
      <c r="C134" s="326"/>
      <c r="D134" s="321" t="n">
        <f aca="false">B97</f>
        <v>1031.39322531487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8580.53902783381</v>
      </c>
      <c r="C137" s="317"/>
      <c r="D137" s="38" t="n">
        <f aca="false">IF(A111="YES", B95*B63, 0)</f>
        <v>702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9282.53902783381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953.393225314867</v>
      </c>
      <c r="B143" s="38" t="n">
        <f aca="false">IF(A111="YES", B95, 0)</f>
        <v>78</v>
      </c>
      <c r="C143" s="317"/>
      <c r="D143" s="38" t="n">
        <f aca="false">B97</f>
        <v>1031.39322531487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811.015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1031.39322531487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953.393225314867</v>
      </c>
      <c r="B177" s="355" t="n">
        <f aca="false">IF(A111="YES", B95, 0)</f>
        <v>78</v>
      </c>
      <c r="C177" s="358"/>
      <c r="D177" s="355" t="n">
        <f aca="false">B91</f>
        <v>11344.6166666667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8580.53902783381</v>
      </c>
      <c r="C180" s="353"/>
      <c r="D180" s="103" t="n">
        <f aca="false">IF(A111="YES", B95*B63, 0)</f>
        <v>702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9282.53902783381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953.393225314867</v>
      </c>
      <c r="B186" s="103" t="n">
        <f aca="false">IF(A111="YES", B95, 0)</f>
        <v>78</v>
      </c>
      <c r="C186" s="353"/>
      <c r="D186" s="103" t="n">
        <f aca="false">B97</f>
        <v>1031.39322531487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811.015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4318.515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4318.515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96.1020371117386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289.425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180</v>
      </c>
      <c r="C80" s="215"/>
      <c r="D80" s="215"/>
      <c r="E80" s="430" t="n">
        <f aca="false">E79+D82</f>
        <v>659.833333333333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370</v>
      </c>
      <c r="C81" s="215"/>
      <c r="D81" s="215"/>
      <c r="E81" s="216" t="n">
        <f aca="false">E80/12</f>
        <v>54.9861111111111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45.8333333333333</v>
      </c>
      <c r="C82" s="215"/>
      <c r="D82" s="291" t="n">
        <f aca="false">IF(A50="YES", 0, B82)</f>
        <v>45.8333333333333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5378.45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448.204166666667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13668.54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96.4902985074627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13765.0302985075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1147.08585820896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1147.08585820896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1147.08585820896</v>
      </c>
      <c r="B134" s="321" t="n">
        <f aca="false">IF(A111="YES", B95, 0)</f>
        <v>0</v>
      </c>
      <c r="C134" s="326"/>
      <c r="D134" s="321" t="n">
        <f aca="false">B97</f>
        <v>1147.08585820896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1147.08585820896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1147.08585820896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0.35151</v>
      </c>
      <c r="H142" s="103" t="n">
        <f aca="false">IF(G111="YES", E15*0.000002, 0)</f>
        <v>0.11717</v>
      </c>
      <c r="I142" s="103"/>
      <c r="J142" s="103" t="n">
        <f aca="false">G142+H142</f>
        <v>0.46868</v>
      </c>
      <c r="K142" s="105"/>
      <c r="L142" s="63"/>
      <c r="M142" s="111" t="n">
        <f aca="false">E15*0.000006</f>
        <v>0.35151</v>
      </c>
      <c r="N142" s="103" t="n">
        <f aca="false">IF(M111="YES", E15*0.000002, 0)</f>
        <v>0.11717</v>
      </c>
      <c r="O142" s="103"/>
      <c r="P142" s="103" t="n">
        <f aca="false">M142+N142</f>
        <v>0.46868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1147.08585820896</v>
      </c>
      <c r="B143" s="38" t="n">
        <f aca="false">IF(A111="YES", B95, 0)</f>
        <v>0</v>
      </c>
      <c r="C143" s="317"/>
      <c r="D143" s="38" t="n">
        <f aca="false">B97</f>
        <v>1147.08585820896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289.425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789.416666666667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1147.08585820896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1147.08585820896</v>
      </c>
      <c r="B177" s="355" t="n">
        <f aca="false">IF(A111="YES", B95, 0)</f>
        <v>0</v>
      </c>
      <c r="C177" s="358"/>
      <c r="D177" s="355" t="n">
        <f aca="false">B97</f>
        <v>1147.08585820896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1147.08585820896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1147.08585820896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1147.08585820896</v>
      </c>
      <c r="B186" s="103" t="n">
        <f aca="false">IF(A111="YES", B95, 0)</f>
        <v>0</v>
      </c>
      <c r="C186" s="353"/>
      <c r="D186" s="103" t="n">
        <f aca="false">B97</f>
        <v>1147.08585820896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289.425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789.416666666667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289.425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4102.51666666667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289.425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4102.51666666667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96.4902985074627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180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370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str">
        <f aca="false">IF(B38="YES", D38+A41, D38)</f>
        <v>500</v>
      </c>
      <c r="C41" s="241"/>
      <c r="D41" s="104" t="s">
        <v>335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337</v>
      </c>
      <c r="C44" s="104"/>
      <c r="D44" s="104" t="s">
        <v>352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338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338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E15*B72</f>
        <v>106.365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614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51.1666666666667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2745.62666666667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228.802222222222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8757.62666666667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74.1872367890278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8831.81390345569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735.984491954641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735.984491954641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296</v>
      </c>
      <c r="C133" s="321"/>
      <c r="D133" s="320" t="s">
        <v>297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735.984491954641</v>
      </c>
      <c r="B134" s="321" t="n">
        <f aca="false">IF(A111="YES", B95, 0)</f>
        <v>0</v>
      </c>
      <c r="C134" s="326"/>
      <c r="D134" s="321" t="n">
        <f aca="false">B97</f>
        <v>735.984491954641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301</v>
      </c>
      <c r="C136" s="332"/>
      <c r="D136" s="331" t="s">
        <v>302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735.984491954641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306</v>
      </c>
      <c r="B139" s="39" t="s">
        <v>307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735.984491954641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296</v>
      </c>
      <c r="C142" s="317"/>
      <c r="D142" s="317" t="s">
        <v>297</v>
      </c>
      <c r="E142" s="318"/>
      <c r="F142" s="63"/>
      <c r="G142" s="111" t="n">
        <f aca="false">E15*0.000006</f>
        <v>0.127638</v>
      </c>
      <c r="H142" s="103" t="n">
        <f aca="false">IF(G111="YES", E15*0.000002, 0)</f>
        <v>0.042546</v>
      </c>
      <c r="I142" s="103"/>
      <c r="J142" s="103" t="n">
        <f aca="false">G142+H142</f>
        <v>0.170184</v>
      </c>
      <c r="K142" s="105"/>
      <c r="L142" s="63"/>
      <c r="M142" s="111" t="n">
        <f aca="false">E15*0.000006</f>
        <v>0.127638</v>
      </c>
      <c r="N142" s="103" t="n">
        <f aca="false">IF(M111="YES", E15*0.000002, 0)</f>
        <v>0.042546</v>
      </c>
      <c r="O142" s="103"/>
      <c r="P142" s="103" t="n">
        <f aca="false">M142+N142</f>
        <v>0.170184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735.984491954641</v>
      </c>
      <c r="B143" s="38" t="n">
        <f aca="false">IF(A111="YES", B95, 0)</f>
        <v>0</v>
      </c>
      <c r="C143" s="317"/>
      <c r="D143" s="38" t="n">
        <f aca="false">B97</f>
        <v>735.984491954641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314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318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321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322</v>
      </c>
      <c r="B153" s="317" t="s">
        <v>323</v>
      </c>
      <c r="C153" s="317"/>
      <c r="D153" s="317" t="s">
        <v>324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106.365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326</v>
      </c>
      <c r="B156" s="317" t="s">
        <v>320</v>
      </c>
      <c r="C156" s="317"/>
      <c r="D156" s="317" t="s">
        <v>317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606.355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327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325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735.984491954641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735.984491954641</v>
      </c>
      <c r="B177" s="355" t="n">
        <f aca="false">IF(A111="YES", B95, 0)</f>
        <v>0</v>
      </c>
      <c r="C177" s="358"/>
      <c r="D177" s="355" t="n">
        <f aca="false">B91</f>
        <v>8757.62666666667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735.984491954641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735.984491954641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735.984491954641</v>
      </c>
      <c r="B186" s="103" t="n">
        <f aca="false">IF(A111="YES", B95, 0)</f>
        <v>0</v>
      </c>
      <c r="C186" s="353"/>
      <c r="D186" s="103" t="n">
        <f aca="false">B97</f>
        <v>735.984491954641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106.365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606.355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106.365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1698.585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106.365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1698.585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74.1872367890278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332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333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14.2424242424242</v>
      </c>
      <c r="E32" s="226"/>
      <c r="F32" s="63"/>
      <c r="G32" s="227" t="s">
        <v>243</v>
      </c>
      <c r="H32" s="225" t="n">
        <f aca="false">A41</f>
        <v>14.2424242424242</v>
      </c>
      <c r="I32" s="0"/>
      <c r="J32" s="44" t="s">
        <v>37</v>
      </c>
      <c r="K32" s="263" t="s">
        <v>386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514.242424242424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387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14.2424242424242</v>
      </c>
      <c r="B41" s="241" t="n">
        <f aca="false">IF(B38="YES", D38+A41, D38)</f>
        <v>514.242424242424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14.2424242424242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514.606060606061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514.606060606061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50211.1778333742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43507.6467407538</v>
      </c>
      <c r="C88" s="93" t="n">
        <f aca="false">B81-B86</f>
        <v>43507.6467407538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1585.18074668688</v>
      </c>
      <c r="C89" s="93" t="n">
        <f aca="false">(B88/B87)</f>
        <v>1585.18074668688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50725.7838939803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50725.7838939803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19.09375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1585.18074668688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1604.27449668688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234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1585.18074668688</v>
      </c>
      <c r="B167" s="177" t="n">
        <f aca="false">B94</f>
        <v>19.09375</v>
      </c>
      <c r="C167" s="174"/>
      <c r="D167" s="174"/>
      <c r="E167" s="177" t="n">
        <f aca="false">B96</f>
        <v>1604.27449668688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-1809.2161060197</v>
      </c>
      <c r="B182" s="103" t="str">
        <f aca="false">B114</f>
        <v>199.99</v>
      </c>
      <c r="C182" s="103"/>
      <c r="D182" s="23"/>
      <c r="E182" s="103" t="n">
        <f aca="false">E179+A182+(B182*1.2)+A185</f>
        <v>56975.7718939803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14.1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571.3946875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1604.27449668688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-5729.56</v>
      </c>
      <c r="B201" s="186" t="n">
        <f aca="false">E179+A201+(B182*1.2)+A185</f>
        <v>53055.428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1585.18074668688</v>
      </c>
      <c r="B212" s="177" t="n">
        <f aca="false">B167</f>
        <v>19.09375</v>
      </c>
      <c r="C212" s="174"/>
      <c r="D212" s="174"/>
      <c r="E212" s="177" t="n">
        <f aca="false">E167</f>
        <v>1604.27449668688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-1809.2161060197</v>
      </c>
      <c r="B224" s="103" t="str">
        <f aca="false">B182</f>
        <v>199.99</v>
      </c>
      <c r="C224" s="103"/>
      <c r="D224" s="113"/>
      <c r="E224" s="103" t="n">
        <f aca="false">E182</f>
        <v>56975.7718939803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1585.18074668688</v>
      </c>
      <c r="B230" s="103" t="n">
        <f aca="false">B167</f>
        <v>19.09375</v>
      </c>
      <c r="C230" s="186"/>
      <c r="D230" s="186"/>
      <c r="E230" s="103" t="n">
        <f aca="false">E167</f>
        <v>1604.27449668688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14.1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571.3946875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3930.3438939803</v>
      </c>
      <c r="C254" s="197"/>
      <c r="D254" s="198" t="s">
        <v>216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240.99</v>
      </c>
      <c r="C255" s="197"/>
      <c r="D255" s="198" t="s">
        <v>218</v>
      </c>
      <c r="E255" s="198"/>
      <c r="F255" s="200" t="n">
        <f aca="false">(B254-F254)+B255</f>
        <v>3622.5682689803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3930.3438939803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141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3622.5682689803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5" colorId="64" zoomScale="85" zoomScaleNormal="85" zoomScalePageLayoutView="100" workbookViewId="0">
      <selection pane="topLeft" activeCell="H140" activeCellId="0" sqref="H14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58525</v>
      </c>
      <c r="I15" s="2"/>
      <c r="J15" s="17" t="n">
        <f aca="false">H15</f>
        <v>58525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58525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9600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2344.65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1396.7304053987</v>
      </c>
      <c r="F33" s="232"/>
      <c r="G33" s="232"/>
      <c r="H33" s="47"/>
      <c r="I33" s="2"/>
      <c r="J33" s="34" t="s">
        <v>356</v>
      </c>
      <c r="K33" s="48" t="n">
        <f aca="false">H21-H11+(H16*20%)</f>
        <v>48877.5</v>
      </c>
      <c r="L33" s="1" t="n">
        <f aca="false">H21-H11+(H16*20%)</f>
        <v>48877.5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1329.7404053987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48877.5</v>
      </c>
      <c r="L39" s="2" t="n">
        <f aca="false">(L47*K46)+K44</f>
        <v>29898.9542532849</v>
      </c>
      <c r="N39" s="1" t="n">
        <f aca="false">K39-L39</f>
        <v>18978.5457467151</v>
      </c>
      <c r="P39" s="212"/>
    </row>
    <row r="40" customFormat="false" ht="17.35" hidden="false" customHeight="false" outlineLevel="0" collapsed="false">
      <c r="A40" s="107" t="n">
        <f aca="false">E36*A45/100</f>
        <v>9600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106</v>
      </c>
      <c r="K40" s="2" t="n">
        <f aca="false">(A40)/1.2</f>
        <v>8000</v>
      </c>
      <c r="L40" s="2" t="n">
        <f aca="false">K39-L39</f>
        <v>18978.5457467151</v>
      </c>
      <c r="N40" s="1" t="n">
        <f aca="false">N38-N39</f>
        <v>-16066.8657467151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6586.14214929175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42291.3578507082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1329.7404053987</v>
      </c>
      <c r="L47" s="2" t="n">
        <f aca="false">L49-K42</f>
        <v>733.01</v>
      </c>
      <c r="M47" s="1" t="n">
        <f aca="false">K47-L47</f>
        <v>596.730405398704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1396.7304053987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1396.7304053987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-54954.3096117306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4672.71417168699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237.909775155269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237.909775155269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-6.52777777613917E-005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1329.7404053987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1329.7404053987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1396.7304053987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1396.7304053987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-0.00799999999799184</v>
      </c>
      <c r="C81" s="93"/>
      <c r="D81" s="93"/>
      <c r="E81" s="113"/>
      <c r="F81" s="25" t="s">
        <v>105</v>
      </c>
      <c r="G81" s="27" t="n">
        <f aca="false">G158</f>
        <v>-0.00799999999799184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9600</v>
      </c>
      <c r="C82" s="93"/>
      <c r="D82" s="93"/>
      <c r="E82" s="113"/>
      <c r="F82" s="31" t="s">
        <v>106</v>
      </c>
      <c r="G82" s="33" t="n">
        <f aca="false">IF(A111 = "Yes", A40, 0)</f>
        <v>9600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7412.27680583254</v>
      </c>
      <c r="C86" s="93"/>
      <c r="D86" s="93"/>
      <c r="E86" s="113"/>
      <c r="F86" s="31" t="s">
        <v>110</v>
      </c>
      <c r="G86" s="33" t="n">
        <f aca="false">(G82/((1+G84)^(G85+1)))</f>
        <v>7946.1805031205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-7412.28480583254</v>
      </c>
      <c r="C88" s="93"/>
      <c r="D88" s="93"/>
      <c r="E88" s="113"/>
      <c r="F88" s="31" t="s">
        <v>112</v>
      </c>
      <c r="G88" s="33" t="n">
        <f aca="false">G81-G86</f>
        <v>-7946.1885031205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-247.452806552233</v>
      </c>
      <c r="C89" s="93"/>
      <c r="D89" s="93"/>
      <c r="E89" s="113"/>
      <c r="F89" s="31" t="s">
        <v>113</v>
      </c>
      <c r="G89" s="33" t="n">
        <f aca="false">(G88/G87)</f>
        <v>-256.523172502031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-8413.39542277593</v>
      </c>
      <c r="C90" s="93"/>
      <c r="D90" s="93"/>
      <c r="E90" s="113"/>
      <c r="F90" s="31" t="s">
        <v>114</v>
      </c>
      <c r="G90" s="33" t="n">
        <f aca="false">((G89*(G85))+G77)</f>
        <v>-8721.78786506906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-8413.39542277593</v>
      </c>
      <c r="C92" s="93"/>
      <c r="D92" s="93"/>
      <c r="E92" s="113"/>
      <c r="F92" s="56" t="s">
        <v>116</v>
      </c>
      <c r="G92" s="65" t="n">
        <f aca="false">(G90+G91)</f>
        <v>-8721.78786506906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82.7523529411765</v>
      </c>
      <c r="C94" s="93"/>
      <c r="D94" s="93"/>
      <c r="E94" s="113"/>
      <c r="F94" s="88" t="s">
        <v>117</v>
      </c>
      <c r="G94" s="94" t="n">
        <f aca="false">IF(B26="YES",((E40/B85)*(1+A108)*(C45/100)),"0")</f>
        <v>82.7523529411765</v>
      </c>
      <c r="H94" s="33"/>
      <c r="J94" s="88" t="s">
        <v>117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99.3028235294118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-247.452806552233</v>
      </c>
      <c r="C95" s="93"/>
      <c r="D95" s="93"/>
      <c r="E95" s="113"/>
      <c r="F95" s="95" t="s">
        <v>118</v>
      </c>
      <c r="G95" s="96" t="n">
        <f aca="false">G92/(G85)</f>
        <v>-256.523172502031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-164.700453611057</v>
      </c>
      <c r="C96" s="93"/>
      <c r="D96" s="93"/>
      <c r="E96" s="113"/>
      <c r="F96" s="97" t="s">
        <v>119</v>
      </c>
      <c r="G96" s="98" t="n">
        <f aca="false">G94+G95</f>
        <v>-173.770819560855</v>
      </c>
      <c r="H96" s="33"/>
      <c r="J96" s="97" t="s">
        <v>119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48770.84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48770.84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-1916.67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-1083.34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-106.668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58525</v>
      </c>
      <c r="H141" s="157" t="n">
        <f aca="false">(H135+H136+H139+H140+H137)-H138</f>
        <v>-0.00799999999799184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58525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58525</v>
      </c>
      <c r="Z141" s="157" t="n">
        <f aca="false">(Z135+Z136+Z139+Z140+Z137)-Z138</f>
        <v>44468.749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58525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58525</v>
      </c>
      <c r="H147" s="164" t="n">
        <f aca="false">H141-((H144*1.2)+(H145*1.2)+(H146*1.2)+(H142*1.2))</f>
        <v>-0.00799999999799184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58525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58525</v>
      </c>
      <c r="Z147" s="164" t="n">
        <f aca="false">Z141-((Z144*1.2)+(Z145*1.2)+(Z146*1.2)+(Z142*1.2))</f>
        <v>44468.749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58525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-48770.84</v>
      </c>
      <c r="I148" s="1" t="n">
        <f aca="false">(H148-G81)/1.2</f>
        <v>-40642.36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-21870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-14056.251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-14056.251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-0.00799999999799184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-247.452806552233</v>
      </c>
      <c r="B167" s="177" t="n">
        <f aca="false">B94</f>
        <v>82.7523529411765</v>
      </c>
      <c r="C167" s="174"/>
      <c r="D167" s="174"/>
      <c r="E167" s="177" t="n">
        <f aca="false">B96</f>
        <v>-164.700453611057</v>
      </c>
      <c r="F167" s="23"/>
      <c r="G167" s="23" t="n">
        <f aca="false">ROUND(G95, 2)</f>
        <v>-256.52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99.3028235294118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-533.339999999998</v>
      </c>
      <c r="B173" s="103" t="n">
        <f aca="false">H137</f>
        <v>-106.668</v>
      </c>
      <c r="C173" s="186"/>
      <c r="D173" s="23"/>
      <c r="E173" s="182" t="n">
        <f aca="false">H139+H140</f>
        <v>640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-0.00799999999799184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-0.00799999999799184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1186.61257722407</v>
      </c>
      <c r="B182" s="103" t="str">
        <f aca="false">B114</f>
        <v>199.99</v>
      </c>
      <c r="C182" s="103"/>
      <c r="D182" s="23"/>
      <c r="E182" s="103" t="n">
        <f aca="false">E179+A182+(B182*1.2)+A185</f>
        <v>1436.59257722407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-6.52777777613917E-005</v>
      </c>
      <c r="C188" s="93"/>
      <c r="D188" s="93"/>
      <c r="E188" s="103" t="n">
        <f aca="false">(E40*A108)*0.1*(C45/100)</f>
        <v>46.893</v>
      </c>
      <c r="F188" s="23"/>
      <c r="G188" s="23"/>
      <c r="H188" s="33"/>
      <c r="J188" s="111" t="n">
        <f aca="false">IF(N105="YES", H15*0.000002, 0)</f>
        <v>0.11705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146.882934722222</v>
      </c>
      <c r="C191" s="93"/>
      <c r="D191" s="93"/>
      <c r="E191" s="103" t="n">
        <f aca="false">H148</f>
        <v>-48770.84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-21870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-14056.251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-14056.251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-164.700453611057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878.327999999998</v>
      </c>
      <c r="B201" s="186" t="n">
        <f aca="false">E179+A201+(B182*1.2)+A185</f>
        <v>1128.308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-247.452806552233</v>
      </c>
      <c r="B212" s="177" t="n">
        <f aca="false">B167</f>
        <v>82.7523529411765</v>
      </c>
      <c r="C212" s="174"/>
      <c r="D212" s="174"/>
      <c r="E212" s="177" t="n">
        <f aca="false">E167</f>
        <v>-164.700453611057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-533.339999999998</v>
      </c>
      <c r="B215" s="103" t="n">
        <f aca="false">B173</f>
        <v>-106.668</v>
      </c>
      <c r="C215" s="186"/>
      <c r="D215" s="113"/>
      <c r="E215" s="182" t="n">
        <f aca="false">E173</f>
        <v>640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-0.00799999999799184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-0.00799999999799184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1186.61257722407</v>
      </c>
      <c r="B224" s="103" t="str">
        <f aca="false">B182</f>
        <v>199.99</v>
      </c>
      <c r="C224" s="103"/>
      <c r="D224" s="113"/>
      <c r="E224" s="103" t="n">
        <f aca="false">E182</f>
        <v>1436.59257722407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-247.452806552233</v>
      </c>
      <c r="B230" s="103" t="n">
        <f aca="false">B167</f>
        <v>82.7523529411765</v>
      </c>
      <c r="C230" s="186"/>
      <c r="D230" s="186"/>
      <c r="E230" s="103" t="n">
        <f aca="false">E167</f>
        <v>-164.700453611057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-48770.84</v>
      </c>
      <c r="B240" s="103" t="n">
        <f aca="false">B68</f>
        <v>-6.52777777613917E-005</v>
      </c>
      <c r="C240" s="93"/>
      <c r="D240" s="93"/>
      <c r="E240" s="103" t="n">
        <f aca="false">E188</f>
        <v>46.893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-48623.9570652778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318.284577224071</v>
      </c>
      <c r="C254" s="197"/>
      <c r="D254" s="198" t="s">
        <v>216</v>
      </c>
      <c r="E254" s="198"/>
      <c r="F254" s="200" t="n">
        <f aca="false">F261+F267+F269+B270+B271</f>
        <v>-7.83333333136701E-005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568.92</v>
      </c>
      <c r="C255" s="197"/>
      <c r="D255" s="198" t="s">
        <v>218</v>
      </c>
      <c r="E255" s="198"/>
      <c r="F255" s="200" t="n">
        <f aca="false">(B254-F254)+B255</f>
        <v>887.204655557404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318.284577224071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-7.83333333136701E-005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468.93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887.204655557404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7680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1875.65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1425.06160912611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1371.47160912611</v>
      </c>
      <c r="B36" s="232" t="n">
        <f aca="false">IF(B26="YES", K42, "0.00")</f>
        <v>53.59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29007.9023860839</v>
      </c>
      <c r="N39" s="1" t="n">
        <f aca="false">K39-L39</f>
        <v>19879.5976139161</v>
      </c>
      <c r="P39" s="212"/>
    </row>
    <row r="40" customFormat="false" ht="17.35" hidden="false" customHeight="false" outlineLevel="0" collapsed="false">
      <c r="A40" s="107" t="n">
        <f aca="false">E36*A45/100</f>
        <v>7680</v>
      </c>
      <c r="B40" s="107" t="n">
        <f aca="false">IF(B26="YES", K42, "0.00")</f>
        <v>53.59</v>
      </c>
      <c r="C40" s="107"/>
      <c r="D40" s="107"/>
      <c r="E40" s="182" t="n">
        <f aca="false">K32</f>
        <v>1875.65</v>
      </c>
      <c r="F40" s="186"/>
      <c r="G40" s="186"/>
      <c r="H40" s="47"/>
      <c r="J40" s="2" t="s">
        <v>106</v>
      </c>
      <c r="K40" s="2" t="n">
        <f aca="false">(A40)/1.2</f>
        <v>6400</v>
      </c>
      <c r="L40" s="2" t="n">
        <f aca="false">K39-L39</f>
        <v>19879.5976139161</v>
      </c>
      <c r="N40" s="1" t="n">
        <f aca="false">N38-N39</f>
        <v>-16967.9176139161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53.59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5268.9137194334</v>
      </c>
      <c r="L44" s="2"/>
      <c r="P44" s="212"/>
    </row>
    <row r="45" customFormat="false" ht="17.35" hidden="false" customHeight="false" outlineLevel="0" collapsed="false">
      <c r="A45" s="505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43618.5862805666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1371.47160912611</v>
      </c>
      <c r="L47" s="2" t="n">
        <f aca="false">L49-K42</f>
        <v>746.41</v>
      </c>
      <c r="M47" s="1" t="n">
        <f aca="false">K47-L47</f>
        <v>625.06160912611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1425.06160912611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1425.06160912611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11708.5803900844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3212.12204122779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17088.6564236405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356.096946402278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477.629340277778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1371.47160912611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1371.47160912611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1425.06160912611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1425.06160912611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58535</v>
      </c>
      <c r="C81" s="93"/>
      <c r="D81" s="93"/>
      <c r="E81" s="113"/>
      <c r="F81" s="25" t="s">
        <v>105</v>
      </c>
      <c r="G81" s="27" t="n">
        <f aca="false">G158</f>
        <v>58535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7680</v>
      </c>
      <c r="C82" s="93"/>
      <c r="D82" s="93"/>
      <c r="E82" s="113"/>
      <c r="F82" s="31" t="s">
        <v>106</v>
      </c>
      <c r="G82" s="33" t="n">
        <f aca="false">IF(A111 = "Yes", A40, 0)</f>
        <v>7680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5929.82144466603</v>
      </c>
      <c r="C86" s="93"/>
      <c r="D86" s="93"/>
      <c r="E86" s="113"/>
      <c r="F86" s="31" t="s">
        <v>110</v>
      </c>
      <c r="G86" s="33" t="n">
        <f aca="false">(G82/((1+G84)^(G85+1)))</f>
        <v>6356.9444024964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52605.178555334</v>
      </c>
      <c r="C88" s="93"/>
      <c r="D88" s="93"/>
      <c r="E88" s="113"/>
      <c r="F88" s="31" t="s">
        <v>112</v>
      </c>
      <c r="G88" s="33" t="n">
        <f aca="false">G81-G86</f>
        <v>52178.0555975036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1756.1790208676</v>
      </c>
      <c r="C89" s="93"/>
      <c r="D89" s="93"/>
      <c r="E89" s="113"/>
      <c r="F89" s="31" t="s">
        <v>113</v>
      </c>
      <c r="G89" s="33" t="n">
        <f aca="false">(G88/G87)</f>
        <v>1684.44032652922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59710.0867094983</v>
      </c>
      <c r="C90" s="93"/>
      <c r="D90" s="93"/>
      <c r="E90" s="113"/>
      <c r="F90" s="31" t="s">
        <v>114</v>
      </c>
      <c r="G90" s="33" t="n">
        <f aca="false">((G89*(G85))+G77)</f>
        <v>57270.9711019934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59710.0867094983</v>
      </c>
      <c r="C92" s="93"/>
      <c r="D92" s="93"/>
      <c r="E92" s="113"/>
      <c r="F92" s="56" t="s">
        <v>116</v>
      </c>
      <c r="G92" s="65" t="n">
        <f aca="false">(G90+G91)</f>
        <v>57270.9711019934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79.4392941176471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66.1994117647059</v>
      </c>
      <c r="H94" s="33"/>
      <c r="J94" s="88" t="s">
        <v>117</v>
      </c>
      <c r="K94" s="89" t="n">
        <f aca="false">((E40/K85)*(1+J108))*1.2</f>
        <v>83.6004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66.1994117647059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79.4392941176471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1756.1790208676</v>
      </c>
      <c r="C95" s="93"/>
      <c r="D95" s="93"/>
      <c r="E95" s="113"/>
      <c r="F95" s="95" t="s">
        <v>118</v>
      </c>
      <c r="G95" s="96" t="n">
        <f aca="false">G92/(G85)</f>
        <v>1684.44032652922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1835.61831498524</v>
      </c>
      <c r="C96" s="93"/>
      <c r="D96" s="93"/>
      <c r="E96" s="113"/>
      <c r="F96" s="97" t="s">
        <v>119</v>
      </c>
      <c r="G96" s="98" t="n">
        <f aca="false">G94+G95</f>
        <v>1750.63973829392</v>
      </c>
      <c r="H96" s="33"/>
      <c r="J96" s="97" t="s">
        <v>119</v>
      </c>
      <c r="K96" s="98" t="n">
        <f aca="false">(K94+K95)</f>
        <v>1589.8835870777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1980.61596303101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1501.72174311224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272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-48779.1666666667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1756.1790208676</v>
      </c>
      <c r="B167" s="177" t="n">
        <f aca="false">B94</f>
        <v>79.4392941176471</v>
      </c>
      <c r="C167" s="174"/>
      <c r="D167" s="174"/>
      <c r="E167" s="177" t="n">
        <f aca="false">B96</f>
        <v>1835.61831498524</v>
      </c>
      <c r="F167" s="23"/>
      <c r="G167" s="23" t="n">
        <f aca="false">ROUND(G95, 2)</f>
        <v>1684.44</v>
      </c>
      <c r="H167" s="33"/>
      <c r="J167" s="176" t="n">
        <f aca="false">K95</f>
        <v>1506.2831870777</v>
      </c>
      <c r="K167" s="177" t="n">
        <f aca="false">K94</f>
        <v>83.6004</v>
      </c>
      <c r="L167" s="174"/>
      <c r="M167" s="174"/>
      <c r="N167" s="177" t="n">
        <f aca="false">K96</f>
        <v>1589.8835870777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66.1994117647059</v>
      </c>
      <c r="U167" s="174"/>
      <c r="V167" s="174"/>
      <c r="W167" s="177" t="n">
        <f aca="false">T96</f>
        <v>1980.61596303101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79.4392941176471</v>
      </c>
      <c r="AD167" s="174"/>
      <c r="AE167" s="174"/>
      <c r="AF167" s="177" t="n">
        <f aca="false">AC96</f>
        <v>1501.72174311224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8855.08670949825</v>
      </c>
      <c r="B182" s="103" t="str">
        <f aca="false">B114</f>
        <v>239.99</v>
      </c>
      <c r="C182" s="103"/>
      <c r="D182" s="23"/>
      <c r="E182" s="103" t="n">
        <f aca="false">E179+A182+B182+A185</f>
        <v>67640.0767094983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239.99</v>
      </c>
      <c r="C185" s="103"/>
      <c r="D185" s="23"/>
      <c r="E185" s="103" t="n">
        <f aca="false">E170+A185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13.8924</v>
      </c>
      <c r="B188" s="103" t="n">
        <f aca="false">(G158*B67)</f>
        <v>573.155208333333</v>
      </c>
      <c r="C188" s="93"/>
      <c r="D188" s="93"/>
      <c r="E188" s="103" t="n">
        <f aca="false">(E40*A108)*0.1*(C45/100)</f>
        <v>37.513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56.2695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37.513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37.513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710.659875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3517.01036805556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1622.06351424132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1548.51536163194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1835.61831498524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1589.8835870777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1980.61596303101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1501.72174311224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6415.96</v>
      </c>
      <c r="B201" s="186" t="n">
        <f aca="false">E179+A201+B182+A185</f>
        <v>65200.95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1756.1790208676</v>
      </c>
      <c r="B212" s="177" t="n">
        <f aca="false">B167</f>
        <v>79.4392941176471</v>
      </c>
      <c r="C212" s="174"/>
      <c r="D212" s="174"/>
      <c r="E212" s="177" t="n">
        <f aca="false">E167</f>
        <v>1835.61831498524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8855.08670949825</v>
      </c>
      <c r="B224" s="103" t="str">
        <f aca="false">B182</f>
        <v>239.99</v>
      </c>
      <c r="C224" s="103"/>
      <c r="D224" s="113"/>
      <c r="E224" s="103" t="n">
        <f aca="false">E182</f>
        <v>67640.0767094983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1756.1790208676</v>
      </c>
      <c r="B230" s="103" t="n">
        <f aca="false">B167</f>
        <v>79.4392941176471</v>
      </c>
      <c r="C230" s="186"/>
      <c r="D230" s="186"/>
      <c r="E230" s="103" t="n">
        <f aca="false">E167</f>
        <v>1835.61831498524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477.629340277778</v>
      </c>
      <c r="C240" s="93"/>
      <c r="D240" s="93"/>
      <c r="E240" s="103" t="n">
        <f aca="false">E188</f>
        <v>37.513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615.134006944445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2449.12670949825</v>
      </c>
      <c r="C254" s="197"/>
      <c r="D254" s="198" t="s">
        <v>216</v>
      </c>
      <c r="E254" s="198"/>
      <c r="F254" s="200" t="n">
        <f aca="false">F261+F267+F269+B270+B271</f>
        <v>573.155208333333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475.121666666667</v>
      </c>
      <c r="C255" s="197"/>
      <c r="D255" s="198" t="s">
        <v>218</v>
      </c>
      <c r="E255" s="198"/>
      <c r="F255" s="200" t="n">
        <f aca="false">(B254-F254)+B255</f>
        <v>2351.09316783159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2449.12670949825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573.155208333333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375.13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2351.09316783159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345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290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55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21273</v>
      </c>
      <c r="I15" s="2"/>
      <c r="J15" s="17" t="n">
        <f aca="false">H15</f>
        <v>21273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21273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1368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565.704926808692</v>
      </c>
      <c r="F33" s="232"/>
      <c r="G33" s="232"/>
      <c r="H33" s="47"/>
      <c r="I33" s="2"/>
      <c r="J33" s="34" t="s">
        <v>356</v>
      </c>
      <c r="K33" s="48" t="n">
        <f aca="false">H21-H11+(H16*20%)</f>
        <v>17785</v>
      </c>
      <c r="L33" s="1" t="n">
        <f aca="false">H21-H11+(H16*20%)</f>
        <v>17785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565.704926808692</v>
      </c>
      <c r="B36" s="232" t="str">
        <f aca="false">IF(B26="YES", K42, "0.00")</f>
        <v>0.00</v>
      </c>
      <c r="C36" s="232"/>
      <c r="D36" s="232"/>
      <c r="E36" s="232" t="n">
        <f aca="false">K31</f>
        <v>1368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17785</v>
      </c>
      <c r="L39" s="2" t="n">
        <f aca="false">(L47*K46)+K44</f>
        <v>24807.4161256803</v>
      </c>
      <c r="N39" s="1" t="n">
        <f aca="false">K39-L39</f>
        <v>-7022.41612568029</v>
      </c>
      <c r="P39" s="212"/>
    </row>
    <row r="40" customFormat="false" ht="17.35" hidden="false" customHeight="false" outlineLevel="0" collapsed="false">
      <c r="A40" s="313" t="n">
        <f aca="false">E36*A45/100</f>
        <v>1368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1140</v>
      </c>
      <c r="L40" s="2" t="n">
        <f aca="false">K39-L39</f>
        <v>-7022.41612568029</v>
      </c>
      <c r="N40" s="1" t="n">
        <f aca="false">N38-N39</f>
        <v>9934.09612568029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0.008875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829.392072408654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16955.6079275913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29.9725300665895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565.704926808692</v>
      </c>
      <c r="L47" s="2" t="n">
        <f aca="false">L49-K42</f>
        <v>800</v>
      </c>
      <c r="M47" s="1" t="n">
        <f aca="false">K47-L47</f>
        <v>-234.295073191308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565.704926808692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565.704926808692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7775.13610475283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29889.3171615416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5796.63594308033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-183.337844660524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187.898819444444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168.901354166667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565.704926808692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565.704926808692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565.704926808692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565.704926808692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23027.6</v>
      </c>
      <c r="C81" s="93"/>
      <c r="D81" s="93"/>
      <c r="E81" s="113"/>
      <c r="F81" s="25" t="s">
        <v>105</v>
      </c>
      <c r="G81" s="27" t="n">
        <f aca="false">G158</f>
        <v>23027.6</v>
      </c>
      <c r="H81" s="33"/>
      <c r="J81" s="25" t="s">
        <v>105</v>
      </c>
      <c r="K81" s="27" t="n">
        <f aca="false">P158</f>
        <v>36534.004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22222.765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17249.5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1368</v>
      </c>
      <c r="C82" s="93"/>
      <c r="D82" s="93"/>
      <c r="E82" s="113"/>
      <c r="F82" s="31" t="s">
        <v>106</v>
      </c>
      <c r="G82" s="33" t="n">
        <f aca="false">IF(A111 = "Yes", A40, 0)</f>
        <v>1368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1368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1368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0.1565</v>
      </c>
      <c r="C83" s="93"/>
      <c r="D83" s="93"/>
      <c r="E83" s="113"/>
      <c r="F83" s="31" t="s">
        <v>107</v>
      </c>
      <c r="G83" s="91" t="n">
        <f aca="false">B63</f>
        <v>0.1065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0.0130416666666667</v>
      </c>
      <c r="C84" s="93"/>
      <c r="D84" s="93"/>
      <c r="E84" s="113"/>
      <c r="F84" s="31" t="s">
        <v>108</v>
      </c>
      <c r="G84" s="92" t="n">
        <f aca="false">G83/12</f>
        <v>0.008875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869.221188557126</v>
      </c>
      <c r="C86" s="93"/>
      <c r="D86" s="93"/>
      <c r="E86" s="113"/>
      <c r="F86" s="31" t="s">
        <v>110</v>
      </c>
      <c r="G86" s="33" t="n">
        <f aca="false">(G82/((1+G84)^(G85+1)))</f>
        <v>1004.10351246154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935.510386391194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935.510386391194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27.3214908604959</v>
      </c>
      <c r="C87" s="93"/>
      <c r="D87" s="93"/>
      <c r="E87" s="113"/>
      <c r="F87" s="31" t="s">
        <v>111</v>
      </c>
      <c r="G87" s="33" t="n">
        <f aca="false">((1-(1/((1+G84)^G85)))/G84)</f>
        <v>29.2385362709305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22158.3788114429</v>
      </c>
      <c r="C88" s="93"/>
      <c r="D88" s="93"/>
      <c r="E88" s="113"/>
      <c r="F88" s="31" t="s">
        <v>112</v>
      </c>
      <c r="G88" s="33" t="n">
        <f aca="false">G81-G86</f>
        <v>22023.4964875385</v>
      </c>
      <c r="H88" s="33"/>
      <c r="J88" s="31" t="s">
        <v>112</v>
      </c>
      <c r="K88" s="33" t="n">
        <f aca="false">K81-K86</f>
        <v>36534.004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21287.2546136088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16313.9896136088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811.023780678148</v>
      </c>
      <c r="C89" s="93"/>
      <c r="D89" s="93"/>
      <c r="E89" s="113"/>
      <c r="F89" s="31" t="s">
        <v>113</v>
      </c>
      <c r="G89" s="33" t="n">
        <f aca="false">(G88/G87)</f>
        <v>753.235260598001</v>
      </c>
      <c r="H89" s="33"/>
      <c r="J89" s="31" t="s">
        <v>113</v>
      </c>
      <c r="K89" s="33" t="n">
        <f aca="false">(K88/K87)</f>
        <v>1461.4408705837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752.832599452486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576.951017460108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27574.808543057</v>
      </c>
      <c r="C90" s="93"/>
      <c r="D90" s="93"/>
      <c r="E90" s="113"/>
      <c r="F90" s="31" t="s">
        <v>114</v>
      </c>
      <c r="G90" s="33" t="n">
        <f aca="false">((G89*(G85))+G77)</f>
        <v>25609.998860332</v>
      </c>
      <c r="H90" s="33"/>
      <c r="J90" s="31" t="s">
        <v>114</v>
      </c>
      <c r="K90" s="33" t="n">
        <f aca="false">((K89*(K85))+K77)</f>
        <v>51150.4304704296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25596.3083813845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19616.3345936437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27574.808543057</v>
      </c>
      <c r="C92" s="93"/>
      <c r="D92" s="93"/>
      <c r="E92" s="113"/>
      <c r="F92" s="56" t="s">
        <v>116</v>
      </c>
      <c r="G92" s="65" t="n">
        <f aca="false">(G90+G91)</f>
        <v>25609.998860332</v>
      </c>
      <c r="H92" s="33"/>
      <c r="J92" s="56" t="s">
        <v>116</v>
      </c>
      <c r="K92" s="65" t="n">
        <f aca="false">(K90+K91)</f>
        <v>51150.4304704296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25596.3083813845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19616.3345936437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811.023780678148</v>
      </c>
      <c r="C95" s="93"/>
      <c r="D95" s="93"/>
      <c r="E95" s="113"/>
      <c r="F95" s="95" t="s">
        <v>118</v>
      </c>
      <c r="G95" s="96" t="n">
        <f aca="false">G92/(G85)</f>
        <v>753.235260598001</v>
      </c>
      <c r="H95" s="33"/>
      <c r="J95" s="95" t="s">
        <v>118</v>
      </c>
      <c r="K95" s="96" t="n">
        <f aca="false">K92/(K85)</f>
        <v>1461.4408705837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752.832599452486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576.951017460108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811.023780678148</v>
      </c>
      <c r="C96" s="93"/>
      <c r="D96" s="93"/>
      <c r="E96" s="113"/>
      <c r="F96" s="97" t="s">
        <v>119</v>
      </c>
      <c r="G96" s="98" t="n">
        <f aca="false">G94+G95</f>
        <v>753.235260598001</v>
      </c>
      <c r="H96" s="33"/>
      <c r="J96" s="97" t="s">
        <v>119</v>
      </c>
      <c r="K96" s="98" t="n">
        <f aca="false">(K94+K95)</f>
        <v>1461.4408705837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752.832599452486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576.951017460108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234</v>
      </c>
      <c r="C108" s="107"/>
      <c r="D108" s="107"/>
      <c r="E108" s="108" t="n">
        <f aca="false">B83</f>
        <v>0.1565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-3545.5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-3545.5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20290.5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20290.5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4197.1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290</v>
      </c>
      <c r="H139" s="33" t="n">
        <f aca="false">G139</f>
        <v>290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290</v>
      </c>
      <c r="Q139" s="33" t="n">
        <f aca="false">P139</f>
        <v>290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290</v>
      </c>
      <c r="Z139" s="33" t="n">
        <f aca="false">Y139</f>
        <v>290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290</v>
      </c>
      <c r="AI139" s="33" t="n">
        <f aca="false">AH139</f>
        <v>290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55</v>
      </c>
      <c r="H140" s="33" t="n">
        <f aca="false">G140</f>
        <v>55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55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55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55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21273</v>
      </c>
      <c r="H141" s="157" t="n">
        <f aca="false">(H135+H136+H139+H140+H137)-H138</f>
        <v>25527.6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21273</v>
      </c>
      <c r="Q141" s="157" t="n">
        <f aca="false">(Q135+Q136+Q139+Q140+Q137)-Q138</f>
        <v>35534.004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21273</v>
      </c>
      <c r="Z141" s="157" t="n">
        <f aca="false">(Z135+Z136+Z139+Z140+Z137)-Z138</f>
        <v>21222.765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21273</v>
      </c>
      <c r="AI141" s="157" t="n">
        <f aca="false">(AI135+AI136+AI139+AI140+AI137)-AI138</f>
        <v>16249.5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21273</v>
      </c>
      <c r="H147" s="164" t="n">
        <f aca="false">H141-((H144*1.2)+(H145*1.2)+(H146*1.2)+(H142*1.2))</f>
        <v>25527.6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21273</v>
      </c>
      <c r="Q147" s="164" t="n">
        <f aca="false">Q141-((Q144*1.2)+(Q145*1.2)+(Q146*1.2)+(Q142*1.2))</f>
        <v>35534.004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21273</v>
      </c>
      <c r="Z147" s="164" t="n">
        <f aca="false">Z141-((Z144*1.2)+(Z145*1.2)+(Z146*1.2)+(Z142*1.2))</f>
        <v>21222.765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21273</v>
      </c>
      <c r="AI147" s="164" t="n">
        <f aca="false">AI141-((AI144*1.2)+(AI145*1.2)+(AI146*1.2)+(AI142*1.2))</f>
        <v>16249.5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3545.5</v>
      </c>
      <c r="I148" s="1" t="n">
        <f aca="false">(H148-G81)/1.2</f>
        <v>-16235.0833333333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14261.004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-5023.5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23027.6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36534.004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22222.765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17249.5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811.023780678148</v>
      </c>
      <c r="B167" s="177" t="str">
        <f aca="false">B94</f>
        <v>0</v>
      </c>
      <c r="C167" s="174"/>
      <c r="D167" s="174"/>
      <c r="E167" s="177" t="n">
        <f aca="false">B96</f>
        <v>811.023780678148</v>
      </c>
      <c r="F167" s="23"/>
      <c r="G167" s="23" t="n">
        <f aca="false">ROUND(G95, 2)</f>
        <v>753.24</v>
      </c>
      <c r="H167" s="33"/>
      <c r="J167" s="176" t="n">
        <f aca="false">K95</f>
        <v>1461.4408705837</v>
      </c>
      <c r="K167" s="177" t="n">
        <f aca="false">K94</f>
        <v>0</v>
      </c>
      <c r="L167" s="174"/>
      <c r="M167" s="174"/>
      <c r="N167" s="177" t="n">
        <f aca="false">K96</f>
        <v>1461.4408705837</v>
      </c>
      <c r="O167" s="23"/>
      <c r="P167" s="23"/>
      <c r="Q167" s="33"/>
      <c r="S167" s="176" t="n">
        <f aca="false">T95</f>
        <v>752.832599452486</v>
      </c>
      <c r="T167" s="177" t="n">
        <f aca="false">T94</f>
        <v>0</v>
      </c>
      <c r="U167" s="174"/>
      <c r="V167" s="174"/>
      <c r="W167" s="177" t="n">
        <f aca="false">T96</f>
        <v>752.832599452486</v>
      </c>
      <c r="X167" s="23"/>
      <c r="Y167" s="23"/>
      <c r="Z167" s="33"/>
      <c r="AB167" s="176" t="n">
        <f aca="false">AC95</f>
        <v>576.951017460108</v>
      </c>
      <c r="AC167" s="177" t="n">
        <f aca="false">AC94</f>
        <v>0</v>
      </c>
      <c r="AD167" s="174"/>
      <c r="AE167" s="174"/>
      <c r="AF167" s="177" t="n">
        <f aca="false">AC96</f>
        <v>576.951017460108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1368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1368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1368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1368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20985.5</v>
      </c>
      <c r="B173" s="103" t="n">
        <f aca="false">H137</f>
        <v>4197.1</v>
      </c>
      <c r="C173" s="186"/>
      <c r="D173" s="23"/>
      <c r="E173" s="182" t="n">
        <f aca="false">H139+H140</f>
        <v>345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345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345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345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25527.6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35534.004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21222.765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16249.5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23027.6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36534.004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22222.765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17249.5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5915.20854305703</v>
      </c>
      <c r="B182" s="103" t="str">
        <f aca="false">B114</f>
        <v>239.99</v>
      </c>
      <c r="C182" s="103"/>
      <c r="D182" s="23"/>
      <c r="E182" s="103" t="n">
        <f aca="false">E179+A182+B182+A185</f>
        <v>29192.798543057</v>
      </c>
      <c r="F182" s="23"/>
      <c r="G182" s="23"/>
      <c r="H182" s="105"/>
      <c r="J182" s="111" t="n">
        <f aca="false">(J167*K59)+N185-N179-J185</f>
        <v>14522.9855998458</v>
      </c>
      <c r="K182" s="103" t="n">
        <f aca="false">K114</f>
        <v>239.99</v>
      </c>
      <c r="L182" s="103"/>
      <c r="M182" s="23"/>
      <c r="N182" s="103" t="n">
        <f aca="false">N179+J182+K182+J185</f>
        <v>51316.9795998458</v>
      </c>
      <c r="O182" s="23"/>
      <c r="P182" s="23"/>
      <c r="Q182" s="105"/>
      <c r="S182" s="111" t="n">
        <f aca="false">(S167*T59)+W185-W179-S185</f>
        <v>4741.54338138454</v>
      </c>
      <c r="T182" s="103" t="n">
        <f aca="false">T114</f>
        <v>199.99</v>
      </c>
      <c r="U182" s="103"/>
      <c r="V182" s="23"/>
      <c r="W182" s="103" t="n">
        <f aca="false">W179+S182+T182+S185</f>
        <v>27174.2983813845</v>
      </c>
      <c r="X182" s="23"/>
      <c r="Y182" s="23"/>
      <c r="Z182" s="105"/>
      <c r="AB182" s="111" t="n">
        <f aca="false">(AB167*AC59)+AF185-AF179-AB185</f>
        <v>3734.83459364368</v>
      </c>
      <c r="AC182" s="103" t="n">
        <f aca="false">AC114</f>
        <v>239.99</v>
      </c>
      <c r="AD182" s="103"/>
      <c r="AE182" s="23"/>
      <c r="AF182" s="103" t="n">
        <f aca="false">AF179+AB182+AC182+AB185</f>
        <v>21234.3245936437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1378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1388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1378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1378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187.898819444444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0.042546</v>
      </c>
      <c r="K188" s="103" t="n">
        <f aca="false">(P158*K67)/1.2</f>
        <v>2251.66170486111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181.331589409722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140.751128472222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287.890486111111</v>
      </c>
      <c r="C191" s="93"/>
      <c r="D191" s="93"/>
      <c r="E191" s="103" t="n">
        <f aca="false">H148</f>
        <v>3545.5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3391.65170486111</v>
      </c>
      <c r="L191" s="93"/>
      <c r="M191" s="93"/>
      <c r="N191" s="103" t="n">
        <f aca="false">Q148</f>
        <v>14261.004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1281.32158940972</v>
      </c>
      <c r="U191" s="93"/>
      <c r="V191" s="93"/>
      <c r="W191" s="103" t="n">
        <f aca="false">Z148</f>
        <v>-50.2350000000006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1280.74112847222</v>
      </c>
      <c r="AD191" s="93"/>
      <c r="AE191" s="93"/>
      <c r="AF191" s="103" t="n">
        <f aca="false">AI148</f>
        <v>-5023.5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811.023780678148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1461.4408705837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752.832599452486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576.951017460108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3950.56</v>
      </c>
      <c r="B201" s="186" t="n">
        <f aca="false">E179+A201+B182+A185</f>
        <v>27228.15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811.023780678148</v>
      </c>
      <c r="B212" s="177" t="str">
        <f aca="false">B167</f>
        <v>0</v>
      </c>
      <c r="C212" s="174"/>
      <c r="D212" s="174"/>
      <c r="E212" s="177" t="n">
        <f aca="false">E167</f>
        <v>811.023780678148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20985.5</v>
      </c>
      <c r="B215" s="103" t="n">
        <f aca="false">B173</f>
        <v>4197.1</v>
      </c>
      <c r="C215" s="186"/>
      <c r="D215" s="113"/>
      <c r="E215" s="182" t="n">
        <f aca="false">E173</f>
        <v>345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25527.6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23027.6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5915.20854305703</v>
      </c>
      <c r="B224" s="103" t="str">
        <f aca="false">B182</f>
        <v>239.99</v>
      </c>
      <c r="C224" s="103"/>
      <c r="D224" s="113"/>
      <c r="E224" s="103" t="n">
        <f aca="false">E182</f>
        <v>29192.798543057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811.023780678148</v>
      </c>
      <c r="B230" s="103" t="str">
        <f aca="false">B167</f>
        <v>0</v>
      </c>
      <c r="C230" s="186"/>
      <c r="D230" s="186"/>
      <c r="E230" s="103" t="n">
        <f aca="false">E167</f>
        <v>811.023780678148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1368</v>
      </c>
      <c r="B233" s="103" t="n">
        <f aca="false">E185</f>
        <v>1378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15.06816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3545.5</v>
      </c>
      <c r="B240" s="103" t="n">
        <f aca="false">B68</f>
        <v>187.898819444444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3833.39048611111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0.1065</v>
      </c>
      <c r="C253" s="197"/>
      <c r="D253" s="198" t="s">
        <v>214</v>
      </c>
      <c r="E253" s="198"/>
      <c r="F253" s="196" t="n">
        <f aca="false">B83</f>
        <v>0.1565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1974.64854305703</v>
      </c>
      <c r="C254" s="197"/>
      <c r="D254" s="198" t="s">
        <v>216</v>
      </c>
      <c r="E254" s="198"/>
      <c r="F254" s="200" t="n">
        <f aca="false">F261+F267+F269+B270+B271</f>
        <v>225.478583333333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1849.16162639037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0.1065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0.1565</v>
      </c>
      <c r="C260" s="43"/>
      <c r="D260" s="166" t="s">
        <v>215</v>
      </c>
      <c r="E260" s="166"/>
      <c r="F260" s="146" t="n">
        <f aca="false">B254</f>
        <v>1974.64854305703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225.478583333333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1849.16162639037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392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352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11520.0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1369.02804901647</v>
      </c>
      <c r="F33" s="232"/>
      <c r="G33" s="232"/>
      <c r="H33" s="47"/>
      <c r="I33" s="2"/>
      <c r="J33" s="34" t="s">
        <v>356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1288.63804901647</v>
      </c>
      <c r="B36" s="232" t="n">
        <f aca="false">IF(B26="YES", K42, "0.00")</f>
        <v>80.39</v>
      </c>
      <c r="C36" s="232"/>
      <c r="D36" s="232"/>
      <c r="E36" s="232" t="n">
        <f aca="false">K31</f>
        <v>11520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48887.5</v>
      </c>
      <c r="L39" s="2" t="n">
        <f aca="false">(L47*K46)+K44</f>
        <v>30790.0061204858</v>
      </c>
      <c r="N39" s="1" t="n">
        <f aca="false">K39-L39</f>
        <v>18097.4938795142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106</v>
      </c>
      <c r="K40" s="2" t="n">
        <f aca="false">(A40)/1.2</f>
        <v>9600</v>
      </c>
      <c r="L40" s="2" t="n">
        <f aca="false">K39-L39</f>
        <v>18097.4938795142</v>
      </c>
      <c r="N40" s="1" t="n">
        <f aca="false">N38-N39</f>
        <v>-15185.8138795142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7903.3705791501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40984.1294208499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1288.63804901647</v>
      </c>
      <c r="L47" s="2" t="n">
        <f aca="false">L49-K42</f>
        <v>719.61</v>
      </c>
      <c r="M47" s="1" t="n">
        <f aca="false">K47-L47</f>
        <v>569.028049016467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1369.02804901647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1369.02804901647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-55198.3862458338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6111.29664506531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16830.2724240656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97.7129468273997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6.52777777256771E-005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1288.63804901647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1288.63804901647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1369.02804901647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1369.02804901647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0.00799999999361489</v>
      </c>
      <c r="C81" s="93"/>
      <c r="D81" s="93"/>
      <c r="E81" s="113"/>
      <c r="F81" s="25" t="s">
        <v>105</v>
      </c>
      <c r="G81" s="27" t="n">
        <f aca="false">G158</f>
        <v>0.00799999999361489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11520</v>
      </c>
      <c r="C82" s="93"/>
      <c r="D82" s="93"/>
      <c r="E82" s="113"/>
      <c r="F82" s="31" t="s">
        <v>106</v>
      </c>
      <c r="G82" s="33" t="n">
        <f aca="false">IF(A111 = "Yes", A40, 0)</f>
        <v>11520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11520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11520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8894.73216699905</v>
      </c>
      <c r="C86" s="93"/>
      <c r="D86" s="93"/>
      <c r="E86" s="113"/>
      <c r="F86" s="31" t="s">
        <v>110</v>
      </c>
      <c r="G86" s="33" t="n">
        <f aca="false">(G82/((1+G84)^(G85+1)))</f>
        <v>9535.4166037446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7877.982201189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7877.982201189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-8894.72416699905</v>
      </c>
      <c r="C88" s="93"/>
      <c r="D88" s="93"/>
      <c r="E88" s="113"/>
      <c r="F88" s="31" t="s">
        <v>112</v>
      </c>
      <c r="G88" s="33" t="n">
        <f aca="false">G81-G86</f>
        <v>-9535.4086037446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51506.455288811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37590.766798811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-296.942780301691</v>
      </c>
      <c r="C89" s="93"/>
      <c r="D89" s="93"/>
      <c r="E89" s="113"/>
      <c r="F89" s="31" t="s">
        <v>113</v>
      </c>
      <c r="G89" s="33" t="n">
        <f aca="false">(G88/G87)</f>
        <v>-307.82723882968</v>
      </c>
      <c r="H89" s="33"/>
      <c r="J89" s="31" t="s">
        <v>113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1821.5471805777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1329.41307830599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-10096.0545302575</v>
      </c>
      <c r="C90" s="93"/>
      <c r="D90" s="93"/>
      <c r="E90" s="113"/>
      <c r="F90" s="31" t="s">
        <v>114</v>
      </c>
      <c r="G90" s="33" t="n">
        <f aca="false">((G89*(G85))+G77)</f>
        <v>-10466.1261202091</v>
      </c>
      <c r="H90" s="33"/>
      <c r="J90" s="31" t="s">
        <v>114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61932.604139642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45200.0446624037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-0</v>
      </c>
      <c r="C91" s="93"/>
      <c r="D91" s="93"/>
      <c r="E91" s="113"/>
      <c r="F91" s="31" t="s">
        <v>115</v>
      </c>
      <c r="G91" s="33" t="n">
        <f aca="false">(((G89*(G85))+G77)/(1-G71))*G71</f>
        <v>-0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-10096.0545302575</v>
      </c>
      <c r="C92" s="93"/>
      <c r="D92" s="93"/>
      <c r="E92" s="113"/>
      <c r="F92" s="56" t="s">
        <v>116</v>
      </c>
      <c r="G92" s="65" t="n">
        <f aca="false">(G90+G91)</f>
        <v>-10466.1261202091</v>
      </c>
      <c r="H92" s="33"/>
      <c r="J92" s="56" t="s">
        <v>116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61932.604139642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45200.0446624037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99.3052941176471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99.3052941176471</v>
      </c>
      <c r="H94" s="33"/>
      <c r="J94" s="88" t="s">
        <v>117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-296.942780301691</v>
      </c>
      <c r="C95" s="93"/>
      <c r="D95" s="93"/>
      <c r="E95" s="113"/>
      <c r="F95" s="95" t="s">
        <v>118</v>
      </c>
      <c r="G95" s="96" t="n">
        <f aca="false">G92/(G85)</f>
        <v>-307.82723882968</v>
      </c>
      <c r="H95" s="33"/>
      <c r="J95" s="95" t="s">
        <v>118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1821.5471805777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1329.41307830599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-197.637486184043</v>
      </c>
      <c r="C96" s="93"/>
      <c r="D96" s="93"/>
      <c r="E96" s="113"/>
      <c r="F96" s="97" t="s">
        <v>119</v>
      </c>
      <c r="G96" s="98" t="n">
        <f aca="false">G94+G95</f>
        <v>-208.521944712033</v>
      </c>
      <c r="H96" s="33"/>
      <c r="J96" s="97" t="s">
        <v>119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1920.85247469535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1448.57943124717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392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389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48779.16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46854.17</v>
      </c>
      <c r="C125" s="133" t="n">
        <f aca="false">C121-C124</f>
        <v>-1924.99000000001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-1091.66000000001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-108.332000000001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0.00799999999361489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0.00799999999361489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-48779.16</v>
      </c>
      <c r="I148" s="1" t="n">
        <f aca="false">(H148-G81)/1.2</f>
        <v>-40649.3066666667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0.00799999999361489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-296.942780301691</v>
      </c>
      <c r="B167" s="177" t="n">
        <f aca="false">B94</f>
        <v>99.3052941176471</v>
      </c>
      <c r="C167" s="174"/>
      <c r="D167" s="174"/>
      <c r="E167" s="177" t="n">
        <f aca="false">B96</f>
        <v>-197.637486184043</v>
      </c>
      <c r="F167" s="23"/>
      <c r="G167" s="23" t="n">
        <f aca="false">ROUND(G95, 2)</f>
        <v>-307.83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1821.5471805777</v>
      </c>
      <c r="T167" s="177" t="n">
        <f aca="false">T94</f>
        <v>99.3052941176471</v>
      </c>
      <c r="U167" s="174"/>
      <c r="V167" s="174"/>
      <c r="W167" s="177" t="n">
        <f aca="false">T96</f>
        <v>1920.85247469535</v>
      </c>
      <c r="X167" s="23"/>
      <c r="Y167" s="23"/>
      <c r="Z167" s="33"/>
      <c r="AB167" s="176" t="n">
        <f aca="false">AC95</f>
        <v>1329.41307830599</v>
      </c>
      <c r="AC167" s="177" t="n">
        <f aca="false">AC94</f>
        <v>119.166352941176</v>
      </c>
      <c r="AD167" s="174"/>
      <c r="AE167" s="174"/>
      <c r="AF167" s="177" t="n">
        <f aca="false">AC96</f>
        <v>1448.57943124717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11520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11520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11520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11520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-541.660000000005</v>
      </c>
      <c r="B173" s="103" t="n">
        <f aca="false">H137</f>
        <v>-108.332000000001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0.00799999999361489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0.00799999999361489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1423.93746974253</v>
      </c>
      <c r="B182" s="103" t="str">
        <f aca="false">B114</f>
        <v>199.99</v>
      </c>
      <c r="C182" s="103"/>
      <c r="D182" s="23"/>
      <c r="E182" s="103" t="n">
        <f aca="false">E179+A182+(B182*1.2)+A185</f>
        <v>1673.93346974252</v>
      </c>
      <c r="F182" s="23"/>
      <c r="G182" s="23"/>
      <c r="H182" s="105"/>
      <c r="J182" s="111" t="n">
        <f aca="false">(J167*K59)+N185-N179-J185</f>
        <v>25078.6283606416</v>
      </c>
      <c r="K182" s="103" t="n">
        <f aca="false">K114</f>
        <v>239.99</v>
      </c>
      <c r="L182" s="103"/>
      <c r="M182" s="23"/>
      <c r="N182" s="103" t="n">
        <f aca="false">N179+J182+K182+J185</f>
        <v>62993.6183606416</v>
      </c>
      <c r="O182" s="23"/>
      <c r="P182" s="23"/>
      <c r="Q182" s="105"/>
      <c r="S182" s="111" t="n">
        <f aca="false">(S167*T59)+W185-W179-S185</f>
        <v>14068.166649642</v>
      </c>
      <c r="T182" s="103" t="n">
        <f aca="false">T114</f>
        <v>199.99</v>
      </c>
      <c r="U182" s="103"/>
      <c r="V182" s="23"/>
      <c r="W182" s="103" t="n">
        <f aca="false">W179+S182+T182+S185</f>
        <v>73662.594139642</v>
      </c>
      <c r="X182" s="23"/>
      <c r="Y182" s="23"/>
      <c r="Z182" s="105"/>
      <c r="AB182" s="111" t="n">
        <f aca="false">(AB167*AC59)+AF185-AF179-AB185</f>
        <v>11251.2956624037</v>
      </c>
      <c r="AC182" s="103" t="n">
        <f aca="false">AC114</f>
        <v>239.99</v>
      </c>
      <c r="AD182" s="103"/>
      <c r="AE182" s="23"/>
      <c r="AF182" s="103" t="n">
        <f aca="false">AF179+AB182+AC182+AB185</f>
        <v>56970.0346624037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11530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11540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11530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11530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6.52777777256771E-005</v>
      </c>
      <c r="C188" s="93"/>
      <c r="D188" s="93"/>
      <c r="E188" s="103" t="n">
        <f aca="false">(E40*A108)*0.1*(C45/100)</f>
        <v>56.273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156.263065277778</v>
      </c>
      <c r="C191" s="93"/>
      <c r="D191" s="93"/>
      <c r="E191" s="103" t="n">
        <f aca="false">H148</f>
        <v>-48779.16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-197.637486184043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1920.85247469535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1448.57943124717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1053.77200000001</v>
      </c>
      <c r="B201" s="186" t="n">
        <f aca="false">E179+A201+(B182*1.2)+A185</f>
        <v>1303.768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-296.942780301691</v>
      </c>
      <c r="B212" s="177" t="n">
        <f aca="false">B167</f>
        <v>99.3052941176471</v>
      </c>
      <c r="C212" s="174"/>
      <c r="D212" s="174"/>
      <c r="E212" s="177" t="n">
        <f aca="false">E167</f>
        <v>-197.637486184043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-541.660000000005</v>
      </c>
      <c r="B215" s="103" t="n">
        <f aca="false">B173</f>
        <v>-108.332000000001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0.00799999999361489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0.00799999999361489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1423.93746974253</v>
      </c>
      <c r="B224" s="103" t="str">
        <f aca="false">B182</f>
        <v>199.99</v>
      </c>
      <c r="C224" s="103"/>
      <c r="D224" s="113"/>
      <c r="E224" s="103" t="n">
        <f aca="false">E182</f>
        <v>1673.93346974252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-296.942780301691</v>
      </c>
      <c r="B230" s="103" t="n">
        <f aca="false">B167</f>
        <v>99.3052941176471</v>
      </c>
      <c r="C230" s="186"/>
      <c r="D230" s="186"/>
      <c r="E230" s="103" t="n">
        <f aca="false">E167</f>
        <v>-197.637486184043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11520</v>
      </c>
      <c r="B233" s="103" t="n">
        <f aca="false">E185</f>
        <v>11530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-48779.16</v>
      </c>
      <c r="B240" s="103" t="n">
        <f aca="false">B68</f>
        <v>6.52777777256771E-005</v>
      </c>
      <c r="C240" s="93"/>
      <c r="D240" s="93"/>
      <c r="E240" s="103" t="n">
        <f aca="false">E188</f>
        <v>56.273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-48622.8969347222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380.16546974252</v>
      </c>
      <c r="C254" s="197"/>
      <c r="D254" s="198" t="s">
        <v>216</v>
      </c>
      <c r="E254" s="198"/>
      <c r="F254" s="200" t="n">
        <f aca="false">F261+F267+F269+B270+B271</f>
        <v>7.83333332708125E-005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662.72</v>
      </c>
      <c r="C255" s="197"/>
      <c r="D255" s="198" t="s">
        <v>218</v>
      </c>
      <c r="E255" s="198"/>
      <c r="F255" s="200" t="n">
        <f aca="false">(B254-F254)+B255</f>
        <v>1042.88539140919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380.16546974252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7.83333332708125E-005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562.73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1042.88539140919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-0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4689.3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-4549.56428780247</v>
      </c>
      <c r="J40" s="63" t="n">
        <v>23166.66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216"/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212.433601190476</v>
      </c>
      <c r="C82" s="215"/>
      <c r="D82" s="215"/>
      <c r="E82" s="21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215"/>
      <c r="D83" s="215"/>
      <c r="E83" s="216"/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174.174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1520.89095238771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343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174.174</v>
      </c>
      <c r="C128" s="325"/>
      <c r="D128" s="321" t="n">
        <f aca="false">B91</f>
        <v>1520.89095238771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12120.4525714894</v>
      </c>
      <c r="C131" s="317"/>
      <c r="D131" s="38" t="n">
        <f aca="false">IF(A105="YES", B89*B57, 0)</f>
        <v>1567.566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13688.0185714894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174.174</v>
      </c>
      <c r="C137" s="317"/>
      <c r="D137" s="38" t="n">
        <f aca="false">B91</f>
        <v>1520.89095238771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1774.25025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1520.89095238771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174.174</v>
      </c>
      <c r="C177" s="357"/>
      <c r="D177" s="355" t="n">
        <f aca="false">B91</f>
        <v>1520.89095238771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12120.4525714894</v>
      </c>
      <c r="C180" s="353"/>
      <c r="D180" s="103" t="n">
        <f aca="false">IF(A105="YES", B89*B57, 0)</f>
        <v>1567.566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13688.0185714894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174.174</v>
      </c>
      <c r="C186" s="353"/>
      <c r="D186" s="103" t="n">
        <f aca="false">B91</f>
        <v>1520.89095238771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1774.25025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200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58295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352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4689.3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1250.6624553455</v>
      </c>
      <c r="E33" s="216"/>
      <c r="F33" s="63"/>
      <c r="G33" s="219" t="s">
        <v>356</v>
      </c>
      <c r="H33" s="460" t="n">
        <f aca="false">E21-E11+((E16*20%)+(E19*20%)+(E20*20%))</f>
        <v>48687.5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1116.6824553455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48687.5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106</v>
      </c>
      <c r="H40" s="238" t="n">
        <f aca="false">(A40)/1.2</f>
        <v>16000</v>
      </c>
      <c r="I40" s="238" t="n">
        <f aca="false">H39-I39</f>
        <v>-4749.56428780247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35515.2157014165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1116.6824553455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1250.6624553455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1250.6624553455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215" t="n">
        <v>10000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215"/>
      <c r="D67" s="291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8475.17604166667</v>
      </c>
      <c r="C81" s="215"/>
      <c r="D81" s="215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242.147886904762</v>
      </c>
      <c r="C82" s="215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1116.6824553455</v>
      </c>
      <c r="C83" s="215"/>
      <c r="D83" s="215"/>
      <c r="E83" s="466" t="n">
        <f aca="false">B83+E80+E77+E64</f>
        <v>1352.48113590105</v>
      </c>
      <c r="F83" s="63"/>
      <c r="G83" s="305" t="s">
        <v>104</v>
      </c>
      <c r="H83" s="306" t="n">
        <f aca="false">H47</f>
        <v>1116.6824553455</v>
      </c>
      <c r="I83" s="215"/>
      <c r="J83" s="215"/>
      <c r="K83" s="216"/>
      <c r="L83" s="63"/>
      <c r="M83" s="305" t="s">
        <v>104</v>
      </c>
      <c r="N83" s="306" t="n">
        <f aca="false">H47</f>
        <v>1116.6824553455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57070.8743745109</v>
      </c>
      <c r="C85" s="215"/>
      <c r="D85" s="215"/>
      <c r="E85" s="466" t="n">
        <f aca="false">B85/(B58+B57)</f>
        <v>1630.59641070031</v>
      </c>
      <c r="F85" s="63"/>
      <c r="G85" s="288" t="s">
        <v>114</v>
      </c>
      <c r="H85" s="131" t="n">
        <f aca="false">((H83*H29)+H81)*1.2</f>
        <v>55349.8743745109</v>
      </c>
      <c r="I85" s="215"/>
      <c r="J85" s="215"/>
      <c r="K85" s="216"/>
      <c r="L85" s="63"/>
      <c r="M85" s="288" t="s">
        <v>114</v>
      </c>
      <c r="N85" s="131" t="n">
        <f aca="false">((N83*H29)+N81)</f>
        <v>45794.8953120924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402.880315269843</v>
      </c>
      <c r="C86" s="215"/>
      <c r="D86" s="215"/>
      <c r="E86" s="466" t="n">
        <f aca="false">B86/(B58+B57)</f>
        <v>11.510866150567</v>
      </c>
      <c r="F86" s="63"/>
      <c r="G86" s="214" t="s">
        <v>115</v>
      </c>
      <c r="H86" s="300" t="n">
        <f aca="false">((((H83*H29)+H81))/(1-H70))*H70</f>
        <v>390.731263232732</v>
      </c>
      <c r="I86" s="215"/>
      <c r="J86" s="215"/>
      <c r="K86" s="216"/>
      <c r="L86" s="63"/>
      <c r="M86" s="214" t="s">
        <v>115</v>
      </c>
      <c r="N86" s="300" t="n">
        <f aca="false">(N85/(1-N70))*N70</f>
        <v>387.935781183518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57473.7546897808</v>
      </c>
      <c r="C87" s="215"/>
      <c r="D87" s="215"/>
      <c r="E87" s="466" t="n">
        <f aca="false">E86+E85</f>
        <v>1642.10727685088</v>
      </c>
      <c r="F87" s="63"/>
      <c r="G87" s="285" t="s">
        <v>116</v>
      </c>
      <c r="H87" s="133" t="n">
        <f aca="false">IF(H110="YES",((H85+H86)-K114),(H85+H86))</f>
        <v>55740.6056377437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46182.831093276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209.0088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1642.10727685088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1393.51514094359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1154.5707773319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1851.11607685088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1562.32994094359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1295.2497773319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287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s">
        <v>291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1393.51514094359</v>
      </c>
      <c r="H127" s="177" t="n">
        <f aca="false">IF(G105="YES", H89*H57, 0)</f>
        <v>1012.8888</v>
      </c>
      <c r="I127" s="177"/>
      <c r="J127" s="334" t="n">
        <f aca="false">H91</f>
        <v>1562.32994094359</v>
      </c>
      <c r="K127" s="216"/>
      <c r="L127" s="63"/>
      <c r="M127" s="333" t="n">
        <f aca="false">N90</f>
        <v>1154.5707773319</v>
      </c>
      <c r="N127" s="177" t="n">
        <f aca="false">IF(M105="YES", N89*N57, 0)</f>
        <v>844.074</v>
      </c>
      <c r="O127" s="177"/>
      <c r="P127" s="177" t="n">
        <f aca="false">N91</f>
        <v>1295.2497773319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1642.10727685088</v>
      </c>
      <c r="B128" s="321" t="n">
        <f aca="false">IF(A105="YES", B89, 0)</f>
        <v>209.0088</v>
      </c>
      <c r="C128" s="325"/>
      <c r="D128" s="321" t="n">
        <f aca="false">B91</f>
        <v>1851.11607685088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14778.9654916579</v>
      </c>
      <c r="C131" s="317"/>
      <c r="D131" s="38" t="n">
        <f aca="false">IF(A105="YES", B89*B57, 0)</f>
        <v>1881.0792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8361.09084566155</v>
      </c>
      <c r="H133" s="103" t="n">
        <f aca="false">IF(G105="YES", H89*H57, 0)</f>
        <v>1012.8888</v>
      </c>
      <c r="I133" s="221"/>
      <c r="J133" s="184" t="n">
        <f aca="false">H91*H57</f>
        <v>9373.97964566155</v>
      </c>
      <c r="K133" s="216"/>
      <c r="L133" s="63"/>
      <c r="M133" s="185" t="n">
        <f aca="false">N90*N57</f>
        <v>6927.42466399139</v>
      </c>
      <c r="N133" s="103" t="n">
        <f aca="false">IF(M105="YES", N89*N57, 0)</f>
        <v>844.074</v>
      </c>
      <c r="O133" s="221"/>
      <c r="P133" s="184" t="n">
        <f aca="false">N91*N57</f>
        <v>7771.4986639914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16660.0446916579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1642.10727685088</v>
      </c>
      <c r="B137" s="38" t="n">
        <f aca="false">IF(A105="YES", B89, 0)</f>
        <v>209.0088</v>
      </c>
      <c r="C137" s="317"/>
      <c r="D137" s="38" t="n">
        <f aca="false">B91</f>
        <v>1851.11607685088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140.679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1774.25191666667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1562.32994094359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1295.2497773319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1851.11607685088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1642.10727685088</v>
      </c>
      <c r="B177" s="355" t="n">
        <f aca="false">IF(A105="YES", B89, 0)</f>
        <v>209.0088</v>
      </c>
      <c r="C177" s="357"/>
      <c r="D177" s="355" t="n">
        <f aca="false">B91</f>
        <v>1851.11607685088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Terminal pause with 9 down</v>
      </c>
      <c r="B180" s="103" t="n">
        <f aca="false">B90*B57</f>
        <v>14778.9654916579</v>
      </c>
      <c r="C180" s="353"/>
      <c r="D180" s="103" t="n">
        <f aca="false">IF(A105="YES", B89*B57, 0)</f>
        <v>1881.0792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16660.0446916579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1642.10727685088</v>
      </c>
      <c r="B186" s="103" t="n">
        <f aca="false">IF(A105="YES", B89, 0)</f>
        <v>209.0088</v>
      </c>
      <c r="C186" s="353"/>
      <c r="D186" s="103" t="n">
        <f aca="false">B91</f>
        <v>1851.11607685088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140.679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1774.25191666667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1746.78166666667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6606.70979166667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6606.70979166667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1406.79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402.880315269843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389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390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29500.0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1663.42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1189.96092879718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66.99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55567.6290588786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66.99</v>
      </c>
      <c r="C40" s="107"/>
      <c r="D40" s="184" t="n">
        <f aca="false">I32</f>
        <v>2344.65</v>
      </c>
      <c r="E40" s="216"/>
      <c r="F40" s="63"/>
      <c r="G40" s="63" t="s">
        <v>106</v>
      </c>
      <c r="H40" s="238" t="n">
        <f aca="false">A40/1.2</f>
        <v>16000</v>
      </c>
      <c r="I40" s="238" t="n">
        <f aca="false">H39-I39</f>
        <v>-6680.12905887858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66.99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1189.96092879718</v>
      </c>
      <c r="I48" s="238" t="n">
        <f aca="false">I49-H42</f>
        <v>1333.01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1189.96092879718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5993.509375</v>
      </c>
      <c r="C64" s="465" t="n">
        <v>10000</v>
      </c>
      <c r="D64" s="291" t="n">
        <f aca="false">B64</f>
        <v>5993.509375</v>
      </c>
      <c r="E64" s="466" t="n">
        <f aca="false">D64/(B58+B57)</f>
        <v>171.243125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7808.509375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223.100267857143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1122.97092879718</v>
      </c>
      <c r="C83" s="473"/>
      <c r="D83" s="215"/>
      <c r="E83" s="466" t="n">
        <f aca="false">B83+E80+E77+E64</f>
        <v>1346.07119665432</v>
      </c>
      <c r="F83" s="63"/>
      <c r="G83" s="305" t="s">
        <v>104</v>
      </c>
      <c r="H83" s="306" t="n">
        <f aca="false">H47</f>
        <v>1122.97092879718</v>
      </c>
      <c r="I83" s="215"/>
      <c r="J83" s="215"/>
      <c r="K83" s="216"/>
      <c r="L83" s="63"/>
      <c r="M83" s="305" t="s">
        <v>104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47112.4918829013</v>
      </c>
      <c r="C85" s="473"/>
      <c r="D85" s="473"/>
      <c r="E85" s="466" t="n">
        <f aca="false">B85/(B58+B57)</f>
        <v>1346.07119665432</v>
      </c>
      <c r="F85" s="63"/>
      <c r="G85" s="288" t="s">
        <v>114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114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399.097349552613</v>
      </c>
      <c r="C86" s="473" t="s">
        <v>230</v>
      </c>
      <c r="D86" s="215"/>
      <c r="E86" s="466" t="n">
        <f aca="false">B86/(B58+B57)</f>
        <v>11.4027814157889</v>
      </c>
      <c r="F86" s="63"/>
      <c r="G86" s="214" t="s">
        <v>115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115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47511.5892324539</v>
      </c>
      <c r="C87" s="473"/>
      <c r="D87" s="475"/>
      <c r="E87" s="466" t="n">
        <f aca="false">E86+E85</f>
        <v>1357.47397807011</v>
      </c>
      <c r="F87" s="63"/>
      <c r="G87" s="285" t="s">
        <v>116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80.388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84.4074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70.3395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1357.47397807011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1437.86197807011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1484.57204988701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1230.45930342127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342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214" t="s">
        <v>125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378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214" t="s">
        <v>288</v>
      </c>
      <c r="N101" s="215" t="s">
        <v>289</v>
      </c>
      <c r="O101" s="215"/>
      <c r="P101" s="215" t="s">
        <v>290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389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343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217" t="s">
        <v>292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293</v>
      </c>
      <c r="B110" s="222" t="s">
        <v>392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214" t="s">
        <v>293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294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294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217" t="s">
        <v>295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298</v>
      </c>
      <c r="H126" s="328" t="s">
        <v>299</v>
      </c>
      <c r="I126" s="328"/>
      <c r="J126" s="328" t="s">
        <v>300</v>
      </c>
      <c r="K126" s="216"/>
      <c r="L126" s="63"/>
      <c r="M126" s="327" t="s">
        <v>344</v>
      </c>
      <c r="N126" s="328" t="s">
        <v>252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333" t="n">
        <f aca="false">H90</f>
        <v>1400.16464988701</v>
      </c>
      <c r="H127" s="177" t="n">
        <f aca="false">IF(G105="YES", H89*H57, 0)</f>
        <v>506.4444</v>
      </c>
      <c r="I127" s="177"/>
      <c r="J127" s="334" t="n">
        <f aca="false">H91</f>
        <v>1484.57204988701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422.037</v>
      </c>
      <c r="O127" s="177"/>
      <c r="P127" s="177" t="n">
        <f aca="false">N91</f>
        <v>1230.45930342127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1357.47397807011</v>
      </c>
      <c r="B128" s="321" t="n">
        <f aca="false">IF(A105="YES", B89, 0)</f>
        <v>80.388</v>
      </c>
      <c r="C128" s="325"/>
      <c r="D128" s="321" t="n">
        <f aca="false">B91</f>
        <v>1437.86197807011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1357.47397807011</v>
      </c>
      <c r="C131" s="317"/>
      <c r="D131" s="38" t="n">
        <f aca="false">IF(A105="YES", B89*B57, 0)</f>
        <v>80.388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214" t="s">
        <v>345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506.4444</v>
      </c>
      <c r="I133" s="221"/>
      <c r="J133" s="184" t="n">
        <f aca="false">H91*H57</f>
        <v>8907.43229932205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422.037</v>
      </c>
      <c r="O133" s="221"/>
      <c r="P133" s="184" t="n">
        <f aca="false">N91*N57</f>
        <v>7382.75582052763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1437.86197807011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1357.47397807011</v>
      </c>
      <c r="B137" s="38" t="n">
        <f aca="false">IF(A105="YES", B89, 0)</f>
        <v>80.388</v>
      </c>
      <c r="C137" s="317"/>
      <c r="D137" s="38" t="n">
        <f aca="false">B91</f>
        <v>1437.86197807011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214" t="s">
        <v>139</v>
      </c>
      <c r="N138" s="215" t="s">
        <v>312</v>
      </c>
      <c r="O138" s="215"/>
      <c r="P138" s="215" t="s">
        <v>313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214" t="s">
        <v>315</v>
      </c>
      <c r="N141" s="215" t="s">
        <v>316</v>
      </c>
      <c r="O141" s="215"/>
      <c r="P141" s="215" t="s">
        <v>317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46.893</v>
      </c>
      <c r="H142" s="103" t="n">
        <f aca="false">G102-100</f>
        <v>99.99</v>
      </c>
      <c r="I142" s="103"/>
      <c r="J142" s="103" t="n">
        <f aca="false">(H139+J139+G142+H142)-H145</f>
        <v>1091.53404166667</v>
      </c>
      <c r="K142" s="105"/>
      <c r="L142" s="63"/>
      <c r="M142" s="111" t="n">
        <f aca="false">IF(M105="YES", ((B36*N105)*0.1)*(M130), 0)</f>
        <v>46.893</v>
      </c>
      <c r="N142" s="103" t="n">
        <f aca="false">M102-100</f>
        <v>99.99</v>
      </c>
      <c r="O142" s="103"/>
      <c r="P142" s="103" t="n">
        <f aca="false">(N139+P139+M142+N142)-N145</f>
        <v>1091.53404166667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214" t="s">
        <v>319</v>
      </c>
      <c r="N144" s="215" t="s">
        <v>320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346</v>
      </c>
      <c r="N147" s="166" t="s">
        <v>347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46.893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1280.46425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325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1484.57204988701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1230.45930342127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1437.86197807011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295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296</v>
      </c>
      <c r="C176" s="355"/>
      <c r="D176" s="354" t="s">
        <v>297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1357.47397807011</v>
      </c>
      <c r="B177" s="355" t="n">
        <f aca="false">IF(A105="YES", B89, 0)</f>
        <v>80.388</v>
      </c>
      <c r="C177" s="357"/>
      <c r="D177" s="355" t="n">
        <f aca="false">B91</f>
        <v>1437.86197807011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301</v>
      </c>
      <c r="C179" s="230"/>
      <c r="D179" s="359" t="s">
        <v>302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1357.47397807011</v>
      </c>
      <c r="C180" s="353"/>
      <c r="D180" s="103" t="n">
        <f aca="false">IF(A105="YES", B89*B57, 0)</f>
        <v>80.388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306</v>
      </c>
      <c r="B182" s="166" t="s">
        <v>307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1437.86197807011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296</v>
      </c>
      <c r="C185" s="353"/>
      <c r="D185" s="353" t="s">
        <v>297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1357.47397807011</v>
      </c>
      <c r="B186" s="103" t="n">
        <f aca="false">IF(A105="YES", B89, 0)</f>
        <v>80.388</v>
      </c>
      <c r="C186" s="353"/>
      <c r="D186" s="103" t="n">
        <f aca="false">B91</f>
        <v>1437.86197807011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314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318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321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322</v>
      </c>
      <c r="B196" s="353" t="s">
        <v>323</v>
      </c>
      <c r="C196" s="353"/>
      <c r="D196" s="353" t="s">
        <v>324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46.893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326</v>
      </c>
      <c r="B199" s="353" t="s">
        <v>320</v>
      </c>
      <c r="C199" s="353"/>
      <c r="D199" s="353" t="s">
        <v>317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1280.46425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327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568.92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5428.848125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5993.509375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328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328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329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5428.848125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330</v>
      </c>
      <c r="B225" s="341" t="n">
        <f aca="false">D197/0.1</f>
        <v>468.93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331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332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333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341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342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285</v>
      </c>
      <c r="E104" s="216"/>
      <c r="F104" s="63"/>
      <c r="G104" s="214" t="s">
        <v>125</v>
      </c>
      <c r="H104" s="215" t="s">
        <v>23</v>
      </c>
      <c r="I104" s="215"/>
      <c r="J104" s="215" t="s">
        <v>285</v>
      </c>
      <c r="K104" s="216"/>
      <c r="L104" s="63"/>
      <c r="M104" s="214" t="s">
        <v>125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288</v>
      </c>
      <c r="B107" s="215" t="s">
        <v>289</v>
      </c>
      <c r="C107" s="215"/>
      <c r="D107" s="215" t="s">
        <v>290</v>
      </c>
      <c r="E107" s="216"/>
      <c r="F107" s="63"/>
      <c r="G107" s="214" t="s">
        <v>288</v>
      </c>
      <c r="H107" s="215" t="s">
        <v>289</v>
      </c>
      <c r="I107" s="215"/>
      <c r="J107" s="215" t="s">
        <v>290</v>
      </c>
      <c r="K107" s="216"/>
      <c r="L107" s="63"/>
      <c r="M107" s="214" t="s">
        <v>288</v>
      </c>
      <c r="N107" s="215" t="s">
        <v>289</v>
      </c>
      <c r="O107" s="215"/>
      <c r="P107" s="215" t="s">
        <v>290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343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292</v>
      </c>
      <c r="B114" s="217"/>
      <c r="C114" s="217"/>
      <c r="D114" s="217"/>
      <c r="E114" s="217"/>
      <c r="F114" s="63"/>
      <c r="G114" s="217" t="s">
        <v>292</v>
      </c>
      <c r="H114" s="217"/>
      <c r="I114" s="217"/>
      <c r="J114" s="217"/>
      <c r="K114" s="217"/>
      <c r="L114" s="63"/>
      <c r="M114" s="217" t="s">
        <v>292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293</v>
      </c>
      <c r="B116" s="222" t="s">
        <v>19</v>
      </c>
      <c r="C116" s="215"/>
      <c r="D116" s="215"/>
      <c r="E116" s="216"/>
      <c r="F116" s="63"/>
      <c r="G116" s="214" t="s">
        <v>293</v>
      </c>
      <c r="H116" s="222" t="s">
        <v>18</v>
      </c>
      <c r="I116" s="215"/>
      <c r="J116" s="215"/>
      <c r="K116" s="216"/>
      <c r="L116" s="63"/>
      <c r="M116" s="214" t="s">
        <v>293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294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294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294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295</v>
      </c>
      <c r="B128" s="217"/>
      <c r="C128" s="217"/>
      <c r="D128" s="217"/>
      <c r="E128" s="217"/>
      <c r="F128" s="63"/>
      <c r="G128" s="217" t="s">
        <v>295</v>
      </c>
      <c r="H128" s="217"/>
      <c r="I128" s="217"/>
      <c r="J128" s="217"/>
      <c r="K128" s="217"/>
      <c r="L128" s="63"/>
      <c r="M128" s="217" t="s">
        <v>295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344</v>
      </c>
      <c r="B135" s="328" t="s">
        <v>252</v>
      </c>
      <c r="C135" s="328"/>
      <c r="D135" s="328" t="s">
        <v>119</v>
      </c>
      <c r="E135" s="216"/>
      <c r="F135" s="63"/>
      <c r="G135" s="327" t="s">
        <v>298</v>
      </c>
      <c r="H135" s="328" t="s">
        <v>299</v>
      </c>
      <c r="I135" s="328"/>
      <c r="J135" s="328" t="s">
        <v>300</v>
      </c>
      <c r="K135" s="216"/>
      <c r="L135" s="63"/>
      <c r="M135" s="327" t="s">
        <v>344</v>
      </c>
      <c r="N135" s="328" t="s">
        <v>252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345</v>
      </c>
      <c r="B138" s="215" t="s">
        <v>241</v>
      </c>
      <c r="C138" s="215"/>
      <c r="D138" s="215" t="s">
        <v>245</v>
      </c>
      <c r="E138" s="216"/>
      <c r="F138" s="63"/>
      <c r="G138" s="214" t="s">
        <v>303</v>
      </c>
      <c r="H138" s="215" t="s">
        <v>304</v>
      </c>
      <c r="I138" s="215"/>
      <c r="J138" s="215" t="s">
        <v>305</v>
      </c>
      <c r="K138" s="216"/>
      <c r="L138" s="63"/>
      <c r="M138" s="214" t="s">
        <v>345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308</v>
      </c>
      <c r="H141" s="215" t="s">
        <v>309</v>
      </c>
      <c r="I141" s="215"/>
      <c r="J141" s="215" t="s">
        <v>310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312</v>
      </c>
      <c r="C144" s="215"/>
      <c r="D144" s="215" t="s">
        <v>313</v>
      </c>
      <c r="E144" s="216"/>
      <c r="F144" s="63"/>
      <c r="G144" s="214" t="s">
        <v>311</v>
      </c>
      <c r="H144" s="215" t="s">
        <v>312</v>
      </c>
      <c r="I144" s="215"/>
      <c r="J144" s="215" t="s">
        <v>313</v>
      </c>
      <c r="K144" s="216"/>
      <c r="L144" s="63"/>
      <c r="M144" s="214" t="s">
        <v>139</v>
      </c>
      <c r="N144" s="215" t="s">
        <v>312</v>
      </c>
      <c r="O144" s="215"/>
      <c r="P144" s="215" t="s">
        <v>313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315</v>
      </c>
      <c r="B147" s="215" t="s">
        <v>316</v>
      </c>
      <c r="C147" s="215"/>
      <c r="D147" s="215" t="s">
        <v>317</v>
      </c>
      <c r="E147" s="216"/>
      <c r="F147" s="63"/>
      <c r="G147" s="214" t="s">
        <v>315</v>
      </c>
      <c r="H147" s="215" t="s">
        <v>316</v>
      </c>
      <c r="I147" s="215"/>
      <c r="J147" s="215" t="s">
        <v>317</v>
      </c>
      <c r="K147" s="216"/>
      <c r="L147" s="63"/>
      <c r="M147" s="214" t="s">
        <v>315</v>
      </c>
      <c r="N147" s="215" t="s">
        <v>316</v>
      </c>
      <c r="O147" s="215"/>
      <c r="P147" s="215" t="s">
        <v>317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319</v>
      </c>
      <c r="B150" s="215" t="s">
        <v>320</v>
      </c>
      <c r="C150" s="215"/>
      <c r="D150" s="215"/>
      <c r="E150" s="216"/>
      <c r="F150" s="63"/>
      <c r="G150" s="214" t="s">
        <v>319</v>
      </c>
      <c r="H150" s="215" t="s">
        <v>320</v>
      </c>
      <c r="I150" s="215"/>
      <c r="J150" s="215"/>
      <c r="K150" s="216"/>
      <c r="L150" s="63"/>
      <c r="M150" s="214" t="s">
        <v>319</v>
      </c>
      <c r="N150" s="215" t="s">
        <v>320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346</v>
      </c>
      <c r="N153" s="166" t="s">
        <v>347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325</v>
      </c>
      <c r="B154" s="215"/>
      <c r="C154" s="215"/>
      <c r="D154" s="282"/>
      <c r="E154" s="283"/>
      <c r="F154" s="63"/>
      <c r="G154" s="281" t="s">
        <v>325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325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290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21273</v>
      </c>
      <c r="F15" s="63"/>
      <c r="G15" s="274" t="n">
        <f aca="false">E15</f>
        <v>21273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21273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104.64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2078.96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173.246666666667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9709.152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68.5397983057685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9777.69179830577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72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814.807649858814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886.807649858814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980.439903791851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0</v>
      </c>
      <c r="C102" s="107"/>
      <c r="D102" s="107" t="n">
        <v>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814.807649858814</v>
      </c>
      <c r="B128" s="321" t="n">
        <f aca="false">IF(A105="YES", B89, 0)</f>
        <v>72</v>
      </c>
      <c r="C128" s="326"/>
      <c r="D128" s="321" t="n">
        <f aca="false">B91</f>
        <v>886.807649858814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908.439903791851</v>
      </c>
      <c r="H130" s="177" t="n">
        <f aca="false">IF(G105="YES", H89*H57, 0)</f>
        <v>72</v>
      </c>
      <c r="I130" s="177"/>
      <c r="J130" s="334" t="n">
        <f aca="false">H91</f>
        <v>980.439903791851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814.807649858814</v>
      </c>
      <c r="C131" s="317"/>
      <c r="D131" s="38" t="n">
        <f aca="false">IF(A105="YES", B89*B57, 0)</f>
        <v>72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72</v>
      </c>
      <c r="I133" s="221"/>
      <c r="J133" s="184" t="n">
        <f aca="false">H91*H57</f>
        <v>980.439903791851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886.807649858814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0.127638</v>
      </c>
      <c r="H136" s="103" t="n">
        <f aca="false">IF(G105="YES", E15*0.000002, 0)</f>
        <v>0.042546</v>
      </c>
      <c r="I136" s="103"/>
      <c r="J136" s="103" t="n">
        <f aca="false">G136+H136</f>
        <v>0.170184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814.807649858814</v>
      </c>
      <c r="B137" s="38" t="n">
        <f aca="false">IF(A105="YES", B89, 0)</f>
        <v>72</v>
      </c>
      <c r="C137" s="317"/>
      <c r="D137" s="38" t="n">
        <f aca="false">B91</f>
        <v>886.807649858814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1331.828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104.64</v>
      </c>
      <c r="B148" s="38" t="n">
        <f aca="false">B102</f>
        <v>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216.63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980.439903791851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886.807649858814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814.807649858814</v>
      </c>
      <c r="B171" s="355" t="n">
        <f aca="false">IF(A105="YES", B89, 0)</f>
        <v>72</v>
      </c>
      <c r="C171" s="358"/>
      <c r="D171" s="355" t="n">
        <f aca="false">B91</f>
        <v>886.807649858814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814.807649858814</v>
      </c>
      <c r="C174" s="353"/>
      <c r="D174" s="103" t="n">
        <f aca="false">IF(A105="YES", B89*B57, 0)</f>
        <v>72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886.807649858814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814.807649858814</v>
      </c>
      <c r="B180" s="103" t="n">
        <f aca="false">IF(A105="YES", B89, 0)</f>
        <v>72</v>
      </c>
      <c r="C180" s="353"/>
      <c r="D180" s="103" t="n">
        <f aca="false">B91</f>
        <v>886.807649858814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104.64</v>
      </c>
      <c r="B191" s="103" t="n">
        <f aca="false">B102</f>
        <v>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216.63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104.64</v>
      </c>
      <c r="C205" s="320" t="s">
        <v>217</v>
      </c>
      <c r="D205" s="370" t="n">
        <f aca="false">B219+E215+B215+B217</f>
        <v>219.99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1580.31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104.64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0</v>
      </c>
      <c r="C217" s="336" t="s">
        <v>218</v>
      </c>
      <c r="D217" s="317"/>
      <c r="E217" s="33" t="n">
        <f aca="false">(B211-B205+D205)</f>
        <v>1580.31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68.5397983057685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6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700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645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58585</v>
      </c>
      <c r="F15" s="63"/>
      <c r="G15" s="274" t="n">
        <f aca="false">E15</f>
        <v>58585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58585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45162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289.425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5332.61666666667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444.384722222222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11344.6166666667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96.1020371117386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11440.7187037784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953.393225314867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1013.39322531487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285</v>
      </c>
      <c r="E98" s="216"/>
      <c r="F98" s="63"/>
      <c r="G98" s="214" t="s">
        <v>125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128</v>
      </c>
      <c r="C99" s="312"/>
      <c r="D99" s="107" t="n">
        <v>1000</v>
      </c>
      <c r="E99" s="107"/>
      <c r="F99" s="63"/>
      <c r="G99" s="220" t="s">
        <v>286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288</v>
      </c>
      <c r="B101" s="215" t="s">
        <v>289</v>
      </c>
      <c r="C101" s="215"/>
      <c r="D101" s="215" t="s">
        <v>290</v>
      </c>
      <c r="E101" s="216"/>
      <c r="F101" s="63"/>
      <c r="G101" s="214" t="s">
        <v>288</v>
      </c>
      <c r="H101" s="215" t="s">
        <v>289</v>
      </c>
      <c r="I101" s="215"/>
      <c r="J101" s="215" t="s">
        <v>290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292</v>
      </c>
      <c r="B108" s="217"/>
      <c r="C108" s="217"/>
      <c r="D108" s="217"/>
      <c r="E108" s="217"/>
      <c r="F108" s="63"/>
      <c r="G108" s="217" t="s">
        <v>292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293</v>
      </c>
      <c r="B110" s="222" t="s">
        <v>19</v>
      </c>
      <c r="C110" s="215"/>
      <c r="D110" s="215"/>
      <c r="E110" s="216"/>
      <c r="F110" s="63"/>
      <c r="G110" s="214" t="s">
        <v>293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294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294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295</v>
      </c>
      <c r="B122" s="217"/>
      <c r="C122" s="217"/>
      <c r="D122" s="217"/>
      <c r="E122" s="217"/>
      <c r="F122" s="63"/>
      <c r="G122" s="217" t="s">
        <v>295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296</v>
      </c>
      <c r="C127" s="321"/>
      <c r="D127" s="320" t="s">
        <v>297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953.393225314867</v>
      </c>
      <c r="B128" s="321" t="n">
        <f aca="false">IF(A105="YES", B89, 0)</f>
        <v>60</v>
      </c>
      <c r="C128" s="326"/>
      <c r="D128" s="321" t="n">
        <f aca="false">B91</f>
        <v>1013.39322531487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298</v>
      </c>
      <c r="H129" s="328" t="s">
        <v>299</v>
      </c>
      <c r="I129" s="328"/>
      <c r="J129" s="328" t="s">
        <v>300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301</v>
      </c>
      <c r="C130" s="332"/>
      <c r="D130" s="331" t="s">
        <v>302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953.393225314867</v>
      </c>
      <c r="C131" s="317"/>
      <c r="D131" s="38" t="n">
        <f aca="false">IF(A105="YES", B89*B57, 0)</f>
        <v>60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303</v>
      </c>
      <c r="H132" s="215" t="s">
        <v>304</v>
      </c>
      <c r="I132" s="215"/>
      <c r="J132" s="215" t="s">
        <v>305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306</v>
      </c>
      <c r="B133" s="39" t="s">
        <v>307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1013.39322531487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308</v>
      </c>
      <c r="H135" s="215" t="s">
        <v>309</v>
      </c>
      <c r="I135" s="215"/>
      <c r="J135" s="215" t="s">
        <v>310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296</v>
      </c>
      <c r="C136" s="317"/>
      <c r="D136" s="317" t="s">
        <v>297</v>
      </c>
      <c r="E136" s="318"/>
      <c r="F136" s="63"/>
      <c r="G136" s="111" t="n">
        <f aca="false">E15*0.000006</f>
        <v>0.35151</v>
      </c>
      <c r="H136" s="103" t="n">
        <f aca="false">IF(G105="YES", E15*0.000002, 0)</f>
        <v>0.11717</v>
      </c>
      <c r="I136" s="103"/>
      <c r="J136" s="103" t="n">
        <f aca="false">G136+H136</f>
        <v>0.46868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953.393225314867</v>
      </c>
      <c r="B137" s="38" t="n">
        <f aca="false">IF(A105="YES", B89, 0)</f>
        <v>60</v>
      </c>
      <c r="C137" s="317"/>
      <c r="D137" s="38" t="n">
        <f aca="false">B91</f>
        <v>1013.39322531487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311</v>
      </c>
      <c r="H138" s="215" t="s">
        <v>312</v>
      </c>
      <c r="I138" s="215"/>
      <c r="J138" s="215" t="s">
        <v>313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314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315</v>
      </c>
      <c r="H141" s="215" t="s">
        <v>316</v>
      </c>
      <c r="I141" s="215"/>
      <c r="J141" s="215" t="s">
        <v>317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318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319</v>
      </c>
      <c r="H144" s="215" t="s">
        <v>320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321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322</v>
      </c>
      <c r="B147" s="317" t="s">
        <v>323</v>
      </c>
      <c r="C147" s="317"/>
      <c r="D147" s="317" t="s">
        <v>324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289.425</v>
      </c>
      <c r="B148" s="38" t="n">
        <f aca="false">B102</f>
        <v>400</v>
      </c>
      <c r="C148" s="38"/>
      <c r="D148" s="38" t="n">
        <f aca="false">IF(A105="YES", (A38/100*B105)*B125, 0)*0.001</f>
        <v>12</v>
      </c>
      <c r="E148" s="105"/>
      <c r="F148" s="63"/>
      <c r="G148" s="281" t="s">
        <v>325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326</v>
      </c>
      <c r="B150" s="317" t="s">
        <v>320</v>
      </c>
      <c r="C150" s="317"/>
      <c r="D150" s="317" t="s">
        <v>317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801.415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327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325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1013.39322531487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295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296</v>
      </c>
      <c r="C170" s="355"/>
      <c r="D170" s="354" t="s">
        <v>297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953.393225314867</v>
      </c>
      <c r="B171" s="355" t="n">
        <f aca="false">IF(A105="YES", B89, 0)</f>
        <v>60</v>
      </c>
      <c r="C171" s="358"/>
      <c r="D171" s="355" t="n">
        <f aca="false">B91</f>
        <v>1013.39322531487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301</v>
      </c>
      <c r="C173" s="230"/>
      <c r="D173" s="359" t="s">
        <v>302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953.393225314867</v>
      </c>
      <c r="C174" s="353"/>
      <c r="D174" s="103" t="n">
        <f aca="false">IF(A105="YES", B89*B57, 0)</f>
        <v>60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306</v>
      </c>
      <c r="B176" s="166" t="s">
        <v>307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1013.39322531487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296</v>
      </c>
      <c r="C179" s="353"/>
      <c r="D179" s="353" t="s">
        <v>297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953.393225314867</v>
      </c>
      <c r="B180" s="103" t="n">
        <f aca="false">IF(A105="YES", B89, 0)</f>
        <v>60</v>
      </c>
      <c r="C180" s="353"/>
      <c r="D180" s="103" t="n">
        <f aca="false">B91</f>
        <v>1013.39322531487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314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318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321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322</v>
      </c>
      <c r="B190" s="353" t="s">
        <v>323</v>
      </c>
      <c r="C190" s="353"/>
      <c r="D190" s="353" t="s">
        <v>324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289.425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326</v>
      </c>
      <c r="B193" s="353" t="s">
        <v>320</v>
      </c>
      <c r="C193" s="353"/>
      <c r="D193" s="353" t="s">
        <v>317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801.415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327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289.425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4222.515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289.425</v>
      </c>
      <c r="C213" s="336" t="s">
        <v>328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328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329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4222.515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330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331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96.1020371117386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332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333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4946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2023-08-23T13:33:38Z</dcterms:modified>
  <cp:revision>878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