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<sst xmlns="http://schemas.openxmlformats.org/spreadsheetml/2006/main" count="41981" uniqueCount="429">
  <si>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</si>
  <si>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</si>
  <si>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</si>
  <si>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</si>
  <si>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</si>
  <si>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</si>
  <si>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</si>
  <si>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</si>
  <si>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</si>
  <si>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</si>
  <si>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</si>
  <si>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</si>
  <si>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</si>
  <si>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</si>
  <si>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</si>
  <si>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</si>
  <si>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</si>
  <si>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</si>
  <si>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</si>
  <si>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</si>
  <si>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</si>
  <si>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</si>
  <si>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</si>
  <si>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</si>
  <si>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</si>
  <si>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</si>
  <si>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</si>
  <si>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</si>
  <si>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</si>
  <si>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</si>
  <si>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</si>
  <si>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</si>
  <si>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</si>
  <si>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</si>
  <si>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</si>
  <si>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</si>
  <si>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</si>
  <si>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</si>
  <si>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</si>
  <si>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</si>
  <si>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</si>
  <si>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</si>
  <si>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</si>
  <si>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</si>
  <si>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</si>
  <si>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</si>
  <si>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</si>
  <si>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</si>
  <si>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</si>
  <si>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</si>
  <si>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</si>
  <si>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</si>
  <si>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</si>
  <si>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</si>
  <si>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</si>
  <si>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</si>
  <si>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</si>
  <si>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</si>
  <si>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</si>
  <si>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</si>
  <si>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</si>
  <si>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</si>
  <si>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</si>
  <si>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</si>
  <si>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</si>
  <si>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</si>
  <si>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</si>
  <si>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</si>
  <si>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</si>
  <si>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</si>
  <si>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</si>
  <si>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</si>
  <si>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</si>
  <si>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</si>
  <si>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</si>
  <si>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</si>
  <si>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</si>
  <si>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</si>
  <si>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</si>
  <si>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</si>
  <si>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254.00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</si>
  <si>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</si>
  <si>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</si>
  <si>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</si>
  <si>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</si>
  <si>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</si>
  <si>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</si>
  <si>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</si>
  <si>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</si>
  <si>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</si>
  <si>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</si>
  <si>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</si>
  <si>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</si>
  <si>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</si>
  <si>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</si>
  <si>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</si>
  <si>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</si>
  <si>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</si>
  <si>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</si>
  <si>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</si>
  <si>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</si>
  <si>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</si>
  <si>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</si>
  <si>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</si>
  <si>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</si>
  <si>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</si>
  <si>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</si>
  <si>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</si>
  <si>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</si>
  <si>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</si>
  <si>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</si>
  <si>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</si>
  <si>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</si>
  <si>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</si>
  <si>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</si>
  <si>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</si>
  <si>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</si>
  <si>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</si>
  <si>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</si>
  <si>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</si>
  <si>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</si>
  <si>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Limited Credit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</si>
  <si>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</si>
  <si>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</si>
  <si>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</si>
  <si>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</si>
  <si>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</si>
  <si>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</si>
  <si>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</si>
  <si>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</si>
  <si>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</si>
  <si>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</si>
  <si>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</si>
  <si>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</si>
  <si>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</si>
  <si>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</si>
  <si>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</si>
  <si>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</si>
  <si>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</si>
  <si>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</si>
  <si>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</si>
  <si>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</si>
  <si>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</si>
  <si>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</si>
  <si>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</si>
  <si>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</si>
  <si>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</si>
  <si>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</si>
  <si>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</si>
  <si>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</si>
  <si>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</si>
  <si>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</si>
  <si>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</si>
  <si>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</si>
  <si>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</si>
  <si>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</si>
  <si>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</si>
  <si>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</si>
  <si>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</si>
  <si>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</si>
  <si>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</si>
  <si>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</si>
  <si>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</si>
  <si>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</si>
  <si>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</si>
  <si>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</si>
  <si>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</si>
  <si>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</si>
  <si>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</si>
  <si>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</si>
  <si>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</si>
  <si>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</si>
  <si>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</si>
  <si>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</si>
  <si>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</si>
  <si>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</si>
  <si>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</si>
  <si>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</si>
  <si>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</si>
  <si>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</si>
  <si>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</si>
  <si>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</si>
  <si>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</si>
  <si>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</si>
  <si>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</si>
  <si>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</si>
  <si>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</si>
  <si>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</si>
  <si>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</si>
  <si>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</si>
  <si>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</si>
  <si>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</si>
  <si>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</si>
  <si>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</si>
  <si>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</si>
  <si>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</si>
  <si>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</si>
  <si>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</si>
  <si>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</si>
  <si>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</si>
  <si>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</si>
  <si>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</si>
  <si>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</si>
  <si>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</si>
  <si>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</si>
  <si>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</si>
  <si>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</si>
  <si>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</si>
  <si>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</si>
  <si>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</si>
  <si>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</si>
  <si>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</si>
  <si>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</si>
  <si>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</si>
  <si>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</si>
  <si>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</si>
  <si>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</si>
  <si>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</si>
  <si>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</si>
  <si>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</si>
  <si>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</si>
  <si>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</si>
  <si>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</si>
  <si>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</si>
  <si>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</si>
  <si>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</si>
  <si>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</si>
  <si>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</si>
  <si>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</si>
  <si>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</si>
  <si>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</si>
  <si>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</si>
  <si>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</si>
  <si>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</si>
  <si>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</si>
  <si>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</si>
  <si>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</si>
  <si>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</si>
  <si>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</si>
  <si>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</si>
  <si>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</si>
  <si>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</si>
  <si>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</si>
  <si>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</si>
  <si>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</si>
  <si>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</si>
  <si>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</si>
  <si>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</si>
  <si>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</si>
  <si>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</si>
  <si>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</si>
  <si>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</si>
  <si>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</si>
  <si>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</si>
  <si>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</si>
  <si>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</si>
  <si>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</si>
  <si>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</si>
  <si>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</si>
  <si>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</si>
  <si>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</si>
  <si>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</si>
  <si>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</si>
  <si>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</si>
  <si>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</si>
  <si>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</si>
  <si>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</si>
  <si>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</si>
  <si>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</si>
  <si>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</si>
  <si>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</si>
  <si>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</si>
  <si>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</si>
  <si>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</si>
  <si>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</si>
  <si>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</si>
  <si>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</si>
  <si>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</si>
  <si>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</si>
  <si>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</si>
  <si>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</si>
  <si>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</si>
  <si>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</si>
  <si>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</si>
  <si>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</si>
  <si>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</si>
  <si>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</si>
  <si>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</si>
  <si>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</si>
  <si>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</si>
  <si>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</si>
  <si>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</si>
  <si>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</si>
  <si>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</si>
  <si>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</si>
  <si>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</si>
  <si>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</si>
  <si>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</si>
  <si>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</si>
  <si>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</si>
  <si>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</si>
  <si>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</si>
  <si>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</si>
  <si>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</si>
  <si>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</si>
  <si>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</si>
  <si>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</si>
  <si>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</si>
  <si>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</si>
  <si>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</si>
  <si>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</si>
  <si>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</si>
  <si>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</si>
  <si>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</si>
  <si>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</si>
  <si>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</si>
  <si>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</si>
  <si>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</si>
  <si>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</si>
  <si>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</si>
  <si>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</si>
  <si>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</si>
  <si>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</si>
  <si>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</si>
  <si>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</si>
  <si>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</si>
  <si>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</si>
  <si>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</si>
  <si>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</si>
  <si>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</si>
  <si>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</si>
  <si>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</si>
  <si>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</si>
  <si>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</si>
  <si>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</si>
  <si>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</si>
  <si>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</si>
  <si>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</si>
  <si>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</si>
  <si>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</si>
  <si>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</si>
  <si>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</si>
  <si>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</si>
  <si>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</si>
  <si>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</si>
  <si>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</si>
  <si>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</si>
  <si>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</si>
  <si>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</si>
  <si>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</si>
  <si>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</si>
  <si>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</si>
  <si>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</si>
  <si>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</si>
  <si>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</si>
  <si>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</si>
  <si>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</si>
  <si>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</si>
  <si>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</si>
  <si>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</si>
  <si>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</si>
  <si>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</si>
  <si>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</si>
  <si>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</si>
  <si>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</si>
  <si>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</si>
  <si>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</si>
  <si>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</si>
  <si>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</si>
  <si>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</si>
  <si>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</si>
  <si>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</si>
  <si>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</si>
  <si>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</si>
  <si>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</si>
  <si>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</si>
  <si>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</si>
  <si>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</si>
  <si>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</si>
  <si>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22050.00</t>
  </si>
  <si>
    <t xml:space="preserve">OTR Calculation</t>
  </si>
  <si>
    <t xml:space="preserve">470.00</t>
  </si>
  <si>
    <t xml:space="preserve">25885.00</t>
  </si>
  <si>
    <t xml:space="preserve">58535.00</t>
  </si>
  <si>
    <t xml:space="preserve">5.28</t>
  </si>
  <si>
    <t xml:space="preserve">60</t>
  </si>
  <si>
    <t xml:space="preserve">2</t>
  </si>
  <si>
    <t xml:space="preserve">RFL included?</t>
  </si>
  <si>
    <t>NO</t>
  </si>
  <si>
    <t>239.99</t>
  </si>
  <si>
    <t>YES</t>
  </si>
  <si>
    <t>0</t>
  </si>
  <si>
    <t>100</t>
  </si>
  <si>
    <t>500</t>
  </si>
  <si>
    <t>12</t>
  </si>
  <si>
    <t>60</t>
  </si>
  <si>
    <t>Limited Credit</t>
  </si>
  <si>
    <t>199.99</t>
  </si>
  <si>
    <t>58535.00</t>
  </si>
  <si>
    <t>1000</t>
  </si>
  <si>
    <t>33</t>
  </si>
  <si>
    <t>5000</t>
  </si>
  <si>
    <t>470.00</t>
  </si>
  <si>
    <t>200</t>
  </si>
  <si>
    <t xml:space="preserve"> Terminal pause with 6 down </t>
  </si>
  <si>
    <t>50</t>
  </si>
  <si>
    <t>A1 Credit</t>
  </si>
  <si>
    <t>40</t>
  </si>
  <si>
    <t>6000</t>
  </si>
  <si>
    <t>10</t>
  </si>
  <si>
    <t>1</t>
  </si>
  <si>
    <t>20</t>
  </si>
  <si>
    <t>70</t>
  </si>
  <si>
    <t>30</t>
  </si>
  <si>
    <t>5.28</t>
  </si>
  <si>
    <t>2</t>
  </si>
  <si>
    <t>25885.00</t>
  </si>
  <si>
    <t>21268.00</t>
  </si>
  <si>
    <t>296.00</t>
  </si>
  <si>
    <t>0.00</t>
  </si>
  <si>
    <t>21600.00</t>
  </si>
  <si>
    <t>665.00</t>
  </si>
  <si>
    <t>69070.00</t>
  </si>
  <si>
    <t>8.19</t>
  </si>
  <si>
    <t>22653.00</t>
  </si>
  <si>
    <t>340.00</t>
  </si>
  <si>
    <t>58525.00</t>
  </si>
  <si>
    <t>604.17</t>
  </si>
  <si>
    <t>315.00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</si>
</sst>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17166.67</v>
      </c>
      <c r="C2" s="4" t="s">
        <v>2</v>
      </c>
      <c r="D2" s="5" t="n">
        <f aca="false">C9</f>
        <v>3433.334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20600.004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17166.67</v>
      </c>
      <c r="C9" s="14" t="n">
        <f aca="false">B9*0.2</f>
        <v>3433.334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17166.67</v>
      </c>
      <c r="C15" s="14" t="n">
        <f aca="false">SUM(C9:C13)</f>
        <v>3433.334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20600.004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17166.67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20600.004</v>
      </c>
      <c r="B37" s="32"/>
      <c r="C37" s="41" t="s">
        <v>45</v>
      </c>
      <c r="D37" s="41"/>
      <c r="E37" s="32"/>
      <c r="F37" s="43" t="n">
        <f aca="false">A37-C37</f>
        <v>19600.004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3433.334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202.777833333333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347.222166666667</v>
      </c>
      <c r="L45" s="2"/>
    </row>
    <row r="46" customFormat="false" ht="17.35" hidden="false" customHeight="false" outlineLevel="0" collapsed="false">
      <c r="A46" s="40" t="s">
        <v>70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349.888833333333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299.888833333333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349.888833333333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14078.5984679751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0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349.888833333333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349.888833333333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349.888833333333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19600.004</v>
      </c>
      <c r="C90" s="32"/>
      <c r="D90" s="32"/>
      <c r="E90" s="23"/>
      <c r="F90" s="25" t="s">
        <v>106</v>
      </c>
      <c r="G90" s="27" t="n">
        <f aca="false">F37</f>
        <v>19600.004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13245.0622001204</v>
      </c>
      <c r="C97" s="32"/>
      <c r="D97" s="32"/>
      <c r="E97" s="23"/>
      <c r="F97" s="31" t="s">
        <v>113</v>
      </c>
      <c r="G97" s="33" t="n">
        <f aca="false">G90-G95</f>
        <v>12851.934698559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1280.96349708865</v>
      </c>
      <c r="C98" s="32"/>
      <c r="D98" s="32"/>
      <c r="E98" s="23"/>
      <c r="F98" s="31" t="s">
        <v>114</v>
      </c>
      <c r="G98" s="33" t="n">
        <f aca="false">(G97/G96)</f>
        <v>1206.67117914926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14090.5984679751</v>
      </c>
      <c r="C99" s="32"/>
      <c r="D99" s="32"/>
      <c r="E99" s="23"/>
      <c r="F99" s="31" t="s">
        <v>115</v>
      </c>
      <c r="G99" s="33" t="n">
        <f aca="false">((G98*(G94))+G86)</f>
        <v>13273.3829706419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14090.5984679751</v>
      </c>
      <c r="C101" s="32"/>
      <c r="D101" s="32"/>
      <c r="E101" s="23"/>
      <c r="F101" s="56" t="s">
        <v>117</v>
      </c>
      <c r="G101" s="65" t="n">
        <f aca="false">(G99+G100)</f>
        <v>13273.3829706419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85.0909090909091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1280.96349708865</v>
      </c>
      <c r="C104" s="32"/>
      <c r="D104" s="32"/>
      <c r="E104" s="23"/>
      <c r="F104" s="95" t="s">
        <v>119</v>
      </c>
      <c r="G104" s="96" t="n">
        <f aca="false">G101/(G94)</f>
        <v>1206.67117914926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1366.05440617956</v>
      </c>
      <c r="C105" s="32"/>
      <c r="D105" s="32"/>
      <c r="E105" s="23" t="s">
        <v>18</v>
      </c>
      <c r="F105" s="97" t="s">
        <v>120</v>
      </c>
      <c r="G105" s="98" t="n">
        <f aca="false">G103+G104</f>
        <v>1206.67117914926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20600.004</v>
      </c>
      <c r="C130" s="121" t="n">
        <v>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20600.004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20600.004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20600.004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20600.004</v>
      </c>
      <c r="C134" s="133" t="n">
        <f aca="false">C130-C133</f>
        <v>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17166.67</v>
      </c>
      <c r="H144" s="153" t="n">
        <f aca="false">C134+E134+G134+H137</f>
        <v>0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3433.334</v>
      </c>
      <c r="H146" s="33" t="n">
        <f aca="false">(H144+H145)*20%</f>
        <v>0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20600.004</v>
      </c>
      <c r="H150" s="157" t="n">
        <f aca="false">(H144+H145+H148+H149+H146)-H147</f>
        <v>0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20600.004</v>
      </c>
      <c r="H156" s="164" t="n">
        <f aca="false">H150-((H153*1.2)+(H154*1.2)+(H155*1.2)+(H151*1.2))</f>
        <v>0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-17166.67</v>
      </c>
      <c r="I157" s="1" t="n">
        <f aca="false">(H157-G90)/1.2</f>
        <v>-30638.895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0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1280.96349708865</v>
      </c>
      <c r="B176" s="177" t="n">
        <f aca="false">B103</f>
        <v>85.0909090909091</v>
      </c>
      <c r="C176" s="174"/>
      <c r="D176" s="174"/>
      <c r="E176" s="177" t="n">
        <f aca="false">B105</f>
        <v>1366.05440617956</v>
      </c>
      <c r="F176" s="23"/>
      <c r="G176" s="23" t="n">
        <f aca="false">ROUND(G104, 2)</f>
        <v>1206.67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0</v>
      </c>
      <c r="B182" s="103" t="n">
        <f aca="false">H146</f>
        <v>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20090.5984679751</v>
      </c>
      <c r="B191" s="103" t="str">
        <f aca="false">B123</f>
        <v>239.99</v>
      </c>
      <c r="C191" s="103"/>
      <c r="D191" s="23"/>
      <c r="E191" s="103" t="n">
        <f aca="false">E188+A191+B191+A194</f>
        <v>20340.5884679751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0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99.9916666666667</v>
      </c>
      <c r="C200" s="93"/>
      <c r="D200" s="93"/>
      <c r="E200" s="103" t="n">
        <f aca="false">H157</f>
        <v>-17166.67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1366.05440617956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19273.37</v>
      </c>
      <c r="B210" s="186" t="n">
        <f aca="false">E188+A210+B191+A194</f>
        <v>19523.36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1280.96349708865</v>
      </c>
      <c r="B221" s="177" t="n">
        <f aca="false">B176</f>
        <v>85.0909090909091</v>
      </c>
      <c r="C221" s="174"/>
      <c r="D221" s="174"/>
      <c r="E221" s="177" t="n">
        <f aca="false">E176</f>
        <v>1366.05440617956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0</v>
      </c>
      <c r="B224" s="103" t="n">
        <f aca="false">B182</f>
        <v>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20090.5984679751</v>
      </c>
      <c r="B233" s="103" t="str">
        <f aca="false">B191</f>
        <v>239.99</v>
      </c>
      <c r="C233" s="103"/>
      <c r="D233" s="113"/>
      <c r="E233" s="103" t="n">
        <f aca="false">E191</f>
        <v>20340.5884679751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1280.96349708865</v>
      </c>
      <c r="B239" s="103" t="n">
        <f aca="false">B176</f>
        <v>85.0909090909091</v>
      </c>
      <c r="C239" s="186"/>
      <c r="D239" s="186"/>
      <c r="E239" s="103" t="n">
        <f aca="false">E176</f>
        <v>1366.05440617956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-17166.67</v>
      </c>
      <c r="B249" s="103" t="n">
        <f aca="false">B197</f>
        <v>0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-17066.6783333333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827.22846797511</v>
      </c>
      <c r="C263" s="197"/>
      <c r="D263" s="198" t="s">
        <v>218</v>
      </c>
      <c r="E263" s="198"/>
      <c r="F263" s="200" t="n">
        <f aca="false">F270+F276+F278+B279+B280</f>
        <v>0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927.220134641777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14090.5984679751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0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927.220134641777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21099.996</v>
      </c>
      <c r="B37" s="32"/>
      <c r="C37" s="41" t="s">
        <v>45</v>
      </c>
      <c r="D37" s="41"/>
      <c r="E37" s="32"/>
      <c r="F37" s="43" t="n">
        <f aca="false">A37-C37</f>
        <v>20099.996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3516.666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209.722166666667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290.277833333333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292.9445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292.9445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292.9445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14610.5088812864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117.49998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292.9445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292.9445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292.9445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20099.996</v>
      </c>
      <c r="C90" s="32"/>
      <c r="D90" s="32"/>
      <c r="E90" s="23"/>
      <c r="F90" s="25" t="s">
        <v>106</v>
      </c>
      <c r="G90" s="27" t="n">
        <f aca="false">F37</f>
        <v>20099.996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13745.0542001204</v>
      </c>
      <c r="C97" s="32"/>
      <c r="D97" s="32"/>
      <c r="E97" s="23"/>
      <c r="F97" s="31" t="s">
        <v>113</v>
      </c>
      <c r="G97" s="33" t="n">
        <f aca="false">G90-G95</f>
        <v>13351.926698559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1329.31898920786</v>
      </c>
      <c r="C98" s="32"/>
      <c r="D98" s="32"/>
      <c r="E98" s="23"/>
      <c r="F98" s="31" t="s">
        <v>114</v>
      </c>
      <c r="G98" s="33" t="n">
        <f aca="false">(G97/G96)</f>
        <v>1253.61554592019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14622.5088812864</v>
      </c>
      <c r="C99" s="32"/>
      <c r="D99" s="32"/>
      <c r="E99" s="23"/>
      <c r="F99" s="31" t="s">
        <v>115</v>
      </c>
      <c r="G99" s="33" t="n">
        <f aca="false">((G98*(G94))+G86)</f>
        <v>13789.7710051221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14622.5088812864</v>
      </c>
      <c r="C101" s="32"/>
      <c r="D101" s="32"/>
      <c r="E101" s="23"/>
      <c r="F101" s="56" t="s">
        <v>117</v>
      </c>
      <c r="G101" s="65" t="n">
        <f aca="false">(G99+G100)</f>
        <v>13789.7710051221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1329.31898920786</v>
      </c>
      <c r="C104" s="32"/>
      <c r="D104" s="32"/>
      <c r="E104" s="23"/>
      <c r="F104" s="95" t="s">
        <v>119</v>
      </c>
      <c r="G104" s="96" t="n">
        <f aca="false">G101/(G94)</f>
        <v>1253.61554592019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1329.31898920786</v>
      </c>
      <c r="C105" s="32"/>
      <c r="D105" s="32"/>
      <c r="E105" s="23" t="s">
        <v>18</v>
      </c>
      <c r="F105" s="97" t="s">
        <v>120</v>
      </c>
      <c r="G105" s="98" t="n">
        <f aca="false">G103+G104</f>
        <v>1253.61554592019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21099.996</v>
      </c>
      <c r="C130" s="121" t="n">
        <v>19583.33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21099.996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21099.996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21099.996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21099.996</v>
      </c>
      <c r="C134" s="133" t="n">
        <f aca="false">C130-C133</f>
        <v>19583.33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17583.33</v>
      </c>
      <c r="H144" s="153" t="n">
        <f aca="false">C134+E134+G134+H137</f>
        <v>19583.33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3516.666</v>
      </c>
      <c r="H146" s="33" t="n">
        <f aca="false">(H144+H145)*20%</f>
        <v>3916.666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21099.996</v>
      </c>
      <c r="H150" s="157" t="n">
        <f aca="false">(H144+H145+H148+H149+H146)-H147</f>
        <v>23499.996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21099.996</v>
      </c>
      <c r="H156" s="164" t="n">
        <f aca="false">H150-((H153*1.2)+(H154*1.2)+(H155*1.2)+(H151*1.2))</f>
        <v>23499.996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-15083.33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23499.996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1329.31898920786</v>
      </c>
      <c r="B176" s="177" t="n">
        <f aca="false">B103</f>
        <v>0</v>
      </c>
      <c r="C176" s="174"/>
      <c r="D176" s="174"/>
      <c r="E176" s="177" t="n">
        <f aca="false">B105</f>
        <v>1329.31898920786</v>
      </c>
      <c r="F176" s="23"/>
      <c r="G176" s="23" t="n">
        <f aca="false">ROUND(G104, 2)</f>
        <v>1253.62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19583.33</v>
      </c>
      <c r="B182" s="103" t="n">
        <f aca="false">H146</f>
        <v>3916.666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23499.996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23499.996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-2877.48711871359</v>
      </c>
      <c r="B191" s="103" t="str">
        <f aca="false">B123</f>
        <v>199.99</v>
      </c>
      <c r="C191" s="103"/>
      <c r="D191" s="23"/>
      <c r="E191" s="103" t="n">
        <f aca="false">E188+A191+(B191*1.2)+A194</f>
        <v>20872.4968812864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97.91665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197.90665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1329.31898920786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-3710.176</v>
      </c>
      <c r="B210" s="186" t="n">
        <f aca="false">E188+A210+(B191*1.2)+A194</f>
        <v>20039.808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1329.31898920786</v>
      </c>
      <c r="B221" s="177" t="n">
        <f aca="false">B176</f>
        <v>0</v>
      </c>
      <c r="C221" s="174"/>
      <c r="D221" s="174"/>
      <c r="E221" s="177" t="n">
        <f aca="false">E176</f>
        <v>1329.31898920786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19583.33</v>
      </c>
      <c r="B224" s="103" t="n">
        <f aca="false">B182</f>
        <v>3916.666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23499.996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23499.996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-2877.48711871359</v>
      </c>
      <c r="B233" s="103" t="str">
        <f aca="false">B191</f>
        <v>199.99</v>
      </c>
      <c r="C233" s="103"/>
      <c r="D233" s="113"/>
      <c r="E233" s="103" t="n">
        <f aca="false">E191</f>
        <v>20872.4968812864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1329.31898920786</v>
      </c>
      <c r="B239" s="103" t="n">
        <f aca="false">B176</f>
        <v>0</v>
      </c>
      <c r="C239" s="186"/>
      <c r="D239" s="186"/>
      <c r="E239" s="103" t="n">
        <f aca="false">E176</f>
        <v>1329.31898920786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97.91665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2197.90665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842.688881286413</v>
      </c>
      <c r="C263" s="197"/>
      <c r="D263" s="198" t="s">
        <v>218</v>
      </c>
      <c r="E263" s="198"/>
      <c r="F263" s="200" t="n">
        <f aca="false">F270+F276+F278+B279+B280</f>
        <v>117.49998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825.178901286413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14622.5088812864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117.49998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825.178901286413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249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16806.5358348192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220.3124625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14844.1760889046</v>
      </c>
      <c r="C88" s="93" t="n">
        <f aca="false">B81-B86</f>
        <v>14844.1760889046</v>
      </c>
      <c r="D88" s="93"/>
      <c r="E88" s="113"/>
      <c r="F88" s="31" t="s">
        <v>113</v>
      </c>
      <c r="G88" s="33" t="n">
        <f aca="false">G81-G86</f>
        <v>14075.6270487143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540.840608474464</v>
      </c>
      <c r="C89" s="93" t="n">
        <f aca="false">(B88/B87)</f>
        <v>540.840608474464</v>
      </c>
      <c r="D89" s="93"/>
      <c r="E89" s="113"/>
      <c r="F89" s="31" t="s">
        <v>114</v>
      </c>
      <c r="G89" s="33" t="n">
        <f aca="false">(G88/G87)</f>
        <v>480.272828124815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17306.8994711829</v>
      </c>
      <c r="C90" s="93"/>
      <c r="D90" s="93"/>
      <c r="E90" s="113"/>
      <c r="F90" s="31" t="s">
        <v>115</v>
      </c>
      <c r="G90" s="33" t="n">
        <f aca="false">((G89*(G85))+G77)</f>
        <v>15368.7304999941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17306.8994711829</v>
      </c>
      <c r="C92" s="93"/>
      <c r="D92" s="93"/>
      <c r="E92" s="113"/>
      <c r="F92" s="56" t="s">
        <v>117</v>
      </c>
      <c r="G92" s="65" t="n">
        <f aca="false">(G90+G91)</f>
        <v>15368.7304999941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540.840608474464</v>
      </c>
      <c r="C95" s="93"/>
      <c r="D95" s="93"/>
      <c r="E95" s="113"/>
      <c r="F95" s="95" t="s">
        <v>119</v>
      </c>
      <c r="G95" s="96" t="n">
        <f aca="false">G92/(G85)</f>
        <v>480.272828124815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540.840608474464</v>
      </c>
      <c r="C96" s="93"/>
      <c r="D96" s="93"/>
      <c r="E96" s="113"/>
      <c r="F96" s="97" t="s">
        <v>120</v>
      </c>
      <c r="G96" s="98" t="n">
        <f aca="false">G94+G95</f>
        <v>480.272828124815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540.840608474464</v>
      </c>
      <c r="B167" s="177" t="n">
        <f aca="false">B94</f>
        <v>0</v>
      </c>
      <c r="C167" s="174"/>
      <c r="D167" s="174"/>
      <c r="E167" s="177" t="n">
        <f aca="false">B96</f>
        <v>540.840608474464</v>
      </c>
      <c r="F167" s="23"/>
      <c r="G167" s="23" t="n">
        <f aca="false">ROUND(G95, 2)</f>
        <v>480.27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1006.90347118286</v>
      </c>
      <c r="B182" s="103" t="str">
        <f aca="false">B114</f>
        <v>239.99</v>
      </c>
      <c r="C182" s="103"/>
      <c r="D182" s="23"/>
      <c r="E182" s="103" t="n">
        <f aca="false">E179+A182+B182+A185</f>
        <v>24756.8894711829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183.59371875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283.585385416667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540.840608474464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-931.356000000003</v>
      </c>
      <c r="B201" s="186" t="n">
        <f aca="false">E179+A201+B182+A185</f>
        <v>22818.63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540.840608474464</v>
      </c>
      <c r="B212" s="177" t="n">
        <f aca="false">B167</f>
        <v>0</v>
      </c>
      <c r="C212" s="174"/>
      <c r="D212" s="174"/>
      <c r="E212" s="177" t="n">
        <f aca="false">E167</f>
        <v>540.840608474464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1006.90347118286</v>
      </c>
      <c r="B224" s="103" t="str">
        <f aca="false">B182</f>
        <v>239.99</v>
      </c>
      <c r="C224" s="103"/>
      <c r="D224" s="113"/>
      <c r="E224" s="103" t="n">
        <f aca="false">E182</f>
        <v>24756.8894711829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540.840608474464</v>
      </c>
      <c r="B230" s="103" t="n">
        <f aca="false">B167</f>
        <v>0</v>
      </c>
      <c r="C230" s="186"/>
      <c r="D230" s="186"/>
      <c r="E230" s="103" t="n">
        <f aca="false">E167</f>
        <v>540.840608474464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183.59371875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2283.58538541667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1948.25947118286</v>
      </c>
      <c r="C254" s="197"/>
      <c r="D254" s="198" t="s">
        <v>218</v>
      </c>
      <c r="E254" s="198"/>
      <c r="F254" s="200" t="n">
        <f aca="false">F261+F267+F269+B270+B271</f>
        <v>220.3124625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1827.93867534953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220.3124625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1827.93867534953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14425.4239070671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13881.8018648348</v>
      </c>
      <c r="C88" s="93" t="n">
        <f aca="false">B81-B86</f>
        <v>13881.8018648348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1356.94762791519</v>
      </c>
      <c r="C89" s="93" t="n">
        <f aca="false">(B88/B87)</f>
        <v>1356.94762791519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14926.4239070671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14926.4239070671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1356.94762791519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1356.94762791519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1356.94762791519</v>
      </c>
      <c r="B167" s="177" t="str">
        <f aca="false">B94</f>
        <v>0</v>
      </c>
      <c r="C167" s="174"/>
      <c r="D167" s="174"/>
      <c r="E167" s="177" t="n">
        <f aca="false">B96</f>
        <v>1356.94762791519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-1373.57209293293</v>
      </c>
      <c r="B182" s="103" t="str">
        <f aca="false">B114</f>
        <v>199.99</v>
      </c>
      <c r="C182" s="103"/>
      <c r="D182" s="23"/>
      <c r="E182" s="103" t="n">
        <f aca="false">E179+A182+(B182*1.2)+A185</f>
        <v>22376.4119070671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1356.94762791519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1356.94762791519</v>
      </c>
      <c r="B212" s="177" t="str">
        <f aca="false">B167</f>
        <v>0</v>
      </c>
      <c r="C212" s="174"/>
      <c r="D212" s="174"/>
      <c r="E212" s="177" t="n">
        <f aca="false">E167</f>
        <v>1356.94762791519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-1373.57209293293</v>
      </c>
      <c r="B224" s="103" t="str">
        <f aca="false">B182</f>
        <v>199.99</v>
      </c>
      <c r="C224" s="103"/>
      <c r="D224" s="113"/>
      <c r="E224" s="103" t="n">
        <f aca="false">E182</f>
        <v>22376.4119070671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1356.94762791519</v>
      </c>
      <c r="B230" s="103" t="str">
        <f aca="false">B167</f>
        <v>0</v>
      </c>
      <c r="C230" s="186"/>
      <c r="D230" s="186"/>
      <c r="E230" s="103" t="n">
        <f aca="false">E167</f>
        <v>1356.94762791519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1146.60390706707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1129.09392706707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1129.09392706707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239.99</v>
      </c>
      <c r="C182" s="103"/>
      <c r="D182" s="23"/>
      <c r="E182" s="103" t="n">
        <f aca="false">E179+A182+B182+A185</f>
        <v>22072.5031366378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197.908316666667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E179+A201+B182+A185</f>
        <v>21239.81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239.99</v>
      </c>
      <c r="C224" s="103"/>
      <c r="D224" s="113"/>
      <c r="E224" s="103" t="n">
        <f aca="false">E182</f>
        <v>22072.5031366378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2197.90831666667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825.184823304472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825.184823304472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199.99</v>
      </c>
      <c r="C182" s="103"/>
      <c r="D182" s="23"/>
      <c r="E182" s="103" t="n">
        <f aca="false">E179+A182+(B182*1.2)+A185</f>
        <v>22072.5011366378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199.99</v>
      </c>
      <c r="C224" s="103"/>
      <c r="D224" s="113"/>
      <c r="E224" s="103" t="n">
        <f aca="false">E182</f>
        <v>22072.5011366378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825.183156637805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825.183156637805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215" t="n">
        <v>10000</v>
      </c>
      <c r="D64" s="291" t="n">
        <f aca="false">B64</f>
        <v>1476.99972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2803.66638666667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233.638865555556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10578.799664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74.6789004114563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10653.4785644115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887.789880367621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965.789880367621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887.789880367621</v>
      </c>
      <c r="B128" s="321" t="n">
        <f aca="false">IF(A105="YES", B89, 0)</f>
        <v>78</v>
      </c>
      <c r="C128" s="326"/>
      <c r="D128" s="321" t="n">
        <f aca="false">B91</f>
        <v>965.789880367621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887.789880367621</v>
      </c>
      <c r="C131" s="317"/>
      <c r="D131" s="38" t="n">
        <f aca="false">IF(A105="YES", B89*B57, 0)</f>
        <v>78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965.789880367621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887.789880367621</v>
      </c>
      <c r="B137" s="38" t="n">
        <f aca="false">IF(A105="YES", B89, 0)</f>
        <v>78</v>
      </c>
      <c r="C137" s="317"/>
      <c r="D137" s="38" t="n">
        <f aca="false">B91</f>
        <v>965.789880367621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728.98996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965.789880367621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887.789880367621</v>
      </c>
      <c r="B171" s="355" t="n">
        <f aca="false">IF(A105="YES", B89, 0)</f>
        <v>78</v>
      </c>
      <c r="C171" s="358"/>
      <c r="D171" s="355" t="n">
        <f aca="false">B91</f>
        <v>965.789880367621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887.789880367621</v>
      </c>
      <c r="C174" s="353"/>
      <c r="D174" s="103" t="n">
        <f aca="false">IF(A105="YES", B89*B57, 0)</f>
        <v>78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965.789880367621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887.789880367621</v>
      </c>
      <c r="B180" s="103" t="n">
        <f aca="false">IF(A105="YES", B89, 0)</f>
        <v>78</v>
      </c>
      <c r="C180" s="353"/>
      <c r="D180" s="103" t="n">
        <f aca="false">B91</f>
        <v>965.789880367621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210.99996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728.98996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1476.99972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210.99996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1785.98976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1476.99972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210.99996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1785.98976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74.6789004114563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</v>
      </c>
      <c r="C9" s="14" t="n">
        <f aca="false">B9*0.2</f>
        <v>3700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18500</v>
      </c>
      <c r="C15" s="14" t="n">
        <f aca="false">SUM(C9:C13)</f>
        <v>3700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22200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22200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1554</v>
      </c>
      <c r="C64" s="215" t="n">
        <v>10000</v>
      </c>
      <c r="D64" s="291" t="n">
        <f aca="false">B64</f>
        <v>1554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222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2880.66666666667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240.055555555556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8892.66666666667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75.3311819281969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8967.99784859486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747.333154049572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812.333154049572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747.333154049572</v>
      </c>
      <c r="B128" s="321" t="n">
        <f aca="false">IF(A105="YES", B89, 0)</f>
        <v>65</v>
      </c>
      <c r="C128" s="326"/>
      <c r="D128" s="321" t="n">
        <f aca="false">B91</f>
        <v>812.333154049572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747.333154049572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812.333154049572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747.333154049572</v>
      </c>
      <c r="B137" s="38" t="n">
        <f aca="false">IF(A105="YES", B89, 0)</f>
        <v>65</v>
      </c>
      <c r="C137" s="317"/>
      <c r="D137" s="38" t="n">
        <f aca="false">B91</f>
        <v>812.333154049572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222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739.99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812.333154049572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747.333154049572</v>
      </c>
      <c r="B171" s="355" t="n">
        <f aca="false">IF(A105="YES", B89, 0)</f>
        <v>65</v>
      </c>
      <c r="C171" s="358"/>
      <c r="D171" s="355" t="n">
        <f aca="false">B91</f>
        <v>812.333154049572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747.333154049572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812.333154049572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747.333154049572</v>
      </c>
      <c r="B180" s="103" t="n">
        <f aca="false">IF(A105="YES", B89, 0)</f>
        <v>65</v>
      </c>
      <c r="C180" s="353"/>
      <c r="D180" s="103" t="n">
        <f aca="false">B91</f>
        <v>812.333154049572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222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739.99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1554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222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1851.99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1554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222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1851.99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75.3311819281969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333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336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292.9445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292.9445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292.9445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9572.0848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9639.65700008068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803.304750006723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803.304750006723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803.304750006723</v>
      </c>
      <c r="B134" s="321" t="n">
        <f aca="false">IF(A111="YES", B95, 0)</f>
        <v>0</v>
      </c>
      <c r="C134" s="325"/>
      <c r="D134" s="321" t="n">
        <f aca="false">B97</f>
        <v>803.304750006723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803.304750006723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803.304750006723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803.304750006723</v>
      </c>
      <c r="B143" s="38" t="n">
        <f aca="false">IF(A111="YES", B95, 0)</f>
        <v>0</v>
      </c>
      <c r="C143" s="317"/>
      <c r="D143" s="38" t="n">
        <f aca="false">B97</f>
        <v>803.304750006723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710.991626666667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803.304750006723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803.304750006723</v>
      </c>
      <c r="B177" s="355" t="n">
        <f aca="false">IF(A111="YES", B95, 0)</f>
        <v>0</v>
      </c>
      <c r="C177" s="357"/>
      <c r="D177" s="355" t="n">
        <f aca="false">A177+B177</f>
        <v>803.304750006723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803.304750006723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803.304750006723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803.304750006723</v>
      </c>
      <c r="B186" s="103" t="n">
        <f aca="false">IF(A111="YES", B95, 0)</f>
        <v>0</v>
      </c>
      <c r="C186" s="353"/>
      <c r="D186" s="103" t="n">
        <f aca="false">B97</f>
        <v>803.304750006723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710.991626666667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2965.81170666667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2965.81170666667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347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70</v>
      </c>
      <c r="B44" s="104" t="s">
        <v>336</v>
      </c>
      <c r="C44" s="104"/>
      <c r="D44" s="104" t="s">
        <v>336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342.9445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342.9445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7976.73733333333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8044.30953341401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670.359127784501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735.359127784501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670.359127784501</v>
      </c>
      <c r="B134" s="321" t="n">
        <f aca="false">IF(A111="YES", B95, 0)</f>
        <v>65</v>
      </c>
      <c r="C134" s="326"/>
      <c r="D134" s="321" t="n">
        <f aca="false">B97</f>
        <v>735.359127784501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670.359127784501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735.359127784501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670.359127784501</v>
      </c>
      <c r="B143" s="38" t="n">
        <f aca="false">IF(A111="YES", B95, 0)</f>
        <v>65</v>
      </c>
      <c r="C143" s="317"/>
      <c r="D143" s="38" t="n">
        <f aca="false">B97</f>
        <v>735.359127784501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735.359127784501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670.359127784501</v>
      </c>
      <c r="B177" s="355" t="n">
        <f aca="false">IF(A111="YES", B95, 0)</f>
        <v>65</v>
      </c>
      <c r="C177" s="358"/>
      <c r="D177" s="355" t="n">
        <f aca="false">B91</f>
        <v>7976.73733333333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670.359127784501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735.359127784501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670.359127784501</v>
      </c>
      <c r="B186" s="103" t="n">
        <f aca="false">IF(A111="YES", B95, 0)</f>
        <v>65</v>
      </c>
      <c r="C186" s="353"/>
      <c r="D186" s="103" t="n">
        <f aca="false">B97</f>
        <v>735.359127784501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3145.81004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3145.81004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str">
        <f aca="false">IF(B38="YES", D38+A41, D38)</f>
        <v>500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348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10936.299664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11013.5022634837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917.791855290305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995.791855290305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917.791855290305</v>
      </c>
      <c r="B134" s="321" t="n">
        <f aca="false">IF(A111="YES", B95, 0)</f>
        <v>78</v>
      </c>
      <c r="C134" s="326"/>
      <c r="D134" s="321" t="n">
        <f aca="false">B97</f>
        <v>995.791855290305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917.791855290305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995.791855290305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917.791855290305</v>
      </c>
      <c r="B143" s="38" t="n">
        <f aca="false">IF(A111="YES", B95, 0)</f>
        <v>78</v>
      </c>
      <c r="C143" s="317"/>
      <c r="D143" s="38" t="n">
        <f aca="false">B97</f>
        <v>995.791855290305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995.791855290305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917.791855290305</v>
      </c>
      <c r="B177" s="355" t="n">
        <f aca="false">IF(A111="YES", B95, 0)</f>
        <v>78</v>
      </c>
      <c r="C177" s="358"/>
      <c r="D177" s="355" t="n">
        <f aca="false">B97</f>
        <v>995.791855290305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917.791855290305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995.791855290305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917.791855290305</v>
      </c>
      <c r="B186" s="103" t="n">
        <f aca="false">IF(A111="YES", B95, 0)</f>
        <v>78</v>
      </c>
      <c r="C186" s="353"/>
      <c r="D186" s="103" t="n">
        <f aca="false">B97</f>
        <v>995.791855290305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830.898804401416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65</v>
      </c>
      <c r="C134" s="326"/>
      <c r="D134" s="321" t="n">
        <f aca="false">B97</f>
        <v>830.898804401416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765.898804401416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830.898804401416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65</v>
      </c>
      <c r="C143" s="317"/>
      <c r="D143" s="38" t="n">
        <f aca="false">B97</f>
        <v>830.898804401416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830.898804401416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65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765.898804401416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830.898804401416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65</v>
      </c>
      <c r="C186" s="353"/>
      <c r="D186" s="103" t="n">
        <f aca="false">B97</f>
        <v>830.898804401416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2434.91638666667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202.909698888889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10136.299664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71.5551610004034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10207.8548250004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850.654568750034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850.654568750034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850.654568750034</v>
      </c>
      <c r="B134" s="321" t="n">
        <f aca="false">IF(A111="YES", B95, 0)</f>
        <v>0</v>
      </c>
      <c r="C134" s="326"/>
      <c r="D134" s="321" t="n">
        <f aca="false">B97</f>
        <v>850.654568750034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850.654568750034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850.654568750034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850.654568750034</v>
      </c>
      <c r="B143" s="38" t="n">
        <f aca="false">IF(A111="YES", B95, 0)</f>
        <v>0</v>
      </c>
      <c r="C143" s="317"/>
      <c r="D143" s="38" t="n">
        <f aca="false">B97</f>
        <v>850.654568750034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310.991626666667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850.654568750034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850.654568750034</v>
      </c>
      <c r="B177" s="355" t="n">
        <f aca="false">IF(A111="YES", B95, 0)</f>
        <v>0</v>
      </c>
      <c r="C177" s="358"/>
      <c r="D177" s="355" t="n">
        <f aca="false">B91</f>
        <v>10136.299664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850.654568750034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850.654568750034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850.654568750034</v>
      </c>
      <c r="B186" s="103" t="n">
        <f aca="false">IF(A111="YES", B95, 0)</f>
        <v>0</v>
      </c>
      <c r="C186" s="353"/>
      <c r="D186" s="103" t="n">
        <f aca="false">B97</f>
        <v>850.654568750034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310.991626666667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1365.99142666667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1365.99142666667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71.5551610004034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765.898804401416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0</v>
      </c>
      <c r="C134" s="326"/>
      <c r="D134" s="321" t="n">
        <f aca="false">B97</f>
        <v>765.898804401416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6893.08923961275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6893.08923961275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0</v>
      </c>
      <c r="C143" s="317"/>
      <c r="D143" s="38" t="n">
        <f aca="false">B97</f>
        <v>765.898804401416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0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6893.08923961275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6893.08923961275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0</v>
      </c>
      <c r="C186" s="353"/>
      <c r="D186" s="103" t="n">
        <f aca="false">B97</f>
        <v>765.898804401416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35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552.861519485774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552.861519485774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25443.3768750692</v>
      </c>
      <c r="N39" s="1" t="n">
        <f aca="false">K39-L39</f>
        <v>-7860.04687506925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0</v>
      </c>
      <c r="L40" s="2" t="n">
        <f aca="false">K39-L39</f>
        <v>-7860.04687506925</v>
      </c>
      <c r="N40" s="1" t="n">
        <f aca="false">N38-N39</f>
        <v>10771.7268750692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17583.33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552.861519485774</v>
      </c>
      <c r="L47" s="2" t="n">
        <f aca="false">L49-K42</f>
        <v>800</v>
      </c>
      <c r="M47" s="1" t="n">
        <f aca="false">K47-L47</f>
        <v>-247.138480514226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552.861519485774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552.861519485774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5356.14215907465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171.354134027778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552.861519485774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552.861519485774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552.861519485774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552.861519485774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0</v>
      </c>
      <c r="C82" s="93"/>
      <c r="D82" s="93"/>
      <c r="E82" s="113"/>
      <c r="F82" s="31" t="s">
        <v>107</v>
      </c>
      <c r="G82" s="33" t="n">
        <f aca="false">IF(A111="YES",A40,0)</f>
        <v>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34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0</v>
      </c>
      <c r="C86" s="93"/>
      <c r="D86" s="93"/>
      <c r="E86" s="113"/>
      <c r="F86" s="31" t="s">
        <v>111</v>
      </c>
      <c r="G86" s="33" t="n">
        <f aca="false">(G82/((1+G84)^(G85+1)))</f>
        <v>0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20999.996</v>
      </c>
      <c r="C88" s="93"/>
      <c r="D88" s="93"/>
      <c r="E88" s="113"/>
      <c r="F88" s="31" t="s">
        <v>113</v>
      </c>
      <c r="G88" s="33" t="n">
        <f aca="false">G81-G86</f>
        <v>20999.996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726.655745325787</v>
      </c>
      <c r="C89" s="93"/>
      <c r="D89" s="93"/>
      <c r="E89" s="113"/>
      <c r="F89" s="31" t="s">
        <v>114</v>
      </c>
      <c r="G89" s="33" t="n">
        <f aca="false">(G88/G87)</f>
        <v>660.289586657089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24706.2953410768</v>
      </c>
      <c r="C90" s="93"/>
      <c r="D90" s="93"/>
      <c r="E90" s="113"/>
      <c r="F90" s="31" t="s">
        <v>115</v>
      </c>
      <c r="G90" s="33" t="n">
        <f aca="false">((G89*(G85))+G77)</f>
        <v>23110.1355329981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24706.2953410768</v>
      </c>
      <c r="C92" s="93"/>
      <c r="D92" s="93"/>
      <c r="E92" s="113"/>
      <c r="F92" s="56" t="s">
        <v>117</v>
      </c>
      <c r="G92" s="65" t="n">
        <f aca="false">(G90+G91)</f>
        <v>23110.1355329981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726.655745325787</v>
      </c>
      <c r="C95" s="93"/>
      <c r="D95" s="93"/>
      <c r="E95" s="113"/>
      <c r="F95" s="95" t="s">
        <v>119</v>
      </c>
      <c r="G95" s="96" t="n">
        <f aca="false">G92/(G85)</f>
        <v>660.289586657089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726.655745325787</v>
      </c>
      <c r="C96" s="93"/>
      <c r="D96" s="93"/>
      <c r="E96" s="113"/>
      <c r="F96" s="97" t="s">
        <v>120</v>
      </c>
      <c r="G96" s="98" t="n">
        <f aca="false">G94+G95</f>
        <v>660.289586657089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726.655745325787</v>
      </c>
      <c r="B167" s="177" t="str">
        <f aca="false">B94</f>
        <v>0</v>
      </c>
      <c r="C167" s="174"/>
      <c r="D167" s="174"/>
      <c r="E167" s="177" t="n">
        <f aca="false">B96</f>
        <v>726.655745325787</v>
      </c>
      <c r="F167" s="23"/>
      <c r="G167" s="23" t="n">
        <f aca="false">ROUND(G95, 2)</f>
        <v>660.29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4422.95508640254</v>
      </c>
      <c r="B182" s="103" t="str">
        <f aca="false">B114</f>
        <v>239.99</v>
      </c>
      <c r="C182" s="103"/>
      <c r="D182" s="23"/>
      <c r="E182" s="103" t="n">
        <f aca="false">E179+A182+B182+A185</f>
        <v>25672.9410864025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726.655745325787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171.354134027778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271.345800694445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726.655745325787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2166.51974532579</v>
      </c>
      <c r="B201" s="186" t="n">
        <f aca="false">E179+A201+B182+A185</f>
        <v>23416.5057453258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726.655745325787</v>
      </c>
      <c r="B212" s="177" t="str">
        <f aca="false">B167</f>
        <v>0</v>
      </c>
      <c r="C212" s="174"/>
      <c r="D212" s="174"/>
      <c r="E212" s="177" t="n">
        <f aca="false">E167</f>
        <v>726.655745325787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4422.95508640254</v>
      </c>
      <c r="B224" s="103" t="str">
        <f aca="false">B182</f>
        <v>239.99</v>
      </c>
      <c r="C224" s="103"/>
      <c r="D224" s="113"/>
      <c r="E224" s="103" t="n">
        <f aca="false">E182</f>
        <v>25672.9410864025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726.655745325787</v>
      </c>
      <c r="B230" s="103" t="str">
        <f aca="false">B167</f>
        <v>0</v>
      </c>
      <c r="C230" s="186"/>
      <c r="D230" s="186"/>
      <c r="E230" s="103" t="n">
        <f aca="false">E167</f>
        <v>726.655745325787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726.655745325787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171.354134027778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2271.34580069444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2266.43534107675</v>
      </c>
      <c r="C254" s="197"/>
      <c r="D254" s="198" t="s">
        <v>218</v>
      </c>
      <c r="E254" s="198"/>
      <c r="F254" s="200" t="n">
        <f aca="false">F261+F267+F269+B270+B271</f>
        <v>205.624960833333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2160.80204691008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2266.43534107675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205.624960833333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2160.80204691008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32.7272727272727</v>
      </c>
      <c r="C94" s="93"/>
      <c r="D94" s="93"/>
      <c r="E94" s="113"/>
      <c r="F94" s="88" t="s">
        <v>118</v>
      </c>
      <c r="G94" s="94" t="n">
        <f aca="false">IF(B26="YES",((E40/B85)*(1+A108)*(C45/100)),"0")</f>
        <v>32.7272727272727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597.293561103525</v>
      </c>
      <c r="C96" s="93"/>
      <c r="D96" s="93"/>
      <c r="E96" s="113"/>
      <c r="F96" s="97" t="s">
        <v>120</v>
      </c>
      <c r="G96" s="98" t="n">
        <f aca="false">G94+G95</f>
        <v>492.507671613885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564.566288376252</v>
      </c>
      <c r="B167" s="177" t="n">
        <f aca="false">B94</f>
        <v>32.7272727272727</v>
      </c>
      <c r="C167" s="174"/>
      <c r="D167" s="174"/>
      <c r="E167" s="177" t="n">
        <f aca="false">B96</f>
        <v>597.293561103525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193.489983333333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597.293561103525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32.7272727272727</v>
      </c>
      <c r="C212" s="174"/>
      <c r="D212" s="174"/>
      <c r="E212" s="177" t="n">
        <f aca="false">E167</f>
        <v>597.293561103525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32.7272727272727</v>
      </c>
      <c r="C230" s="186"/>
      <c r="D230" s="186"/>
      <c r="E230" s="103" t="n">
        <f aca="false">E167</f>
        <v>597.293561103525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2193.48998333333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159.99</v>
      </c>
      <c r="C255" s="197"/>
      <c r="D255" s="198" t="s">
        <v>220</v>
      </c>
      <c r="E255" s="198"/>
      <c r="F255" s="200" t="n">
        <f aca="false">(B254-F254)+B255</f>
        <v>1217.63919213878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60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1217.63919213878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11730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299.539129582044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299.539129582044</v>
      </c>
      <c r="B36" s="232" t="str">
        <f aca="false">IF(B26="YES", K42, "0.00")</f>
        <v>0.00</v>
      </c>
      <c r="C36" s="232"/>
      <c r="D36" s="232"/>
      <c r="E36" s="232" t="n">
        <f aca="false">K31</f>
        <v>11730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2"/>
    </row>
    <row r="40" customFormat="false" ht="17.35" hidden="false" customHeight="false" outlineLevel="0" collapsed="false">
      <c r="A40" s="107" t="n">
        <f aca="false">E36*A45/100</f>
        <v>11730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7882.31662791798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9701.01337208203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299.539129582044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299.539129582044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4452.15254185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174.999966666667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299.539129582044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299.539129582044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299.539129582044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299.539129582044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11730</v>
      </c>
      <c r="C82" s="93"/>
      <c r="D82" s="93"/>
      <c r="E82" s="113"/>
      <c r="F82" s="31" t="s">
        <v>107</v>
      </c>
      <c r="G82" s="33" t="n">
        <f aca="false">IF(A111="YES",A40,0)</f>
        <v>11730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11730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11730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8198.38965912775</v>
      </c>
      <c r="C86" s="93"/>
      <c r="D86" s="93"/>
      <c r="E86" s="113"/>
      <c r="F86" s="31" t="s">
        <v>111</v>
      </c>
      <c r="G86" s="33" t="n">
        <f aca="false">(G82/((1+G84)^(G85+1)))</f>
        <v>9513.956169897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7934.96785267316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7934.96785267316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12801.6063408723</v>
      </c>
      <c r="C88" s="93"/>
      <c r="D88" s="93"/>
      <c r="E88" s="113"/>
      <c r="F88" s="31" t="s">
        <v>113</v>
      </c>
      <c r="G88" s="33" t="n">
        <f aca="false">G81-G86</f>
        <v>11486.039830103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435.301748765817</v>
      </c>
      <c r="C89" s="93"/>
      <c r="D89" s="93"/>
      <c r="E89" s="113"/>
      <c r="F89" s="31" t="s">
        <v>114</v>
      </c>
      <c r="G89" s="33" t="n">
        <f aca="false">(G88/G87)</f>
        <v>363.765624720186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15235.5612068036</v>
      </c>
      <c r="C90" s="93"/>
      <c r="D90" s="93"/>
      <c r="E90" s="113"/>
      <c r="F90" s="31" t="s">
        <v>115</v>
      </c>
      <c r="G90" s="33" t="n">
        <f aca="false">((G89*(G85))+G77)</f>
        <v>12731.7968652065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15235.5612068036</v>
      </c>
      <c r="C92" s="93"/>
      <c r="D92" s="93"/>
      <c r="E92" s="113"/>
      <c r="F92" s="56" t="s">
        <v>117</v>
      </c>
      <c r="G92" s="65" t="n">
        <f aca="false">(G90+G91)</f>
        <v>12731.7968652065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435.301748765817</v>
      </c>
      <c r="C95" s="93"/>
      <c r="D95" s="93"/>
      <c r="E95" s="113"/>
      <c r="F95" s="95" t="s">
        <v>119</v>
      </c>
      <c r="G95" s="96" t="n">
        <f aca="false">G92/(G85)</f>
        <v>363.765624720186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435.301748765817</v>
      </c>
      <c r="C96" s="93"/>
      <c r="D96" s="93"/>
      <c r="E96" s="113"/>
      <c r="F96" s="97" t="s">
        <v>120</v>
      </c>
      <c r="G96" s="98" t="n">
        <f aca="false">G94+G95</f>
        <v>363.765624720186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435.301748765817</v>
      </c>
      <c r="B167" s="177" t="str">
        <f aca="false">B94</f>
        <v>0</v>
      </c>
      <c r="C167" s="174"/>
      <c r="D167" s="174"/>
      <c r="E167" s="177" t="n">
        <f aca="false">B96</f>
        <v>435.301748765817</v>
      </c>
      <c r="F167" s="23"/>
      <c r="G167" s="23" t="n">
        <f aca="false">ROUND(G95, 2)</f>
        <v>363.77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11730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11730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11730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11730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5965.56520680359</v>
      </c>
      <c r="B182" s="103" t="str">
        <f aca="false">B114</f>
        <v>239.99</v>
      </c>
      <c r="C182" s="103"/>
      <c r="D182" s="23"/>
      <c r="E182" s="103" t="n">
        <f aca="false">E179+A182+B182+A185</f>
        <v>27215.5512068036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11740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11750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11740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11740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209.99996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309.991626666667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435.301748765817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3461.95399999999</v>
      </c>
      <c r="B201" s="186" t="n">
        <f aca="false">E179+A201+B182+A185</f>
        <v>24711.94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435.301748765817</v>
      </c>
      <c r="B212" s="177" t="str">
        <f aca="false">B167</f>
        <v>0</v>
      </c>
      <c r="C212" s="174"/>
      <c r="D212" s="174"/>
      <c r="E212" s="177" t="n">
        <f aca="false">E167</f>
        <v>435.301748765817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5965.56520680359</v>
      </c>
      <c r="B224" s="103" t="str">
        <f aca="false">B182</f>
        <v>239.99</v>
      </c>
      <c r="C224" s="103"/>
      <c r="D224" s="113"/>
      <c r="E224" s="103" t="n">
        <f aca="false">E182</f>
        <v>27215.5512068036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435.301748765817</v>
      </c>
      <c r="B230" s="103" t="str">
        <f aca="false">B167</f>
        <v>0</v>
      </c>
      <c r="C230" s="186"/>
      <c r="D230" s="186"/>
      <c r="E230" s="103" t="n">
        <f aca="false">E167</f>
        <v>435.301748765817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11730</v>
      </c>
      <c r="B233" s="103" t="n">
        <f aca="false">E185</f>
        <v>11740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174.999966666667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2274.99163333333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2513.61120680359</v>
      </c>
      <c r="C254" s="197"/>
      <c r="D254" s="198" t="s">
        <v>218</v>
      </c>
      <c r="E254" s="198"/>
      <c r="F254" s="200" t="n">
        <f aca="false">F261+F267+F269+B270+B271</f>
        <v>209.99996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2403.60291347026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2513.61120680359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209.99996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2403.60291347026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35.4545454545455</v>
      </c>
      <c r="C94" s="93"/>
      <c r="D94" s="93"/>
      <c r="E94" s="113"/>
      <c r="F94" s="88" t="s">
        <v>118</v>
      </c>
      <c r="G94" s="94" t="n">
        <f aca="false">IF(B26="YES",((E40/B85)*(1+A108)*(C45/100)),"0")</f>
        <v>35.4545454545455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600.020833830798</v>
      </c>
      <c r="C96" s="93"/>
      <c r="D96" s="93"/>
      <c r="E96" s="113"/>
      <c r="F96" s="97" t="s">
        <v>120</v>
      </c>
      <c r="G96" s="98" t="n">
        <f aca="false">G94+G95</f>
        <v>495.234944341158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564.566288376252</v>
      </c>
      <c r="B167" s="177" t="n">
        <f aca="false">B94</f>
        <v>35.4545454545455</v>
      </c>
      <c r="C167" s="174"/>
      <c r="D167" s="174"/>
      <c r="E167" s="177" t="n">
        <f aca="false">B96</f>
        <v>600.020833830798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196.489983333333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600.020833830798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35.4545454545455</v>
      </c>
      <c r="C212" s="174"/>
      <c r="D212" s="174"/>
      <c r="E212" s="177" t="n">
        <f aca="false">E167</f>
        <v>600.020833830798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35.4545454545455</v>
      </c>
      <c r="C230" s="186"/>
      <c r="D230" s="186"/>
      <c r="E230" s="103" t="n">
        <f aca="false">E167</f>
        <v>600.020833830798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2196.48998333333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189.99</v>
      </c>
      <c r="C255" s="197"/>
      <c r="D255" s="198" t="s">
        <v>220</v>
      </c>
      <c r="E255" s="198"/>
      <c r="F255" s="200" t="n">
        <f aca="false">(B254-F254)+B255</f>
        <v>1247.63919213878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90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1247.63919213878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11441.6666666667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326.904761904762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873.41707504133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30791.8198486688</v>
      </c>
      <c r="C85" s="473"/>
      <c r="D85" s="473"/>
      <c r="E85" s="466" t="n">
        <f aca="false">B85/(B58+B57)</f>
        <v>879.766281390536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260.842362574443</v>
      </c>
      <c r="C86" s="473" t="s">
        <v>232</v>
      </c>
      <c r="D86" s="215"/>
      <c r="E86" s="466" t="n">
        <f aca="false">B86/(B58+B57)</f>
        <v>7.45263893069837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31052.6622112432</v>
      </c>
      <c r="C87" s="473"/>
      <c r="D87" s="475"/>
      <c r="E87" s="466" t="n">
        <f aca="false">E86+E85</f>
        <v>887.218920321235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887.218920321235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887.218920321235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887.218920321235</v>
      </c>
      <c r="B128" s="321" t="n">
        <f aca="false">IF(A105="YES", B89, 0)</f>
        <v>0</v>
      </c>
      <c r="C128" s="325"/>
      <c r="D128" s="321" t="n">
        <f aca="false">B91</f>
        <v>887.218920321235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887.218920321235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887.218920321235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887.218920321235</v>
      </c>
      <c r="B137" s="38" t="n">
        <f aca="false">IF(A105="YES", B89, 0)</f>
        <v>0</v>
      </c>
      <c r="C137" s="317"/>
      <c r="D137" s="38" t="n">
        <f aca="false">B91</f>
        <v>887.218920321235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887.218920321235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887.218920321235</v>
      </c>
      <c r="B177" s="355" t="n">
        <f aca="false">IF(A105="YES", B89, 0)</f>
        <v>0</v>
      </c>
      <c r="C177" s="357"/>
      <c r="D177" s="355" t="n">
        <f aca="false">B91</f>
        <v>887.218920321235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887.218920321235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887.218920321235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887.218920321235</v>
      </c>
      <c r="B186" s="103" t="n">
        <f aca="false">IF(A105="YES", B89, 0)</f>
        <v>0</v>
      </c>
      <c r="C186" s="353"/>
      <c r="D186" s="103" t="n">
        <f aca="false">B91</f>
        <v>887.218920321235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260.842362574443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15450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1040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1232.66338128253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1206.66338128253</v>
      </c>
      <c r="B36" s="103" t="n">
        <f aca="false">IF(B26="YES", H42, "")</f>
        <v>26</v>
      </c>
      <c r="C36" s="221"/>
      <c r="D36" s="184" t="n">
        <f aca="false">H31</f>
        <v>15450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19522.4211536279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4635</v>
      </c>
      <c r="B40" s="107" t="n">
        <f aca="false">IF(B26="YES",H42,"0")</f>
        <v>26</v>
      </c>
      <c r="C40" s="107"/>
      <c r="D40" s="184" t="n">
        <f aca="false">I32</f>
        <v>1040</v>
      </c>
      <c r="E40" s="216"/>
      <c r="F40" s="63"/>
      <c r="G40" s="63" t="s">
        <v>107</v>
      </c>
      <c r="H40" s="238" t="n">
        <f aca="false">A40/1.2</f>
        <v>3862.5</v>
      </c>
      <c r="I40" s="238" t="n">
        <f aca="false">H39-I39</f>
        <v>-1939.09115362792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3600.55500439506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13982.7749956049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1206.66338128253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1232.66338128253</v>
      </c>
      <c r="I48" s="238" t="n">
        <f aca="false">I49-H42</f>
        <v>1374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1232.66338128253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465" t="n">
        <v>10000</v>
      </c>
      <c r="D64" s="291" t="n">
        <f aca="false">B64</f>
        <v>1476.99972</v>
      </c>
      <c r="E64" s="466" t="n">
        <f aca="false">D64/(B58+B57)</f>
        <v>123.08331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229</v>
      </c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100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2434.91638666667</v>
      </c>
      <c r="C81" s="473"/>
      <c r="D81" s="474"/>
      <c r="E81" s="466"/>
      <c r="F81" s="63"/>
      <c r="G81" s="303" t="s">
        <v>103</v>
      </c>
      <c r="H81" s="304" t="n">
        <f aca="false">SUM(J64:J80)</f>
        <v>627.75</v>
      </c>
      <c r="I81" s="215"/>
      <c r="J81" s="215"/>
      <c r="K81" s="216"/>
      <c r="L81" s="63"/>
      <c r="M81" s="303" t="s">
        <v>103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202.909698888889</v>
      </c>
      <c r="C82" s="473"/>
      <c r="D82" s="215"/>
      <c r="E82" s="466"/>
      <c r="F82" s="63"/>
      <c r="G82" s="214" t="s">
        <v>104</v>
      </c>
      <c r="H82" s="300" t="n">
        <f aca="false">H81/H29</f>
        <v>52.3125</v>
      </c>
      <c r="I82" s="215"/>
      <c r="J82" s="215"/>
      <c r="K82" s="216"/>
      <c r="L82" s="63"/>
      <c r="M82" s="214" t="s">
        <v>104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1206.66338128253</v>
      </c>
      <c r="C83" s="473"/>
      <c r="D83" s="215"/>
      <c r="E83" s="466" t="n">
        <f aca="false">B83+E80+E77+E64</f>
        <v>1409.57308017142</v>
      </c>
      <c r="F83" s="63"/>
      <c r="G83" s="305" t="s">
        <v>105</v>
      </c>
      <c r="H83" s="306" t="n">
        <f aca="false">H47</f>
        <v>1206.66338128253</v>
      </c>
      <c r="I83" s="215"/>
      <c r="J83" s="215"/>
      <c r="K83" s="216"/>
      <c r="L83" s="63"/>
      <c r="M83" s="305" t="s">
        <v>105</v>
      </c>
      <c r="N83" s="306" t="n">
        <f aca="false">H47</f>
        <v>1206.66338128253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20297.8523544684</v>
      </c>
      <c r="C85" s="473"/>
      <c r="D85" s="473"/>
      <c r="E85" s="466" t="n">
        <f aca="false">B85/(B58+B57)</f>
        <v>1691.4876962057</v>
      </c>
      <c r="F85" s="63"/>
      <c r="G85" s="288" t="s">
        <v>115</v>
      </c>
      <c r="H85" s="131" t="n">
        <f aca="false">((H83*H29)+H81)*1.2</f>
        <v>18129.2526904684</v>
      </c>
      <c r="I85" s="215"/>
      <c r="J85" s="215"/>
      <c r="K85" s="216"/>
      <c r="L85" s="63"/>
      <c r="M85" s="288" t="s">
        <v>115</v>
      </c>
      <c r="N85" s="131" t="n">
        <f aca="false">((N83*H29)+N81)</f>
        <v>15093.9605753904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143.288590642678</v>
      </c>
      <c r="C86" s="473" t="s">
        <v>232</v>
      </c>
      <c r="D86" s="215"/>
      <c r="E86" s="466" t="n">
        <f aca="false">B86/(B58+B57)</f>
        <v>11.9407158868898</v>
      </c>
      <c r="F86" s="63"/>
      <c r="G86" s="214" t="s">
        <v>116</v>
      </c>
      <c r="H86" s="300" t="n">
        <f aca="false">((((H83*H29)+H81))/(1-H70))*H70</f>
        <v>127.979799146106</v>
      </c>
      <c r="I86" s="215"/>
      <c r="J86" s="215"/>
      <c r="K86" s="216"/>
      <c r="L86" s="63"/>
      <c r="M86" s="214" t="s">
        <v>116</v>
      </c>
      <c r="N86" s="300" t="n">
        <f aca="false">(N85/(1-N70))*N70</f>
        <v>127.863320727389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20441.1409451111</v>
      </c>
      <c r="C87" s="473"/>
      <c r="D87" s="475"/>
      <c r="E87" s="466" t="n">
        <f aca="false">E86+E85</f>
        <v>1703.42841209259</v>
      </c>
      <c r="F87" s="63"/>
      <c r="G87" s="285" t="s">
        <v>117</v>
      </c>
      <c r="H87" s="133" t="n">
        <f aca="false">IF(H110="YES",((H85+H86)-K114),(H85+H86))</f>
        <v>18257.2324896146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15221.8238961178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37.44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88.0941176470588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73.4117647058824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1703.42841209259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1073.95485233027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895.401405653986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1740.86841209259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1162.04896997733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968.813170359868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(E118)+E117-E114</f>
        <v>239.99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1073.95485233027</v>
      </c>
      <c r="H127" s="177" t="n">
        <f aca="false">IF(G105="YES", H89*H57, 0)</f>
        <v>528.564705882353</v>
      </c>
      <c r="I127" s="177"/>
      <c r="J127" s="334" t="n">
        <f aca="false">H91</f>
        <v>1162.04896997733</v>
      </c>
      <c r="K127" s="216"/>
      <c r="L127" s="63"/>
      <c r="M127" s="333" t="n">
        <f aca="false">N90</f>
        <v>895.401405653986</v>
      </c>
      <c r="N127" s="177" t="n">
        <f aca="false">IF(M105="YES", N89*N57, 0)</f>
        <v>440.470588235294</v>
      </c>
      <c r="O127" s="177"/>
      <c r="P127" s="177" t="n">
        <f aca="false">N91</f>
        <v>968.813170359868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1703.42841209259</v>
      </c>
      <c r="B128" s="321" t="n">
        <f aca="false">IF(A105="YES", B89, 0)</f>
        <v>37.44</v>
      </c>
      <c r="C128" s="325"/>
      <c r="D128" s="321" t="n">
        <f aca="false">B91</f>
        <v>1740.86841209259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1703.42841209259</v>
      </c>
      <c r="C131" s="317"/>
      <c r="D131" s="38" t="n">
        <f aca="false">IF(A105="YES", B89*B57, 0)</f>
        <v>37.44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6443.72911398161</v>
      </c>
      <c r="H133" s="103" t="n">
        <f aca="false">IF(G105="YES", H89*H57, 0)</f>
        <v>528.564705882353</v>
      </c>
      <c r="I133" s="221"/>
      <c r="J133" s="184" t="n">
        <f aca="false">H91*H57</f>
        <v>6972.29381986396</v>
      </c>
      <c r="K133" s="216"/>
      <c r="L133" s="63"/>
      <c r="M133" s="185" t="n">
        <f aca="false">N90*N57</f>
        <v>5372.40843392392</v>
      </c>
      <c r="N133" s="103" t="n">
        <f aca="false">IF(M105="YES", N89*N57, 0)</f>
        <v>440.470588235294</v>
      </c>
      <c r="O133" s="221"/>
      <c r="P133" s="184" t="n">
        <f aca="false">N91*N57</f>
        <v>5812.87902215921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1740.86841209259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1703.42841209259</v>
      </c>
      <c r="B137" s="38" t="n">
        <f aca="false">IF(A105="YES", B89, 0)</f>
        <v>37.44</v>
      </c>
      <c r="C137" s="317"/>
      <c r="D137" s="38" t="n">
        <f aca="false">B91</f>
        <v>1740.86841209259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6.24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6.24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103" t="n">
        <f aca="false">B102</f>
        <v>0</v>
      </c>
      <c r="C148" s="38"/>
      <c r="D148" s="38" t="n">
        <f aca="false">IF(A105="YES", (B40*B105)*B125, 0)*0.1</f>
        <v>6.24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317.231626666667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1162.04896997733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968.813170359868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1740.86841209259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1703.42841209259</v>
      </c>
      <c r="B177" s="355" t="n">
        <f aca="false">IF(A105="YES", B89, 0)</f>
        <v>37.44</v>
      </c>
      <c r="C177" s="357"/>
      <c r="D177" s="355" t="n">
        <f aca="false">B91</f>
        <v>1740.86841209259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1703.42841209259</v>
      </c>
      <c r="C180" s="353"/>
      <c r="D180" s="103" t="n">
        <f aca="false">IF(A105="YES", B89*B57, 0)</f>
        <v>37.44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1740.86841209259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1703.42841209259</v>
      </c>
      <c r="B186" s="103" t="n">
        <f aca="false">IF(A105="YES", B89, 0)</f>
        <v>37.44</v>
      </c>
      <c r="C186" s="353"/>
      <c r="D186" s="103" t="n">
        <f aca="false">B91</f>
        <v>1740.86841209259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210.99996</v>
      </c>
      <c r="B197" s="103" t="n">
        <f aca="false">B102</f>
        <v>0</v>
      </c>
      <c r="C197" s="103"/>
      <c r="D197" s="103" t="n">
        <f aca="false">IF(A105="YES", (B40*B105)*B125, 0)*0.1</f>
        <v>6.24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317.231626666667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162.391666666667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1428.39142666667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1476.99972</v>
      </c>
      <c r="C217" s="375" t="s">
        <v>223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1428.39142666667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62.4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143.288590642678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I32" activeCellId="0" sqref="I3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16708.33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80000.0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825</v>
      </c>
      <c r="C76" s="215"/>
      <c r="D76" s="291" t="n">
        <f aca="false">B76</f>
        <v>825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45.7142857142857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12266.6666666667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350.47619047619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896.988503612758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31616.8198486688</v>
      </c>
      <c r="C85" s="473"/>
      <c r="D85" s="473"/>
      <c r="E85" s="466" t="n">
        <f aca="false">B85/(B58+B57)</f>
        <v>903.337709961965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267.831067697476</v>
      </c>
      <c r="C86" s="473" t="s">
        <v>232</v>
      </c>
      <c r="D86" s="215"/>
      <c r="E86" s="466" t="n">
        <f aca="false">B86/(B58+B57)</f>
        <v>7.6523162199279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31884.6509163662</v>
      </c>
      <c r="C87" s="473"/>
      <c r="D87" s="475"/>
      <c r="E87" s="466" t="n">
        <f aca="false">E86+E85</f>
        <v>910.990026181893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910.990026181893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910.990026181893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910.990026181893</v>
      </c>
      <c r="B128" s="321" t="n">
        <f aca="false">IF(A105="YES", B89, 0)</f>
        <v>0</v>
      </c>
      <c r="C128" s="325"/>
      <c r="D128" s="321" t="n">
        <f aca="false">B91</f>
        <v>910.990026181893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910.990026181893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910.990026181893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910.990026181893</v>
      </c>
      <c r="B137" s="38" t="n">
        <f aca="false">IF(A105="YES", B89, 0)</f>
        <v>0</v>
      </c>
      <c r="C137" s="317"/>
      <c r="D137" s="38" t="n">
        <f aca="false">B91</f>
        <v>910.990026181893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910.990026181893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910.990026181893</v>
      </c>
      <c r="B177" s="355" t="n">
        <f aca="false">IF(A105="YES", B89, 0)</f>
        <v>0</v>
      </c>
      <c r="C177" s="357"/>
      <c r="D177" s="355" t="n">
        <f aca="false">B91</f>
        <v>910.990026181893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910.990026181893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910.990026181893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910.990026181893</v>
      </c>
      <c r="B186" s="103" t="n">
        <f aca="false">IF(A105="YES", B89, 0)</f>
        <v>0</v>
      </c>
      <c r="C186" s="353"/>
      <c r="D186" s="103" t="n">
        <f aca="false">B91</f>
        <v>910.990026181893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267.831067697476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396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239.99</v>
      </c>
      <c r="C191" s="103"/>
      <c r="D191" s="23"/>
      <c r="E191" s="103" t="n">
        <f aca="false">E188+A191+B191+A194</f>
        <v>23312.2566853322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201.033316666667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E188+A210+B191+A194</f>
        <v>22182.5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239.99</v>
      </c>
      <c r="C233" s="103"/>
      <c r="D233" s="113"/>
      <c r="E233" s="103" t="n">
        <f aca="false">E191</f>
        <v>23312.2566853322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2034.36331666667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1118.49837199889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1118.49837199889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199.99</v>
      </c>
      <c r="C191" s="103"/>
      <c r="D191" s="23"/>
      <c r="E191" s="103" t="n">
        <f aca="false">E188+A191+(B191*1.2)+A194</f>
        <v>23312.2546853322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201.03165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E188+A210+(B191*1.2)+A194</f>
        <v>22182.498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199.99</v>
      </c>
      <c r="C233" s="103"/>
      <c r="D233" s="113"/>
      <c r="E233" s="103" t="n">
        <f aca="false">E191</f>
        <v>23312.2546853322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2034.36165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1118.49670533223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1118.49670533223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K32" activeCellId="0" sqref="K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18935.4441905013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0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16670.1467407538</v>
      </c>
      <c r="C88" s="93" t="n">
        <f aca="false">B81-B86</f>
        <v>16670.1467407538</v>
      </c>
      <c r="D88" s="93"/>
      <c r="E88" s="113"/>
      <c r="F88" s="31" t="s">
        <v>113</v>
      </c>
      <c r="G88" s="33" t="n">
        <f aca="false">G81-G86</f>
        <v>16029.689207262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607.368994589529</v>
      </c>
      <c r="C89" s="93" t="n">
        <f aca="false">(B88/B87)</f>
        <v>607.368994589529</v>
      </c>
      <c r="D89" s="93"/>
      <c r="E89" s="113"/>
      <c r="F89" s="31" t="s">
        <v>114</v>
      </c>
      <c r="G89" s="33" t="n">
        <f aca="false">(G88/G87)</f>
        <v>546.947155028288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19435.8078268649</v>
      </c>
      <c r="C90" s="93"/>
      <c r="D90" s="93"/>
      <c r="E90" s="113"/>
      <c r="F90" s="31" t="s">
        <v>115</v>
      </c>
      <c r="G90" s="33" t="n">
        <f aca="false">((G89*(G85))+G77)</f>
        <v>17502.3089609052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19435.8078268649</v>
      </c>
      <c r="C92" s="93"/>
      <c r="D92" s="93"/>
      <c r="E92" s="113"/>
      <c r="F92" s="56" t="s">
        <v>117</v>
      </c>
      <c r="G92" s="65" t="n">
        <f aca="false">(G90+G91)</f>
        <v>17502.3089609052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607.368994589529</v>
      </c>
      <c r="C95" s="93"/>
      <c r="D95" s="93"/>
      <c r="E95" s="113"/>
      <c r="F95" s="95" t="s">
        <v>119</v>
      </c>
      <c r="G95" s="96" t="n">
        <f aca="false">G92/(G85)</f>
        <v>546.947155028288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607.368994589529</v>
      </c>
      <c r="C96" s="93"/>
      <c r="D96" s="93"/>
      <c r="E96" s="113"/>
      <c r="F96" s="97" t="s">
        <v>120</v>
      </c>
      <c r="G96" s="98" t="n">
        <f aca="false">G94+G95</f>
        <v>546.947155028288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-18375</v>
      </c>
      <c r="I148" s="1" t="n">
        <f aca="false">(H148-G81)/1.2</f>
        <v>-32854.1666666667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607.368994589529</v>
      </c>
      <c r="B167" s="177" t="str">
        <f aca="false">B94</f>
        <v>0</v>
      </c>
      <c r="C167" s="174"/>
      <c r="D167" s="174"/>
      <c r="E167" s="177" t="n">
        <f aca="false">B96</f>
        <v>607.368994589529</v>
      </c>
      <c r="F167" s="23"/>
      <c r="G167" s="23" t="n">
        <f aca="false">ROUND(G95, 2)</f>
        <v>546.95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25435.8078268649</v>
      </c>
      <c r="B182" s="103" t="str">
        <f aca="false">B114</f>
        <v>239.99</v>
      </c>
      <c r="C182" s="103"/>
      <c r="D182" s="23"/>
      <c r="E182" s="103" t="n">
        <f aca="false">E179+A182+B182+A185</f>
        <v>25685.7978268649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0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-18375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607.368994589529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23502.4</v>
      </c>
      <c r="B201" s="186" t="n">
        <f aca="false">E179+A201+B182+A185</f>
        <v>23752.39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607.368994589529</v>
      </c>
      <c r="B212" s="177" t="str">
        <f aca="false">B167</f>
        <v>0</v>
      </c>
      <c r="C212" s="174"/>
      <c r="D212" s="174"/>
      <c r="E212" s="177" t="n">
        <f aca="false">E167</f>
        <v>607.368994589529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25435.8078268649</v>
      </c>
      <c r="B224" s="103" t="str">
        <f aca="false">B182</f>
        <v>239.99</v>
      </c>
      <c r="C224" s="103"/>
      <c r="D224" s="113"/>
      <c r="E224" s="103" t="n">
        <f aca="false">E182</f>
        <v>25685.7978268649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607.368994589529</v>
      </c>
      <c r="B230" s="103" t="str">
        <f aca="false">B167</f>
        <v>0</v>
      </c>
      <c r="C230" s="186"/>
      <c r="D230" s="186"/>
      <c r="E230" s="103" t="n">
        <f aca="false">E167</f>
        <v>607.368994589529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-18375</v>
      </c>
      <c r="B240" s="103" t="n">
        <f aca="false">B188</f>
        <v>0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-18275.0083333333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1943.40782686494</v>
      </c>
      <c r="C254" s="197"/>
      <c r="D254" s="198" t="s">
        <v>218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2043.3994935316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1943.40782686494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0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2043.3994935316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419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1523.63003276235</v>
      </c>
      <c r="B167" s="177" t="n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-290.065639614106</v>
      </c>
      <c r="B182" s="103" t="str">
        <f aca="false">B114</f>
        <v>199.99</v>
      </c>
      <c r="C182" s="103"/>
      <c r="D182" s="23"/>
      <c r="E182" s="103" t="n">
        <f aca="false">E179+A182+(B182*1.2)+A185</f>
        <v>24209.9183603859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-1117.486</v>
      </c>
      <c r="B201" s="186" t="n">
        <f aca="false">E179+A201+(B182*1.2)+A185</f>
        <v>23382.498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n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-290.065639614106</v>
      </c>
      <c r="B224" s="103" t="str">
        <f aca="false">B182</f>
        <v>199.99</v>
      </c>
      <c r="C224" s="103"/>
      <c r="D224" s="113"/>
      <c r="E224" s="103" t="n">
        <f aca="false">E182</f>
        <v>24209.9183603859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n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816.160380385895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816.160380385895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1523.63003276235</v>
      </c>
      <c r="B167" s="177" t="str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-1490.06563961411</v>
      </c>
      <c r="B182" s="103" t="str">
        <f aca="false">B114</f>
        <v>239.99</v>
      </c>
      <c r="C182" s="103"/>
      <c r="D182" s="23"/>
      <c r="E182" s="103" t="n">
        <f aca="false">E179+A182+B182+A185</f>
        <v>23009.9203603859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201.033316666667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E179+A201+B182+A185</f>
        <v>22182.5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str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-1490.06563961411</v>
      </c>
      <c r="B224" s="103" t="str">
        <f aca="false">B182</f>
        <v>239.99</v>
      </c>
      <c r="C224" s="103"/>
      <c r="D224" s="113"/>
      <c r="E224" s="103" t="n">
        <f aca="false">E182</f>
        <v>23009.9203603859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str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2034.36331666667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816.162047052562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816.162047052562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16561.2666853322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15868.1682206957</v>
      </c>
      <c r="C88" s="93" t="n">
        <f aca="false">B81-B86</f>
        <v>15868.1682206957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1551.11515321202</v>
      </c>
      <c r="C89" s="93" t="n">
        <f aca="false">(B88/B87)</f>
        <v>1551.11515321202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17062.2666853322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17062.2666853322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1551.11515321202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1551.11515321202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1551.11515321202</v>
      </c>
      <c r="B167" s="177" t="str">
        <f aca="false">B94</f>
        <v>0</v>
      </c>
      <c r="C167" s="174"/>
      <c r="D167" s="174"/>
      <c r="E167" s="177" t="n">
        <f aca="false">B96</f>
        <v>1551.11515321202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-1187.72931466777</v>
      </c>
      <c r="B182" s="103" t="str">
        <f aca="false">B114</f>
        <v>199.99</v>
      </c>
      <c r="C182" s="103"/>
      <c r="D182" s="23"/>
      <c r="E182" s="103" t="n">
        <f aca="false">E179+A182+(B182*1.2)+A185</f>
        <v>23312.2546853322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1551.11515321202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E179+A201+(B182*1.2)+A185</f>
        <v>22182.498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1551.11515321202</v>
      </c>
      <c r="B212" s="177" t="str">
        <f aca="false">B167</f>
        <v>0</v>
      </c>
      <c r="C212" s="174"/>
      <c r="D212" s="174"/>
      <c r="E212" s="177" t="n">
        <f aca="false">E167</f>
        <v>1551.11515321202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-1187.72931466777</v>
      </c>
      <c r="B224" s="103" t="str">
        <f aca="false">B182</f>
        <v>199.99</v>
      </c>
      <c r="C224" s="103"/>
      <c r="D224" s="113"/>
      <c r="E224" s="103" t="n">
        <f aca="false">E182</f>
        <v>23312.2546853322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1551.11515321202</v>
      </c>
      <c r="B230" s="103" t="str">
        <f aca="false">B167</f>
        <v>0</v>
      </c>
      <c r="C230" s="186"/>
      <c r="D230" s="186"/>
      <c r="E230" s="103" t="n">
        <f aca="false">E167</f>
        <v>1551.11515321202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1139.75668533223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1118.49670533223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B254</f>
        <v>1139.75668533223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1118.49670533223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279.75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8976.836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9040.20616135539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753.350513446282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753.350513446282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753.350513446282</v>
      </c>
      <c r="B134" s="321" t="n">
        <f aca="false">IF(A111="YES", B95, 0)</f>
        <v>0</v>
      </c>
      <c r="C134" s="325"/>
      <c r="D134" s="321" t="n">
        <f aca="false">B97</f>
        <v>753.350513446282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753.350513446282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753.350513446282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753.350513446282</v>
      </c>
      <c r="B143" s="38" t="n">
        <f aca="false">IF(A111="YES", B95, 0)</f>
        <v>0</v>
      </c>
      <c r="C143" s="317"/>
      <c r="D143" s="38" t="n">
        <f aca="false">B97</f>
        <v>753.350513446282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753.350513446282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753.350513446282</v>
      </c>
      <c r="B177" s="355" t="n">
        <f aca="false">IF(A111="YES", B95, 0)</f>
        <v>0</v>
      </c>
      <c r="C177" s="357"/>
      <c r="D177" s="355" t="n">
        <f aca="false">A177+B177</f>
        <v>753.350513446282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753.350513446282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753.350513446282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753.350513446282</v>
      </c>
      <c r="B186" s="103" t="n">
        <f aca="false">IF(A111="YES", B95, 0)</f>
        <v>0</v>
      </c>
      <c r="C186" s="353"/>
      <c r="D186" s="103" t="n">
        <f aca="false">B97</f>
        <v>753.350513446282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7480.69666666667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7544.06682802205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628.672235668504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628.672235668504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628.672235668504</v>
      </c>
      <c r="B134" s="321" t="n">
        <f aca="false">IF(A111="YES", B95, 0)</f>
        <v>0</v>
      </c>
      <c r="C134" s="326"/>
      <c r="D134" s="321" t="n">
        <f aca="false">B97</f>
        <v>628.672235668504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5658.05012101654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5658.05012101654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628.672235668504</v>
      </c>
      <c r="B143" s="38" t="n">
        <f aca="false">IF(A111="YES", B95, 0)</f>
        <v>0</v>
      </c>
      <c r="C143" s="317"/>
      <c r="D143" s="38" t="n">
        <f aca="false">B97</f>
        <v>628.672235668504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628.672235668504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628.672235668504</v>
      </c>
      <c r="B177" s="355" t="n">
        <f aca="false">IF(A111="YES", B95, 0)</f>
        <v>0</v>
      </c>
      <c r="C177" s="358"/>
      <c r="D177" s="355" t="n">
        <f aca="false">B91</f>
        <v>7480.69666666667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5658.05012101654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5658.05012101654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628.672235668504</v>
      </c>
      <c r="B186" s="103" t="n">
        <f aca="false">IF(A111="YES", B95, 0)</f>
        <v>0</v>
      </c>
      <c r="C186" s="353"/>
      <c r="D186" s="103" t="n">
        <f aca="false">B97</f>
        <v>628.672235668504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990.488037851284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78</v>
      </c>
      <c r="C134" s="326"/>
      <c r="D134" s="321" t="n">
        <f aca="false">B97</f>
        <v>990.488037851284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990.488037851284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78</v>
      </c>
      <c r="C143" s="317"/>
      <c r="D143" s="38" t="n">
        <f aca="false">B97</f>
        <v>990.488037851284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738.491666666667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990.488037851284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78</v>
      </c>
      <c r="C177" s="358"/>
      <c r="D177" s="355" t="n">
        <f aca="false">B97</f>
        <v>990.488037851284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990.488037851284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78</v>
      </c>
      <c r="C186" s="353"/>
      <c r="D186" s="103" t="n">
        <f aca="false">B97</f>
        <v>990.488037851284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738.491666666667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1842.99166666667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1842.99166666667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9060.91666666667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9137.67312088208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761.472760073506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761.472760073506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761.472760073506</v>
      </c>
      <c r="B134" s="321" t="n">
        <f aca="false">IF(A111="YES", B95, 0)</f>
        <v>0</v>
      </c>
      <c r="C134" s="326"/>
      <c r="D134" s="321" t="n">
        <f aca="false">B97</f>
        <v>761.472760073506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761.472760073506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761.472760073506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761.472760073506</v>
      </c>
      <c r="B143" s="38" t="n">
        <f aca="false">IF(A111="YES", B95, 0)</f>
        <v>0</v>
      </c>
      <c r="C143" s="317"/>
      <c r="D143" s="38" t="n">
        <f aca="false">B97</f>
        <v>761.472760073506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761.472760073506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761.472760073506</v>
      </c>
      <c r="B177" s="355" t="n">
        <f aca="false">IF(A111="YES", B95, 0)</f>
        <v>0</v>
      </c>
      <c r="C177" s="358"/>
      <c r="D177" s="355" t="n">
        <f aca="false">B91</f>
        <v>9060.91666666667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761.472760073506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761.472760073506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761.472760073506</v>
      </c>
      <c r="B186" s="103" t="n">
        <f aca="false">IF(A111="YES", B95, 0)</f>
        <v>0</v>
      </c>
      <c r="C186" s="353"/>
      <c r="D186" s="103" t="n">
        <f aca="false">B97</f>
        <v>761.472760073506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912.488037851284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0</v>
      </c>
      <c r="C134" s="326"/>
      <c r="D134" s="321" t="n">
        <f aca="false">B97</f>
        <v>912.488037851284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912.488037851284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0</v>
      </c>
      <c r="C143" s="317"/>
      <c r="D143" s="38" t="n">
        <f aca="false">B97</f>
        <v>912.488037851284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912.488037851284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0</v>
      </c>
      <c r="C177" s="358"/>
      <c r="D177" s="355" t="n">
        <f aca="false">B91</f>
        <v>10873.1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912.488037851284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0</v>
      </c>
      <c r="C186" s="353"/>
      <c r="D186" s="103" t="n">
        <f aca="false">B97</f>
        <v>912.488037851284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720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545.451388888889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720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5040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720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228" colorId="64" zoomScale="85" zoomScaleNormal="85" zoomScalePageLayoutView="100" workbookViewId="0">
      <selection pane="topLeft" activeCell="A202" activeCellId="0" sqref="A20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269.470460472821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249.470460472821</v>
      </c>
      <c r="B36" s="232" t="n">
        <f aca="false">IF(B26="YES", K42, "0.00")</f>
        <v>20</v>
      </c>
      <c r="C36" s="232"/>
      <c r="D36" s="232"/>
      <c r="E36" s="232" t="n">
        <f aca="false">K31</f>
        <v>37500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35684.8466421492</v>
      </c>
      <c r="N39" s="1" t="n">
        <f aca="false">K39-L39</f>
        <v>-17309.8466421492</v>
      </c>
      <c r="P39" s="212"/>
    </row>
    <row r="40" customFormat="false" ht="17.35" hidden="false" customHeight="false" outlineLevel="0" collapsed="false">
      <c r="A40" s="107" t="n">
        <f aca="false">E36*A45/100</f>
        <v>15000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107</v>
      </c>
      <c r="K40" s="2" t="n">
        <f aca="false">(A40)/1.2</f>
        <v>12500</v>
      </c>
      <c r="L40" s="2" t="n">
        <f aca="false">K39-L39</f>
        <v>-17309.8466421492</v>
      </c>
      <c r="N40" s="1" t="n">
        <f aca="false">N38-N39</f>
        <v>20221.5266421492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10235.4053294008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8139.59467059923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249.470460472821</v>
      </c>
      <c r="L47" s="2" t="n">
        <f aca="false">L49-K42</f>
        <v>780</v>
      </c>
      <c r="M47" s="1" t="n">
        <f aca="false">K47-L47</f>
        <v>-530.529539527179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269.470460472821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269.470460472821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4521.28249567169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194.5833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249.470460472821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249.470460472821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269.470460472821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269.470460472821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23349.996</v>
      </c>
      <c r="C81" s="93"/>
      <c r="D81" s="93"/>
      <c r="E81" s="113"/>
      <c r="F81" s="25" t="s">
        <v>106</v>
      </c>
      <c r="G81" s="27" t="n">
        <f aca="false">G158</f>
        <v>23349.996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15000</v>
      </c>
      <c r="C82" s="93"/>
      <c r="D82" s="93"/>
      <c r="E82" s="113"/>
      <c r="F82" s="31" t="s">
        <v>107</v>
      </c>
      <c r="G82" s="33" t="n">
        <f aca="false">IF(A111="YES",A40,0)</f>
        <v>15000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15000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0.089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0.00741666666666667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11496.4174132981</v>
      </c>
      <c r="C86" s="93"/>
      <c r="D86" s="93"/>
      <c r="E86" s="113"/>
      <c r="F86" s="31" t="s">
        <v>111</v>
      </c>
      <c r="G86" s="33" t="n">
        <f aca="false">(G82/((1+G84)^(G85+1)))</f>
        <v>12349.016529922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10147.0177144158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10147.0177144158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30.7264493562845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11853.578586702</v>
      </c>
      <c r="C88" s="93"/>
      <c r="D88" s="93"/>
      <c r="E88" s="113"/>
      <c r="F88" s="31" t="s">
        <v>113</v>
      </c>
      <c r="G88" s="33" t="n">
        <f aca="false">G81-G86</f>
        <v>11000.979470078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385.777687791236</v>
      </c>
      <c r="C89" s="93"/>
      <c r="D89" s="93"/>
      <c r="E89" s="113"/>
      <c r="F89" s="31" t="s">
        <v>114</v>
      </c>
      <c r="G89" s="33" t="n">
        <f aca="false">(G88/G87)</f>
        <v>345.896836700393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13502.2190726932</v>
      </c>
      <c r="C90" s="93"/>
      <c r="D90" s="93"/>
      <c r="E90" s="113"/>
      <c r="F90" s="31" t="s">
        <v>115</v>
      </c>
      <c r="G90" s="33" t="n">
        <f aca="false">((G89*(G85))+G77)</f>
        <v>12106.3892845137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13502.2190726932</v>
      </c>
      <c r="C92" s="93"/>
      <c r="D92" s="93"/>
      <c r="E92" s="113"/>
      <c r="F92" s="56" t="s">
        <v>117</v>
      </c>
      <c r="G92" s="65" t="n">
        <f aca="false">(G90+G91)</f>
        <v>12106.3892845137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IF(B26="YES",((E40/B85)*(1+A108)*1.2*(C45/100)),"0")</f>
        <v>29.6228571428571</v>
      </c>
      <c r="C94" s="93"/>
      <c r="D94" s="93"/>
      <c r="E94" s="113"/>
      <c r="F94" s="88" t="s">
        <v>118</v>
      </c>
      <c r="G94" s="94" t="n">
        <f aca="false">IF(B26="YES",((E40/B85)*(1+A108)*(C45/100)),"0")</f>
        <v>24.6857142857143</v>
      </c>
      <c r="H94" s="33"/>
      <c r="J94" s="88" t="s">
        <v>118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385.777687791236</v>
      </c>
      <c r="C95" s="93"/>
      <c r="D95" s="93"/>
      <c r="E95" s="113"/>
      <c r="F95" s="95" t="s">
        <v>119</v>
      </c>
      <c r="G95" s="96" t="n">
        <f aca="false">G92/(G85)</f>
        <v>345.896836700393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415.400544934093</v>
      </c>
      <c r="C96" s="93"/>
      <c r="D96" s="93"/>
      <c r="E96" s="113"/>
      <c r="F96" s="97" t="s">
        <v>120</v>
      </c>
      <c r="G96" s="98" t="n">
        <f aca="false">G94+G95</f>
        <v>370.582550986107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-17930.555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23349.996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385.777687791236</v>
      </c>
      <c r="B167" s="177" t="n">
        <f aca="false">B94</f>
        <v>29.6228571428571</v>
      </c>
      <c r="C167" s="174"/>
      <c r="D167" s="174"/>
      <c r="E167" s="177" t="n">
        <f aca="false">B96</f>
        <v>415.400544934093</v>
      </c>
      <c r="F167" s="23"/>
      <c r="G167" s="23" t="n">
        <f aca="false">ROUND(G95, 2)</f>
        <v>345.9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23349.996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5152.22307269324</v>
      </c>
      <c r="B182" s="103" t="str">
        <f aca="false">B114</f>
        <v>239.99</v>
      </c>
      <c r="C182" s="103"/>
      <c r="D182" s="23"/>
      <c r="E182" s="103" t="n">
        <f aca="false">E179+A182+B182+A185</f>
        <v>28752.2090726932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IF(A40=0,(E167+A185),(E170+A185))</f>
        <v>15010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194.5833</v>
      </c>
      <c r="C188" s="93"/>
      <c r="D188" s="93"/>
      <c r="E188" s="103" t="n">
        <f aca="false">(E40*A108)*0.1*(C45/100)</f>
        <v>14.4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308.974966666667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415.400544934093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3756.504</v>
      </c>
      <c r="B201" s="186" t="n">
        <f aca="false">E179+A201+B182+A185</f>
        <v>27356.49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385.777687791236</v>
      </c>
      <c r="B212" s="177" t="n">
        <f aca="false">B167</f>
        <v>29.6228571428571</v>
      </c>
      <c r="C212" s="174"/>
      <c r="D212" s="174"/>
      <c r="E212" s="177" t="n">
        <f aca="false">E167</f>
        <v>415.400544934093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23349.996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5152.22307269324</v>
      </c>
      <c r="B224" s="103" t="str">
        <f aca="false">B182</f>
        <v>239.99</v>
      </c>
      <c r="C224" s="103"/>
      <c r="D224" s="113"/>
      <c r="E224" s="103" t="n">
        <f aca="false">E182</f>
        <v>28752.2090726932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385.777687791236</v>
      </c>
      <c r="B230" s="103" t="n">
        <f aca="false">B167</f>
        <v>29.6228571428571</v>
      </c>
      <c r="C230" s="186"/>
      <c r="D230" s="186"/>
      <c r="E230" s="103" t="n">
        <f aca="false">E167</f>
        <v>415.400544934093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15000</v>
      </c>
      <c r="B233" s="103" t="n">
        <f aca="false">E185</f>
        <v>15010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194.5833</v>
      </c>
      <c r="C240" s="93"/>
      <c r="D240" s="93"/>
      <c r="E240" s="103" t="n">
        <f aca="false">E188</f>
        <v>14.4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2142.30496666667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1405.71907269325</v>
      </c>
      <c r="C254" s="197"/>
      <c r="D254" s="198" t="s">
        <v>218</v>
      </c>
      <c r="E254" s="198"/>
      <c r="F254" s="200" t="n">
        <f aca="false">F261+F267+F269+B270+B271</f>
        <v>233.49996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243.991666666667</v>
      </c>
      <c r="C255" s="197"/>
      <c r="D255" s="198" t="s">
        <v>220</v>
      </c>
      <c r="E255" s="198"/>
      <c r="F255" s="200" t="n">
        <f aca="false">(B254-F254)+B255</f>
        <v>1416.21077935991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0.024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0.089</v>
      </c>
      <c r="C260" s="43"/>
      <c r="D260" s="166" t="s">
        <v>217</v>
      </c>
      <c r="E260" s="166"/>
      <c r="F260" s="146" t="n">
        <f aca="false">B254</f>
        <v>1405.71907269325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233.49996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144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1416.21077935991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2160.0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254.060251144968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254.060251144968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36056.0582690271</v>
      </c>
      <c r="N39" s="1" t="n">
        <f aca="false">K39-L39</f>
        <v>-17681.0582690271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-17681.0582690271</v>
      </c>
      <c r="N40" s="1" t="n">
        <f aca="false">N38-N39</f>
        <v>20592.7382690271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8228.1132922795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254.060251144968</v>
      </c>
      <c r="L47" s="2" t="n">
        <f aca="false">L49-K42</f>
        <v>800</v>
      </c>
      <c r="M47" s="1" t="n">
        <f aca="false">K47-L47</f>
        <v>-545.939748855032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254.060251144968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254.060251144968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4178.78656541376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254.060251144968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254.060251144968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254.060251144968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254.060251144968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390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2114.56996666667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247.379094023601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247.379094023601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36405.6324549285</v>
      </c>
      <c r="N39" s="1" t="n">
        <f aca="false">K39-L39</f>
        <v>-18030.6324549285</v>
      </c>
      <c r="P39" s="212"/>
    </row>
    <row r="40" customFormat="false" ht="17.35" hidden="false" customHeight="false" outlineLevel="0" collapsed="false">
      <c r="A40" s="107" t="n">
        <f aca="false">E36*A45/100</f>
        <v>15100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-18030.6324549285</v>
      </c>
      <c r="N40" s="1" t="n">
        <f aca="false">N38-N39</f>
        <v>20942.3124549285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10303.6413649301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8071.35863506989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247.379094023601</v>
      </c>
      <c r="L47" s="2" t="n">
        <f aca="false">L49-K42</f>
        <v>800</v>
      </c>
      <c r="M47" s="1" t="n">
        <f aca="false">K47-L47</f>
        <v>-552.620905976399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247.379094023601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247.379094023601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5371.92174937725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247.379094023601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247.379094023601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247.379094023601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247.379094023601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0.137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0.0114166666666667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10034.4398766693</v>
      </c>
      <c r="C86" s="93"/>
      <c r="D86" s="93"/>
      <c r="E86" s="113"/>
      <c r="F86" s="31" t="s">
        <v>111</v>
      </c>
      <c r="G86" s="33" t="n">
        <f aca="false">(G82/((1+G84)^(G85+1)))</f>
        <v>12431.3433067882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28.719487222345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11715.5561233307</v>
      </c>
      <c r="C88" s="93"/>
      <c r="D88" s="93"/>
      <c r="E88" s="113"/>
      <c r="F88" s="31" t="s">
        <v>113</v>
      </c>
      <c r="G88" s="33" t="n">
        <f aca="false">G81-G86</f>
        <v>9318.65269321182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407.930546692196</v>
      </c>
      <c r="C89" s="93"/>
      <c r="D89" s="93"/>
      <c r="E89" s="113"/>
      <c r="F89" s="31" t="s">
        <v>114</v>
      </c>
      <c r="G89" s="33" t="n">
        <f aca="false">(G88/G87)</f>
        <v>293.000500333514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14277.5691342269</v>
      </c>
      <c r="C90" s="93"/>
      <c r="D90" s="93"/>
      <c r="E90" s="113"/>
      <c r="F90" s="31" t="s">
        <v>115</v>
      </c>
      <c r="G90" s="33" t="n">
        <f aca="false">((G89*(G85))+G77)</f>
        <v>10255.017511673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14277.5691342269</v>
      </c>
      <c r="C92" s="93"/>
      <c r="D92" s="93"/>
      <c r="E92" s="113"/>
      <c r="F92" s="56" t="s">
        <v>117</v>
      </c>
      <c r="G92" s="65" t="n">
        <f aca="false">(G90+G91)</f>
        <v>10255.017511673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407.930546692196</v>
      </c>
      <c r="C95" s="93"/>
      <c r="D95" s="93"/>
      <c r="E95" s="113"/>
      <c r="F95" s="95" t="s">
        <v>119</v>
      </c>
      <c r="G95" s="96" t="n">
        <f aca="false">G92/(G85)</f>
        <v>293.000500333514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407.930546692196</v>
      </c>
      <c r="C96" s="93"/>
      <c r="D96" s="93"/>
      <c r="E96" s="113"/>
      <c r="F96" s="97" t="s">
        <v>120</v>
      </c>
      <c r="G96" s="98" t="n">
        <f aca="false">G94+G95</f>
        <v>293.000500333514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407.930546692196</v>
      </c>
      <c r="B167" s="177" t="str">
        <f aca="false">B94</f>
        <v>0</v>
      </c>
      <c r="C167" s="174"/>
      <c r="D167" s="174"/>
      <c r="E167" s="177" t="n">
        <f aca="false">B96</f>
        <v>407.930546692196</v>
      </c>
      <c r="F167" s="23"/>
      <c r="G167" s="23" t="n">
        <f aca="false">ROUND(G95, 2)</f>
        <v>293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7627.57313422687</v>
      </c>
      <c r="B182" s="103" t="str">
        <f aca="false">B114</f>
        <v>239.99</v>
      </c>
      <c r="C182" s="103"/>
      <c r="D182" s="23"/>
      <c r="E182" s="103" t="n">
        <f aca="false">E179+A182+B182+A185</f>
        <v>29627.5591342269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281.241633333333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407.930546692196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3605.004</v>
      </c>
      <c r="B201" s="186" t="n">
        <f aca="false">E179+A201+B182+A185</f>
        <v>25604.99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407.930546692196</v>
      </c>
      <c r="B212" s="177" t="str">
        <f aca="false">B167</f>
        <v>0</v>
      </c>
      <c r="C212" s="174"/>
      <c r="D212" s="174"/>
      <c r="E212" s="177" t="n">
        <f aca="false">E167</f>
        <v>407.930546692196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7627.57313422687</v>
      </c>
      <c r="B224" s="103" t="str">
        <f aca="false">B182</f>
        <v>239.99</v>
      </c>
      <c r="C224" s="103"/>
      <c r="D224" s="113"/>
      <c r="E224" s="103" t="n">
        <f aca="false">E182</f>
        <v>29627.5591342269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407.930546692196</v>
      </c>
      <c r="B230" s="103" t="str">
        <f aca="false">B167</f>
        <v>0</v>
      </c>
      <c r="C230" s="186"/>
      <c r="D230" s="186"/>
      <c r="E230" s="103" t="n">
        <f aca="false">E167</f>
        <v>407.930546692196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2114.57163333334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4032.56913422688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3915.06084089354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0.137</v>
      </c>
      <c r="C260" s="43"/>
      <c r="D260" s="166" t="s">
        <v>217</v>
      </c>
      <c r="E260" s="166"/>
      <c r="F260" s="146" t="n">
        <f aca="false">B254</f>
        <v>4032.56913422688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3915.06084089354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22449.996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3741.666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18708.33</v>
      </c>
      <c r="C15" s="14" t="n">
        <f aca="false">SUM(C9:C13)</f>
        <v>3741.666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22449.996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18708.33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264.352513843102</v>
      </c>
      <c r="F33" s="232"/>
      <c r="G33" s="232"/>
      <c r="H33" s="47"/>
      <c r="I33" s="2"/>
      <c r="J33" s="34" t="s">
        <v>355</v>
      </c>
      <c r="K33" s="48" t="n">
        <f aca="false">E21</f>
        <v>18708.33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264.352513843102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18708.33</v>
      </c>
      <c r="L39" s="2" t="n">
        <f aca="false">(L47*K46)+K44</f>
        <v>36056.0582690271</v>
      </c>
      <c r="N39" s="1" t="n">
        <f aca="false">K39-L39</f>
        <v>-17347.7282690271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-17347.7282690271</v>
      </c>
      <c r="N40" s="1" t="n">
        <f aca="false">N38-N39</f>
        <v>20259.4082690271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8561.4432922795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264.352513843102</v>
      </c>
      <c r="L47" s="2" t="n">
        <f aca="false">L49-K42</f>
        <v>800</v>
      </c>
      <c r="M47" s="1" t="n">
        <f aca="false">K47-L47</f>
        <v>-535.647486156898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264.352513843102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264.352513843102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3808.26510828092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264.352513843102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264.352513843102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264.352513843102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264.352513843102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18708.33</v>
      </c>
      <c r="C121" s="121" t="n">
        <v>19791.67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22449.996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22449.996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22449.996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18708.33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18708.33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3741.666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22449.996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22449.996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-16874.9966666667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1781.23996666667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10658.6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10733.8422347721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894.486852897674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894.486852897674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894.486852897674</v>
      </c>
      <c r="B128" s="321" t="n">
        <f aca="false">IF(A105="YES", B89, 0)</f>
        <v>0</v>
      </c>
      <c r="C128" s="326"/>
      <c r="D128" s="321" t="n">
        <f aca="false">B91</f>
        <v>894.486852897674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8050.38167607906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8050.38167607906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894.486852897674</v>
      </c>
      <c r="B137" s="38" t="n">
        <f aca="false">IF(A105="YES", B89, 0)</f>
        <v>0</v>
      </c>
      <c r="C137" s="317"/>
      <c r="D137" s="38" t="n">
        <f aca="false">B91</f>
        <v>894.486852897674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720.49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894.486852897674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894.486852897674</v>
      </c>
      <c r="B171" s="355" t="n">
        <f aca="false">IF(A105="YES", B89, 0)</f>
        <v>0</v>
      </c>
      <c r="C171" s="358"/>
      <c r="D171" s="355" t="n">
        <f aca="false">B91</f>
        <v>894.486852897674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8050.38167607906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8050.38167607906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894.486852897674</v>
      </c>
      <c r="B180" s="103" t="n">
        <f aca="false">IF(A105="YES", B89, 0)</f>
        <v>0</v>
      </c>
      <c r="C180" s="353"/>
      <c r="D180" s="103" t="n">
        <f aca="false">B91</f>
        <v>894.486852897674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720.49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1662.99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1662.99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8882.16666666667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8957.40890143875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746.450741786563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811.450741786563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390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746.450741786563</v>
      </c>
      <c r="B128" s="321" t="n">
        <f aca="false">IF(A105="YES", B89, 0)</f>
        <v>65</v>
      </c>
      <c r="C128" s="326"/>
      <c r="D128" s="321" t="n">
        <f aca="false">B91</f>
        <v>811.450741786563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6718.05667607907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7303.05667607907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746.450741786563</v>
      </c>
      <c r="B137" s="38" t="n">
        <f aca="false">IF(A105="YES", B89, 0)</f>
        <v>65</v>
      </c>
      <c r="C137" s="317"/>
      <c r="D137" s="38" t="n">
        <f aca="false">B91</f>
        <v>811.450741786563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738.49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811.450741786563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746.450741786563</v>
      </c>
      <c r="B171" s="355" t="n">
        <f aca="false">IF(A105="YES", B89, 0)</f>
        <v>65</v>
      </c>
      <c r="C171" s="358"/>
      <c r="D171" s="355" t="n">
        <f aca="false">B91</f>
        <v>811.450741786563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6718.05667607907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7303.05667607907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746.450741786563</v>
      </c>
      <c r="B180" s="103" t="n">
        <f aca="false">IF(A105="YES", B89, 0)</f>
        <v>65</v>
      </c>
      <c r="C180" s="353"/>
      <c r="D180" s="103" t="n">
        <f aca="false">B91</f>
        <v>811.450741786563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738.49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1842.99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1842.99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247.379094023601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247.379094023601</v>
      </c>
      <c r="B36" s="103" t="n">
        <f aca="false">IF(B26="YES", H42, "")</f>
        <v>0</v>
      </c>
      <c r="C36" s="221"/>
      <c r="D36" s="184" t="n">
        <f aca="false">H31</f>
        <v>15100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55982.1257724274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15100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12583.3333333333</v>
      </c>
      <c r="I40" s="238" t="n">
        <f aca="false">H39-I39</f>
        <v>-37607.1257724273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10303.6413649301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8071.35863506989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247.379094023601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247.379094023601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247.379094023601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10780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299.444444444444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247.379094023601</v>
      </c>
      <c r="C83" s="473"/>
      <c r="D83" s="215"/>
      <c r="E83" s="466" t="n">
        <f aca="false">B83+E80+E77+E64</f>
        <v>546.823538468045</v>
      </c>
      <c r="F83" s="63"/>
      <c r="G83" s="305" t="s">
        <v>105</v>
      </c>
      <c r="H83" s="306" t="n">
        <f aca="false">H47</f>
        <v>247.379094023601</v>
      </c>
      <c r="I83" s="215"/>
      <c r="J83" s="215"/>
      <c r="K83" s="216"/>
      <c r="L83" s="63"/>
      <c r="M83" s="305" t="s">
        <v>105</v>
      </c>
      <c r="N83" s="306" t="n">
        <f aca="false">H47</f>
        <v>247.379094023601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19685.6473848496</v>
      </c>
      <c r="C85" s="473"/>
      <c r="D85" s="473"/>
      <c r="E85" s="466" t="n">
        <f aca="false">B85/(B58+B57)</f>
        <v>546.823538468045</v>
      </c>
      <c r="F85" s="63"/>
      <c r="G85" s="288" t="s">
        <v>115</v>
      </c>
      <c r="H85" s="131" t="n">
        <f aca="false">((H83*H29)+H81)*1.2</f>
        <v>11965.6768618196</v>
      </c>
      <c r="I85" s="215"/>
      <c r="J85" s="215"/>
      <c r="K85" s="216"/>
      <c r="L85" s="63"/>
      <c r="M85" s="288" t="s">
        <v>115</v>
      </c>
      <c r="N85" s="131" t="n">
        <f aca="false">((N83*H29)+N81)</f>
        <v>9627.64738484963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166.760223913611</v>
      </c>
      <c r="C86" s="473" t="s">
        <v>232</v>
      </c>
      <c r="D86" s="215"/>
      <c r="E86" s="466" t="n">
        <f aca="false">B86/(B58+B57)</f>
        <v>4.63222844204476</v>
      </c>
      <c r="F86" s="63"/>
      <c r="G86" s="214" t="s">
        <v>116</v>
      </c>
      <c r="H86" s="300" t="n">
        <f aca="false">((((H83*H29)+H81))/(1-H70))*H70</f>
        <v>84.4692799846076</v>
      </c>
      <c r="I86" s="215"/>
      <c r="J86" s="215"/>
      <c r="K86" s="216"/>
      <c r="L86" s="63"/>
      <c r="M86" s="214" t="s">
        <v>116</v>
      </c>
      <c r="N86" s="300" t="n">
        <f aca="false">(N85/(1-N70))*N70</f>
        <v>81.557319516677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19852.4076087632</v>
      </c>
      <c r="C87" s="473"/>
      <c r="D87" s="475"/>
      <c r="E87" s="466" t="n">
        <f aca="false">E86+E85</f>
        <v>551.45576691009</v>
      </c>
      <c r="F87" s="63"/>
      <c r="G87" s="285" t="s">
        <v>117</v>
      </c>
      <c r="H87" s="133" t="n">
        <f aca="false">IF(H110="YES",((H85+H86)-K114),(H85+H86))</f>
        <v>12050.1461418042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9709.2047043663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551.45576691009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293.906003458638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236.809870838203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551.45576691009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293.906003458638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236.809870838203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293.906003458638</v>
      </c>
      <c r="H127" s="177" t="n">
        <f aca="false">IF(G105="YES", H89*H57, 0)</f>
        <v>0</v>
      </c>
      <c r="I127" s="177"/>
      <c r="J127" s="334" t="n">
        <f aca="false">H91</f>
        <v>293.906003458638</v>
      </c>
      <c r="K127" s="216"/>
      <c r="L127" s="63"/>
      <c r="M127" s="333" t="n">
        <f aca="false">N90</f>
        <v>236.809870838203</v>
      </c>
      <c r="N127" s="177" t="n">
        <f aca="false">IF(M105="YES", N89*N57, 0)</f>
        <v>0</v>
      </c>
      <c r="O127" s="177"/>
      <c r="P127" s="177" t="n">
        <f aca="false">N91</f>
        <v>236.809870838203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551.45576691009</v>
      </c>
      <c r="B128" s="321" t="n">
        <f aca="false">IF(A105="YES", B89, 0)</f>
        <v>0</v>
      </c>
      <c r="C128" s="325"/>
      <c r="D128" s="321" t="n">
        <f aca="false">B91</f>
        <v>551.45576691009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551.45576691009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1763.43602075183</v>
      </c>
      <c r="H133" s="103" t="n">
        <f aca="false">IF(G105="YES", H89*H57, 0)</f>
        <v>0</v>
      </c>
      <c r="I133" s="221"/>
      <c r="J133" s="184" t="n">
        <f aca="false">H91*H57</f>
        <v>1763.43602075183</v>
      </c>
      <c r="K133" s="216"/>
      <c r="L133" s="63"/>
      <c r="M133" s="185" t="n">
        <f aca="false">N90*N57</f>
        <v>1420.85922502922</v>
      </c>
      <c r="N133" s="103" t="n">
        <f aca="false">IF(M105="YES", N89*N57, 0)</f>
        <v>0</v>
      </c>
      <c r="O133" s="221"/>
      <c r="P133" s="184" t="n">
        <f aca="false">N91*N57</f>
        <v>1420.85922502922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551.45576691009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551.45576691009</v>
      </c>
      <c r="B137" s="38" t="n">
        <f aca="false">IF(A105="YES", B89, 0)</f>
        <v>0</v>
      </c>
      <c r="C137" s="317"/>
      <c r="D137" s="38" t="n">
        <f aca="false">B91</f>
        <v>551.45576691009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540.99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293.906003458638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236.809870838203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551.45576691009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551.45576691009</v>
      </c>
      <c r="B177" s="355" t="n">
        <f aca="false">IF(A105="YES", B89, 0)</f>
        <v>0</v>
      </c>
      <c r="C177" s="357"/>
      <c r="D177" s="355" t="n">
        <f aca="false">B91</f>
        <v>551.45576691009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551.45576691009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551.45576691009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551.45576691009</v>
      </c>
      <c r="B186" s="103" t="n">
        <f aca="false">IF(A105="YES", B89, 0)</f>
        <v>0</v>
      </c>
      <c r="C186" s="353"/>
      <c r="D186" s="103" t="n">
        <f aca="false">B91</f>
        <v>551.45576691009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540.99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9658.99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9658.99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166.760223913611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577.753498373238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577.753498373238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-26150.9095313712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577.753498373238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577.753498373238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577.753498373238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431.8125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341.047619047619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577.753498373238</v>
      </c>
      <c r="C83" s="473"/>
      <c r="D83" s="215"/>
      <c r="E83" s="466" t="n">
        <f aca="false">B83+E80+E77+E64</f>
        <v>912.451911071651</v>
      </c>
      <c r="F83" s="63"/>
      <c r="G83" s="305" t="s">
        <v>105</v>
      </c>
      <c r="H83" s="306" t="n">
        <f aca="false">H47</f>
        <v>577.753498373238</v>
      </c>
      <c r="I83" s="215"/>
      <c r="J83" s="215"/>
      <c r="K83" s="216"/>
      <c r="L83" s="63"/>
      <c r="M83" s="305" t="s">
        <v>105</v>
      </c>
      <c r="N83" s="306" t="n">
        <f aca="false">H47</f>
        <v>577.753498373238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38589.646931676</v>
      </c>
      <c r="C85" s="473"/>
      <c r="D85" s="473"/>
      <c r="E85" s="466" t="n">
        <f aca="false">B85/(B58+B57)</f>
        <v>1102.56134090503</v>
      </c>
      <c r="F85" s="63"/>
      <c r="G85" s="288" t="s">
        <v>115</v>
      </c>
      <c r="H85" s="131" t="n">
        <f aca="false">((H83*H29)+H81)*1.2</f>
        <v>25522.646931676</v>
      </c>
      <c r="I85" s="215"/>
      <c r="J85" s="215"/>
      <c r="K85" s="216"/>
      <c r="L85" s="63"/>
      <c r="M85" s="288" t="s">
        <v>115</v>
      </c>
      <c r="N85" s="131" t="n">
        <f aca="false">((N83*H29)+N81)</f>
        <v>20938.8724430633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272.415821421674</v>
      </c>
      <c r="C86" s="473" t="s">
        <v>232</v>
      </c>
      <c r="D86" s="215"/>
      <c r="E86" s="466" t="n">
        <f aca="false">B86/(B58+B57)</f>
        <v>7.7833091834764</v>
      </c>
      <c r="F86" s="63"/>
      <c r="G86" s="214" t="s">
        <v>116</v>
      </c>
      <c r="H86" s="300" t="n">
        <f aca="false">((((H83*H29)+H81))/(1-H70))*H70</f>
        <v>180.171973095736</v>
      </c>
      <c r="I86" s="215"/>
      <c r="J86" s="215"/>
      <c r="K86" s="216"/>
      <c r="L86" s="63"/>
      <c r="M86" s="214" t="s">
        <v>116</v>
      </c>
      <c r="N86" s="300" t="n">
        <f aca="false">(N85/(1-N70))*N70</f>
        <v>177.376491046523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38862.0627530977</v>
      </c>
      <c r="C87" s="473"/>
      <c r="D87" s="475"/>
      <c r="E87" s="466" t="n">
        <f aca="false">E86+E85</f>
        <v>1110.3446500885</v>
      </c>
      <c r="F87" s="63"/>
      <c r="G87" s="285" t="s">
        <v>117</v>
      </c>
      <c r="H87" s="133" t="n">
        <f aca="false">IF(H110="YES",((H85+H86)-K114),(H85+H86))</f>
        <v>25702.8189047717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21116.2489341098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1110.3446500885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642.570472619293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527.906223352746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1110.3446500885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642.570472619293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527.906223352746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642.570472619293</v>
      </c>
      <c r="H127" s="177" t="n">
        <f aca="false">IF(G105="YES", H89*H57, 0)</f>
        <v>0</v>
      </c>
      <c r="I127" s="177"/>
      <c r="J127" s="334" t="n">
        <f aca="false">H91</f>
        <v>642.570472619293</v>
      </c>
      <c r="K127" s="216"/>
      <c r="L127" s="63"/>
      <c r="M127" s="333" t="n">
        <f aca="false">N90</f>
        <v>527.906223352746</v>
      </c>
      <c r="N127" s="177" t="n">
        <f aca="false">IF(M105="YES", N89*N57, 0)</f>
        <v>0</v>
      </c>
      <c r="O127" s="177"/>
      <c r="P127" s="177" t="n">
        <f aca="false">N91</f>
        <v>527.906223352746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1110.3446500885</v>
      </c>
      <c r="B128" s="321" t="n">
        <f aca="false">IF(A105="YES", B89, 0)</f>
        <v>0</v>
      </c>
      <c r="C128" s="325"/>
      <c r="D128" s="321" t="n">
        <f aca="false">B91</f>
        <v>1110.3446500885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1110.3446500885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3855.42283571576</v>
      </c>
      <c r="H133" s="103" t="n">
        <f aca="false">IF(G105="YES", H89*H57, 0)</f>
        <v>0</v>
      </c>
      <c r="I133" s="221"/>
      <c r="J133" s="184" t="n">
        <f aca="false">H91*H57</f>
        <v>3855.42283571576</v>
      </c>
      <c r="K133" s="216"/>
      <c r="L133" s="63"/>
      <c r="M133" s="185" t="n">
        <f aca="false">N90*N57</f>
        <v>3167.43734011648</v>
      </c>
      <c r="N133" s="103" t="n">
        <f aca="false">IF(M105="YES", N89*N57, 0)</f>
        <v>0</v>
      </c>
      <c r="O133" s="221"/>
      <c r="P133" s="184" t="n">
        <f aca="false">N91*N57</f>
        <v>3167.43734011648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1110.3446500885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1110.3446500885</v>
      </c>
      <c r="B137" s="38" t="n">
        <f aca="false">IF(A105="YES", B89, 0)</f>
        <v>0</v>
      </c>
      <c r="C137" s="317"/>
      <c r="D137" s="38" t="n">
        <f aca="false">B91</f>
        <v>1110.3446500885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931.804166666667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642.570472619293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527.906223352746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1110.3446500885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1110.3446500885</v>
      </c>
      <c r="B177" s="355" t="n">
        <f aca="false">IF(A105="YES", B89, 0)</f>
        <v>0</v>
      </c>
      <c r="C177" s="357"/>
      <c r="D177" s="355" t="n">
        <f aca="false">B91</f>
        <v>1110.3446500885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1110.3446500885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1110.3446500885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1110.3446500885</v>
      </c>
      <c r="B186" s="103" t="n">
        <f aca="false">IF(A105="YES", B89, 0)</f>
        <v>0</v>
      </c>
      <c r="C186" s="353"/>
      <c r="D186" s="103" t="n">
        <f aca="false">B91</f>
        <v>1110.3446500885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931.804166666667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431.8125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9908.17916666667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431.8125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9908.17916666667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272.415821421674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282.626156716418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0</v>
      </c>
      <c r="C134" s="325"/>
      <c r="D134" s="321" t="n">
        <f aca="false">B97</f>
        <v>282.626156716418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2543.63541044776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0</v>
      </c>
      <c r="C143" s="317"/>
      <c r="D143" s="38" t="n">
        <f aca="false">B97</f>
        <v>282.626156716418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282.626156716418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0</v>
      </c>
      <c r="C177" s="357"/>
      <c r="D177" s="355" t="n">
        <f aca="false">A177+B177</f>
        <v>282.626156716418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2543.63541044776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0</v>
      </c>
      <c r="C186" s="353"/>
      <c r="D186" s="103" t="n">
        <f aca="false">B97</f>
        <v>282.626156716418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409</v>
      </c>
      <c r="C44" s="104"/>
      <c r="D44" s="104" t="s">
        <v>409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2806.45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2830.22388059702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235.851990049751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300.851990049751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235.851990049751</v>
      </c>
      <c r="B134" s="321" t="n">
        <f aca="false">IF(A111="YES", B95, 0)</f>
        <v>65</v>
      </c>
      <c r="C134" s="326"/>
      <c r="D134" s="321" t="n">
        <f aca="false">B97</f>
        <v>300.851990049751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2122.66791044776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2707.66791044776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235.851990049751</v>
      </c>
      <c r="B143" s="38" t="n">
        <f aca="false">IF(A111="YES", B95, 0)</f>
        <v>65</v>
      </c>
      <c r="C143" s="317"/>
      <c r="D143" s="38" t="n">
        <f aca="false">B97</f>
        <v>300.851990049751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300.851990049751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235.851990049751</v>
      </c>
      <c r="B177" s="355" t="n">
        <f aca="false">IF(A111="YES", B95, 0)</f>
        <v>65</v>
      </c>
      <c r="C177" s="358"/>
      <c r="D177" s="355" t="n">
        <f aca="false">B91</f>
        <v>2806.45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2122.66791044776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2707.66791044776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235.851990049751</v>
      </c>
      <c r="B186" s="103" t="n">
        <f aca="false">IF(A111="YES", B95, 0)</f>
        <v>65</v>
      </c>
      <c r="C186" s="353"/>
      <c r="D186" s="103" t="n">
        <f aca="false">B97</f>
        <v>300.851990049751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1096.84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3993.09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3993.09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8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/>
      <c r="F13" s="154"/>
      <c r="G13" s="156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427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6000</v>
      </c>
      <c r="C91" s="32"/>
      <c r="D91" s="32"/>
      <c r="E91" s="23"/>
      <c r="F91" s="31" t="s">
        <v>107</v>
      </c>
      <c r="G91" s="33" t="n">
        <f aca="false">IF(A111="YES",A43,0)*1.2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67.03125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2003.71414399417</v>
      </c>
      <c r="C105" s="32"/>
      <c r="D105" s="32"/>
      <c r="E105" s="23" t="s">
        <v>18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/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67.03125</v>
      </c>
      <c r="C176" s="174"/>
      <c r="D176" s="174"/>
      <c r="E176" s="177" t="n">
        <f aca="false">B105</f>
        <v>2003.71414399417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199.99</v>
      </c>
      <c r="C191" s="103"/>
      <c r="D191" s="23"/>
      <c r="E191" s="103" t="n">
        <f aca="false">E188+A191+(B191*1.2)+A194</f>
        <v>68223.8406078134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606.7946875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2003.71414399417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4804.2</v>
      </c>
      <c r="B210" s="186" t="n">
        <f aca="false">ROUND((E188+A210+(B191*1.2)+A194),2)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67.03125</v>
      </c>
      <c r="C221" s="174"/>
      <c r="D221" s="174"/>
      <c r="E221" s="177" t="n">
        <f aca="false">E176</f>
        <v>2003.71414399417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199.99</v>
      </c>
      <c r="C233" s="103"/>
      <c r="D233" s="113"/>
      <c r="E233" s="103" t="n">
        <f aca="false">E191</f>
        <v>68223.8406078134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67.03125</v>
      </c>
      <c r="C239" s="186"/>
      <c r="D239" s="186"/>
      <c r="E239" s="103" t="n">
        <f aca="false">E176</f>
        <v>2003.71414399417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606.7946875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4644.65060781339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594.99</v>
      </c>
      <c r="C264" s="197"/>
      <c r="D264" s="198" t="s">
        <v>220</v>
      </c>
      <c r="E264" s="198"/>
      <c r="F264" s="200" t="n">
        <f aca="false">(B263-F263)+B264</f>
        <v>4690.87498281339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4644.65060781339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4690.87498281339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427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1936.68289399417</v>
      </c>
      <c r="C105" s="32"/>
      <c r="D105" s="32"/>
      <c r="E105" s="23" t="s">
        <v>19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0</v>
      </c>
      <c r="C176" s="174"/>
      <c r="D176" s="174"/>
      <c r="E176" s="177" t="n">
        <f aca="false">B105</f>
        <v>1936.68289399417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239.99</v>
      </c>
      <c r="C191" s="103"/>
      <c r="D191" s="23"/>
      <c r="E191" s="103" t="n">
        <f aca="false">E188+A191+B191+A194</f>
        <v>68223.8426078134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557.296354166667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1936.68289399417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4804.2</v>
      </c>
      <c r="B210" s="186" t="n">
        <f aca="false">E188+A210+B191+A194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0</v>
      </c>
      <c r="C221" s="174"/>
      <c r="D221" s="174"/>
      <c r="E221" s="177" t="n">
        <f aca="false">E176</f>
        <v>1936.68289399417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239.99</v>
      </c>
      <c r="C233" s="103"/>
      <c r="D233" s="113"/>
      <c r="E233" s="103" t="n">
        <f aca="false">E191</f>
        <v>68223.8426078134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0</v>
      </c>
      <c r="C239" s="186"/>
      <c r="D239" s="186"/>
      <c r="E239" s="103" t="n">
        <f aca="false">E176</f>
        <v>1936.68289399417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557.296354166667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4644.65260781341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4195.87864948007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4644.65260781341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4195.87864948007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202.391285687645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152.391285687645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107</v>
      </c>
      <c r="H40" s="238" t="n">
        <f aca="false">A40/1.2</f>
        <v>16666.6666666667</v>
      </c>
      <c r="I40" s="238" t="n">
        <f aca="false">H39-I39</f>
        <v>-38786.3120530432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4935.41495666159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152.391285687645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202.391285687645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202.391285687645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332.094907407407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152.391285687645</v>
      </c>
      <c r="C83" s="473"/>
      <c r="D83" s="215"/>
      <c r="E83" s="466" t="n">
        <f aca="false">B83+E80+E77+E64</f>
        <v>478.313353588879</v>
      </c>
      <c r="F83" s="63"/>
      <c r="G83" s="305" t="s">
        <v>105</v>
      </c>
      <c r="H83" s="306" t="n">
        <f aca="false">H47</f>
        <v>152.391285687645</v>
      </c>
      <c r="I83" s="215"/>
      <c r="J83" s="215"/>
      <c r="K83" s="216"/>
      <c r="L83" s="63"/>
      <c r="M83" s="305" t="s">
        <v>105</v>
      </c>
      <c r="N83" s="306" t="n">
        <f aca="false">H47</f>
        <v>152.391285687645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17441.5029514219</v>
      </c>
      <c r="C85" s="473"/>
      <c r="D85" s="473"/>
      <c r="E85" s="466" t="n">
        <f aca="false">B85/(B58+B57)</f>
        <v>484.486193095052</v>
      </c>
      <c r="F85" s="63"/>
      <c r="G85" s="288" t="s">
        <v>115</v>
      </c>
      <c r="H85" s="131" t="n">
        <f aca="false">((H83*H29)+H81)*1.2</f>
        <v>7862.20354170625</v>
      </c>
      <c r="I85" s="215"/>
      <c r="J85" s="215"/>
      <c r="K85" s="216"/>
      <c r="L85" s="63"/>
      <c r="M85" s="288" t="s">
        <v>115</v>
      </c>
      <c r="N85" s="131" t="n">
        <f aca="false">((N83*H29)+N81)</f>
        <v>6208.08628475521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147.749722460613</v>
      </c>
      <c r="C86" s="473" t="s">
        <v>232</v>
      </c>
      <c r="D86" s="215"/>
      <c r="E86" s="466" t="n">
        <f aca="false">B86/(B58+B57)</f>
        <v>4.10415895723925</v>
      </c>
      <c r="F86" s="63"/>
      <c r="G86" s="214" t="s">
        <v>116</v>
      </c>
      <c r="H86" s="300" t="n">
        <f aca="false">((((H83*H29)+H81))/(1-H70))*H70</f>
        <v>55.5016385558126</v>
      </c>
      <c r="I86" s="215"/>
      <c r="J86" s="215"/>
      <c r="K86" s="216"/>
      <c r="L86" s="63"/>
      <c r="M86" s="214" t="s">
        <v>116</v>
      </c>
      <c r="N86" s="300" t="n">
        <f aca="false">(N85/(1-N70))*N70</f>
        <v>52.589678087882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17589.2526738825</v>
      </c>
      <c r="C87" s="473"/>
      <c r="D87" s="475"/>
      <c r="E87" s="466" t="n">
        <f aca="false">E86+E85</f>
        <v>488.590352052291</v>
      </c>
      <c r="F87" s="63"/>
      <c r="G87" s="285" t="s">
        <v>117</v>
      </c>
      <c r="H87" s="133" t="n">
        <f aca="false">IF(H110="YES",((H85+H86)-K114),(H85+H86))</f>
        <v>7917.70518026207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6260.67596284309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488.590352052291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193.114760494197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152.69941372788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553.590352052291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403.84646781127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328.309169825441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193.114760494197</v>
      </c>
      <c r="H127" s="177" t="n">
        <f aca="false">IF(G105="YES", H89*H57, 0)</f>
        <v>1264.39024390244</v>
      </c>
      <c r="I127" s="177"/>
      <c r="J127" s="334" t="n">
        <f aca="false">H91</f>
        <v>403.84646781127</v>
      </c>
      <c r="K127" s="216"/>
      <c r="L127" s="63"/>
      <c r="M127" s="333" t="n">
        <f aca="false">N90</f>
        <v>152.69941372788</v>
      </c>
      <c r="N127" s="177" t="n">
        <f aca="false">IF(M105="YES", N89*N57, 0)</f>
        <v>1053.65853658537</v>
      </c>
      <c r="O127" s="177"/>
      <c r="P127" s="177" t="n">
        <f aca="false">N91</f>
        <v>328.309169825441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488.590352052291</v>
      </c>
      <c r="B128" s="321" t="n">
        <f aca="false">IF(A105="YES", B89, 0)</f>
        <v>65</v>
      </c>
      <c r="C128" s="325"/>
      <c r="D128" s="321" t="n">
        <f aca="false">B91</f>
        <v>553.590352052291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488.590352052291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1158.68856296518</v>
      </c>
      <c r="H133" s="103" t="n">
        <f aca="false">IF(G105="YES", H89*H57, 0)</f>
        <v>1264.39024390244</v>
      </c>
      <c r="I133" s="221"/>
      <c r="J133" s="184" t="n">
        <f aca="false">H91*H57</f>
        <v>2423.07880686762</v>
      </c>
      <c r="K133" s="216"/>
      <c r="L133" s="63"/>
      <c r="M133" s="185" t="n">
        <f aca="false">N90*N57</f>
        <v>916.196482367282</v>
      </c>
      <c r="N133" s="103" t="n">
        <f aca="false">IF(M105="YES", N89*N57, 0)</f>
        <v>1053.65853658537</v>
      </c>
      <c r="O133" s="221"/>
      <c r="P133" s="184" t="n">
        <f aca="false">N91*N57</f>
        <v>1969.85501895265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553.590352052291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488.590352052291</v>
      </c>
      <c r="B137" s="38" t="n">
        <f aca="false">IF(A105="YES", B89, 0)</f>
        <v>65</v>
      </c>
      <c r="C137" s="317"/>
      <c r="D137" s="38" t="n">
        <f aca="false">B91</f>
        <v>553.590352052291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994.99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403.84646781127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328.309169825441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553.590352052291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488.590352052291</v>
      </c>
      <c r="B177" s="355" t="n">
        <f aca="false">IF(A105="YES", B89, 0)</f>
        <v>65</v>
      </c>
      <c r="C177" s="357"/>
      <c r="D177" s="355" t="n">
        <f aca="false">B91</f>
        <v>553.590352052291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488.590352052291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553.590352052291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488.590352052291</v>
      </c>
      <c r="B186" s="103" t="n">
        <f aca="false">IF(A105="YES", B89, 0)</f>
        <v>65</v>
      </c>
      <c r="C186" s="353"/>
      <c r="D186" s="103" t="n">
        <f aca="false">B91</f>
        <v>553.590352052291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994.99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0.07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10438.99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10438.99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147.749722460613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19837.5</v>
      </c>
      <c r="C7" s="155" t="n">
        <f aca="false">C3-C6</f>
        <v>0</v>
      </c>
      <c r="D7" s="155" t="n">
        <f aca="false">D3-D6</f>
        <v>479.17</v>
      </c>
      <c r="E7" s="155"/>
      <c r="F7" s="155" t="n">
        <f aca="false">F3-F6</f>
        <v>500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245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 t="n">
        <f aca="false">(B7+C7+D7+E3)</f>
        <v>20316.67</v>
      </c>
      <c r="F9" s="152"/>
      <c r="G9" s="136"/>
      <c r="H9" s="443" t="n">
        <f aca="false">B7+D7+F7+H3</f>
        <v>20816.67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21366.67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4273.334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25885.004</v>
      </c>
      <c r="I15" s="2"/>
      <c r="J15" s="17" t="n">
        <f aca="false">H15</f>
        <v>25885.004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25640.004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25885.004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24885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25640.004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23406.6899554715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242.6719125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24885</v>
      </c>
      <c r="C81" s="93"/>
      <c r="D81" s="93"/>
      <c r="E81" s="113"/>
      <c r="F81" s="25" t="s">
        <v>106</v>
      </c>
      <c r="G81" s="27" t="n">
        <f aca="false">B81</f>
        <v>24885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20505.1467407538</v>
      </c>
      <c r="C88" s="93" t="n">
        <f aca="false">B81-B86</f>
        <v>20505.1467407538</v>
      </c>
      <c r="D88" s="93"/>
      <c r="E88" s="113"/>
      <c r="F88" s="31" t="s">
        <v>113</v>
      </c>
      <c r="G88" s="33" t="n">
        <f aca="false">G81-G86</f>
        <v>19864.689207262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747.095424744848</v>
      </c>
      <c r="C89" s="93" t="n">
        <f aca="false">(B88/B87)</f>
        <v>747.095424744848</v>
      </c>
      <c r="D89" s="93"/>
      <c r="E89" s="113"/>
      <c r="F89" s="31" t="s">
        <v>114</v>
      </c>
      <c r="G89" s="33" t="n">
        <f aca="false">(G88/G87)</f>
        <v>677.800742544085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23907.0535918351</v>
      </c>
      <c r="C90" s="93"/>
      <c r="D90" s="93"/>
      <c r="E90" s="113"/>
      <c r="F90" s="31" t="s">
        <v>115</v>
      </c>
      <c r="G90" s="33" t="n">
        <f aca="false">((G89*(G85))+G77)</f>
        <v>21689.6237614107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23907.0535918351</v>
      </c>
      <c r="C92" s="93"/>
      <c r="D92" s="93"/>
      <c r="E92" s="113"/>
      <c r="F92" s="56" t="s">
        <v>117</v>
      </c>
      <c r="G92" s="65" t="n">
        <f aca="false">(G90+G91)</f>
        <v>21689.6237614107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747.095424744848</v>
      </c>
      <c r="C95" s="93"/>
      <c r="D95" s="93"/>
      <c r="E95" s="113"/>
      <c r="F95" s="95" t="s">
        <v>119</v>
      </c>
      <c r="G95" s="96" t="n">
        <f aca="false">G92/(G85)</f>
        <v>677.800742544085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747.095424744848</v>
      </c>
      <c r="C96" s="93"/>
      <c r="D96" s="93"/>
      <c r="E96" s="113"/>
      <c r="F96" s="97" t="s">
        <v>120</v>
      </c>
      <c r="G96" s="98" t="n">
        <f aca="false">G94+G95</f>
        <v>677.800742544085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19837.5</v>
      </c>
      <c r="C121" s="121" t="n">
        <f aca="false">B121</f>
        <v>19837.5</v>
      </c>
      <c r="D121" s="120" t="n">
        <f aca="false">D3</f>
        <v>479.17</v>
      </c>
      <c r="E121" s="121" t="n">
        <f aca="false">D121</f>
        <v>479.17</v>
      </c>
      <c r="F121" s="120" t="n">
        <f aca="false">F3</f>
        <v>500</v>
      </c>
      <c r="G121" s="121" t="n">
        <f aca="false">F121</f>
        <v>500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19837.5</v>
      </c>
      <c r="C125" s="133" t="n">
        <f aca="false">C121-C124</f>
        <v>19837.5</v>
      </c>
      <c r="D125" s="132" t="n">
        <f aca="false">D121-D124</f>
        <v>479.17</v>
      </c>
      <c r="E125" s="133" t="n">
        <f aca="false">E121-E124</f>
        <v>479.17</v>
      </c>
      <c r="F125" s="132" t="n">
        <f aca="false">F121-F124</f>
        <v>500</v>
      </c>
      <c r="G125" s="133" t="n">
        <f aca="false">G121-G124</f>
        <v>500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20816.67</v>
      </c>
      <c r="H135" s="153" t="n">
        <f aca="false">C125+E125+G125+H128</f>
        <v>20816.67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4273.334</v>
      </c>
      <c r="H137" s="33" t="n">
        <f aca="false">(H135+H136)*20%</f>
        <v>4273.334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180</v>
      </c>
      <c r="H139" s="33" t="n">
        <f aca="false">G139</f>
        <v>180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25885.004</v>
      </c>
      <c r="H141" s="157" t="n">
        <f aca="false">(H135+H136+H139+H140+H137)-H138</f>
        <v>25885.004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25885.004</v>
      </c>
      <c r="H147" s="164" t="n">
        <f aca="false">H141-((H144*1.2)+(H145*1.2)+(H146*1.2)+(H142*1.2))</f>
        <v>25885.004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-20737.5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25885.004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747.095424744848</v>
      </c>
      <c r="B167" s="177" t="str">
        <f aca="false">B94</f>
        <v>0</v>
      </c>
      <c r="C167" s="174"/>
      <c r="D167" s="174"/>
      <c r="E167" s="177" t="n">
        <f aca="false">B96</f>
        <v>747.095424744848</v>
      </c>
      <c r="F167" s="23"/>
      <c r="G167" s="23" t="n">
        <f aca="false">ROUND(G95, 2)</f>
        <v>677.8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21366.67</v>
      </c>
      <c r="B173" s="103" t="n">
        <f aca="false">H137</f>
        <v>4273.334</v>
      </c>
      <c r="C173" s="186"/>
      <c r="D173" s="23"/>
      <c r="E173" s="182" t="n">
        <f aca="false">H139+H140</f>
        <v>245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25885.004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25885.004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4022.04959183513</v>
      </c>
      <c r="B182" s="103" t="str">
        <f aca="false">B114</f>
        <v>239.99</v>
      </c>
      <c r="C182" s="103"/>
      <c r="D182" s="23"/>
      <c r="E182" s="103" t="n">
        <f aca="false">E179+A182+B182+A185</f>
        <v>30157.0435918351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6.15360096</v>
      </c>
      <c r="B188" s="103" t="n">
        <f aca="false">(G158*B67)/1.2</f>
        <v>202.22659375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302.218260416667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747.095424744848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1804.596</v>
      </c>
      <c r="B201" s="186" t="n">
        <f aca="false">E179+A201+B182+A185</f>
        <v>27939.59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747.095424744848</v>
      </c>
      <c r="B212" s="177" t="str">
        <f aca="false">B167</f>
        <v>0</v>
      </c>
      <c r="C212" s="174"/>
      <c r="D212" s="174"/>
      <c r="E212" s="177" t="n">
        <f aca="false">E167</f>
        <v>747.095424744848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21366.67</v>
      </c>
      <c r="B215" s="103" t="n">
        <f aca="false">B173</f>
        <v>4273.334</v>
      </c>
      <c r="C215" s="186"/>
      <c r="D215" s="113"/>
      <c r="E215" s="182" t="n">
        <f aca="false">E173</f>
        <v>245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25885.004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25885.004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4022.04959183513</v>
      </c>
      <c r="B224" s="103" t="str">
        <f aca="false">B182</f>
        <v>239.99</v>
      </c>
      <c r="C224" s="103"/>
      <c r="D224" s="113"/>
      <c r="E224" s="103" t="n">
        <f aca="false">E182</f>
        <v>30157.0435918351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747.095424744848</v>
      </c>
      <c r="B230" s="103" t="str">
        <f aca="false">B167</f>
        <v>0</v>
      </c>
      <c r="C230" s="186"/>
      <c r="D230" s="186"/>
      <c r="E230" s="103" t="n">
        <f aca="false">E167</f>
        <v>747.095424744848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18.46080288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6.15360096</v>
      </c>
      <c r="B236" s="103" t="n">
        <f aca="false">E233+A236</f>
        <v>24.61440384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202.22659375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302.218260416667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2227.45359183513</v>
      </c>
      <c r="C254" s="197"/>
      <c r="D254" s="198" t="s">
        <v>218</v>
      </c>
      <c r="E254" s="198"/>
      <c r="F254" s="200" t="n">
        <f aca="false">F261+F267+F269+B270+B271</f>
        <v>242.6719125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2084.7733460018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2227.45359183513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242.6719125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2084.7733460018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428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6000</v>
      </c>
      <c r="C82" s="93"/>
      <c r="D82" s="93"/>
      <c r="E82" s="113"/>
      <c r="F82" s="31" t="s">
        <v>107</v>
      </c>
      <c r="G82" s="33" t="n">
        <f aca="false">IF(A111="YES",D41,0)*1.2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150</v>
      </c>
      <c r="D120" s="116" t="s">
        <v>149</v>
      </c>
      <c r="E120" s="118" t="n">
        <v>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239.99</v>
      </c>
      <c r="C182" s="103"/>
      <c r="D182" s="23"/>
      <c r="E182" s="103" t="n">
        <f aca="false">E179+A182+B182+A185</f>
        <v>68223.8426078134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557.296354166667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E179+A201+B182+A185</f>
        <v>63589.19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239.99</v>
      </c>
      <c r="C224" s="103"/>
      <c r="D224" s="113"/>
      <c r="E224" s="103" t="n">
        <f aca="false">E182</f>
        <v>68223.8426078134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557.296354166667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4644.65260781341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4195.87864948007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4195.87864948007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71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423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963.595031419479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6.336</v>
      </c>
      <c r="C134" s="326"/>
      <c r="D134" s="321" t="n">
        <f aca="false">B97</f>
        <v>963.595031419479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8615.33128277531</v>
      </c>
      <c r="C137" s="317"/>
      <c r="D137" s="38" t="n">
        <f aca="false">IF(A111="YES", B95*B63, 0)</f>
        <v>57.024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8672.35528277531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6.336</v>
      </c>
      <c r="C143" s="317"/>
      <c r="D143" s="38" t="n">
        <f aca="false">B97</f>
        <v>963.595031419479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963.595031419479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6.336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8615.33128277531</v>
      </c>
      <c r="C180" s="353"/>
      <c r="D180" s="103" t="n">
        <f aca="false">IF(A111="YES", B95*B63, 0)</f>
        <v>57.024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8672.35528277531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6.336</v>
      </c>
      <c r="C186" s="353"/>
      <c r="D186" s="103" t="n">
        <f aca="false">B97</f>
        <v>963.595031419479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423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8.2368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1159.70336615571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8.2368</v>
      </c>
      <c r="C134" s="326"/>
      <c r="D134" s="321" t="n">
        <f aca="false">B97</f>
        <v>1159.70336615571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10363.1990954014</v>
      </c>
      <c r="C137" s="317"/>
      <c r="D137" s="38" t="n">
        <f aca="false">IF(A111="YES", B95*B63, 0)</f>
        <v>74.1312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10437.3302954014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8.2368</v>
      </c>
      <c r="C143" s="317"/>
      <c r="D143" s="38" t="n">
        <f aca="false">B97</f>
        <v>1159.70336615571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1080.74246666667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1159.70336615571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8.2368</v>
      </c>
      <c r="C177" s="358"/>
      <c r="D177" s="355" t="n">
        <f aca="false">B91</f>
        <v>13720.74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10363.1990954014</v>
      </c>
      <c r="C180" s="353"/>
      <c r="D180" s="103" t="n">
        <f aca="false">IF(A111="YES", B95*B63, 0)</f>
        <v>74.1312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10437.3302954014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8.2368</v>
      </c>
      <c r="C186" s="353"/>
      <c r="D186" s="103" t="n">
        <f aca="false">B97</f>
        <v>1159.70336615571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1.9008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1080.74246666667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358.999666666667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3832.09966666667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3832.09966666667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19.008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960.900732822375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0</v>
      </c>
      <c r="C134" s="326"/>
      <c r="D134" s="321" t="n">
        <f aca="false">B97</f>
        <v>960.900732822375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8648.10659540137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8648.10659540137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0</v>
      </c>
      <c r="C143" s="317"/>
      <c r="D143" s="38" t="n">
        <f aca="false">B97</f>
        <v>960.900732822375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960.900732822375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8648.10659540137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8648.10659540137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0</v>
      </c>
      <c r="C186" s="353"/>
      <c r="D186" s="103" t="n">
        <f aca="false">B97</f>
        <v>960.900732822375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395</v>
      </c>
      <c r="B41" s="241" t="n">
        <f aca="false">IF(B38="YES", D38+A41, D38)</f>
        <v>560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415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1029.25903141948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72</v>
      </c>
      <c r="C134" s="326"/>
      <c r="D134" s="321" t="n">
        <f aca="false">B97</f>
        <v>1029.25903141948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1029.25903141948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72</v>
      </c>
      <c r="C143" s="317"/>
      <c r="D143" s="38" t="n">
        <f aca="false">B97</f>
        <v>1029.25903141948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14.4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1093.24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1029.25903141948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72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1029.25903141948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72</v>
      </c>
      <c r="C186" s="353"/>
      <c r="D186" s="103" t="n">
        <f aca="false">B97</f>
        <v>1029.25903141948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1093.24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483.99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3957.09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3957.09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500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20816.67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21366.67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4273.334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25885.004</v>
      </c>
      <c r="F15" s="63"/>
      <c r="G15" s="274" t="n">
        <f aca="false">E15</f>
        <v>25885.004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25640.004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25885.004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25640.004</v>
      </c>
      <c r="C67" s="215"/>
      <c r="D67" s="215"/>
      <c r="E67" s="216"/>
      <c r="F67" s="63"/>
      <c r="G67" s="214" t="s">
        <v>14</v>
      </c>
      <c r="H67" s="291" t="n">
        <f aca="false">G18</f>
        <v>25640.004</v>
      </c>
      <c r="I67" s="215"/>
      <c r="J67" s="215"/>
      <c r="K67" s="216"/>
      <c r="L67" s="63"/>
      <c r="M67" s="214" t="s">
        <v>14</v>
      </c>
      <c r="N67" s="291" t="n">
        <f aca="false">G18</f>
        <v>25640.004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1794.80028</v>
      </c>
      <c r="C70" s="215" t="n">
        <v>10000.0</v>
      </c>
      <c r="D70" s="291" t="n">
        <f aca="false">B70-A149</f>
        <v>1794.80028</v>
      </c>
      <c r="E70" s="216" t="n">
        <f aca="false">D70/12</f>
        <v>149.56669</v>
      </c>
      <c r="F70" s="63"/>
      <c r="G70" s="285" t="s">
        <v>91</v>
      </c>
      <c r="H70" s="133" t="n">
        <f aca="false">H67*H69</f>
        <v>1794.80028</v>
      </c>
      <c r="I70" s="215"/>
      <c r="J70" s="291" t="n">
        <f aca="false">H70-G151</f>
        <v>1794.80028</v>
      </c>
      <c r="K70" s="216"/>
      <c r="L70" s="63"/>
      <c r="M70" s="285" t="s">
        <v>91</v>
      </c>
      <c r="N70" s="133" t="n">
        <f aca="false">N67*N69</f>
        <v>1794.80028</v>
      </c>
      <c r="O70" s="215"/>
      <c r="P70" s="291" t="n">
        <f aca="false">N70-M151</f>
        <v>1794.80028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256.40004</v>
      </c>
      <c r="C73" s="215"/>
      <c r="D73" s="291"/>
      <c r="E73" s="216"/>
      <c r="F73" s="63"/>
      <c r="G73" s="285" t="s">
        <v>94</v>
      </c>
      <c r="H73" s="133" t="n">
        <f aca="false">H67*H72</f>
        <v>128.20002</v>
      </c>
      <c r="I73" s="215"/>
      <c r="J73" s="291"/>
      <c r="K73" s="216"/>
      <c r="L73" s="63"/>
      <c r="M73" s="285" t="s">
        <v>94</v>
      </c>
      <c r="N73" s="133" t="n">
        <f aca="false">N67*N72</f>
        <v>128.20002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2498.13361333333</v>
      </c>
      <c r="C87" s="215"/>
      <c r="D87" s="215"/>
      <c r="E87" s="216"/>
      <c r="F87" s="63"/>
      <c r="G87" s="303" t="s">
        <v>103</v>
      </c>
      <c r="H87" s="304" t="n">
        <f aca="false">SUM(J70:J86)</f>
        <v>4921.30028</v>
      </c>
      <c r="I87" s="215"/>
      <c r="J87" s="215"/>
      <c r="K87" s="216"/>
      <c r="L87" s="63"/>
      <c r="M87" s="303" t="s">
        <v>103</v>
      </c>
      <c r="N87" s="304" t="n">
        <f aca="false">SUM(P70:P86)</f>
        <v>4908.80028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208.177801111111</v>
      </c>
      <c r="C88" s="215"/>
      <c r="D88" s="215"/>
      <c r="E88" s="216"/>
      <c r="F88" s="63"/>
      <c r="G88" s="214" t="s">
        <v>104</v>
      </c>
      <c r="H88" s="300" t="n">
        <f aca="false">H87/H29</f>
        <v>410.108356666667</v>
      </c>
      <c r="I88" s="215"/>
      <c r="J88" s="215"/>
      <c r="K88" s="216"/>
      <c r="L88" s="63"/>
      <c r="M88" s="214" t="s">
        <v>104</v>
      </c>
      <c r="N88" s="300" t="n">
        <f aca="false">N87/H29</f>
        <v>409.06669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10212.160336</v>
      </c>
      <c r="C91" s="215"/>
      <c r="D91" s="215"/>
      <c r="E91" s="216"/>
      <c r="F91" s="63"/>
      <c r="G91" s="288" t="s">
        <v>115</v>
      </c>
      <c r="H91" s="131" t="n">
        <f aca="false">((H89*H29)+H87)*1.2</f>
        <v>13119.960336</v>
      </c>
      <c r="I91" s="215"/>
      <c r="J91" s="215"/>
      <c r="K91" s="216"/>
      <c r="L91" s="63"/>
      <c r="M91" s="288" t="s">
        <v>115</v>
      </c>
      <c r="N91" s="131" t="n">
        <f aca="false">((N89*H29)+N87)</f>
        <v>10920.80028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72.0906840984268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92.6177111254538</v>
      </c>
      <c r="I92" s="215"/>
      <c r="J92" s="215"/>
      <c r="K92" s="216"/>
      <c r="L92" s="63"/>
      <c r="M92" s="214" t="s">
        <v>116</v>
      </c>
      <c r="N92" s="300" t="n">
        <f aca="false">(N91/(1-N76))*N76</f>
        <v>92.5118216538927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10284.2510200984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15212.5780471255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13013.3121016539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857.020918341535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857.020918341535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857.020918341535</v>
      </c>
      <c r="B134" s="321" t="n">
        <f aca="false">IF(A111="YES", B95, 0)</f>
        <v>0</v>
      </c>
      <c r="C134" s="326"/>
      <c r="D134" s="321" t="n">
        <f aca="false">B97</f>
        <v>857.020918341535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857.020918341535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857.020918341535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0.155310024</v>
      </c>
      <c r="H142" s="103" t="n">
        <f aca="false">IF(G111="YES", E15*0.000002, 0)</f>
        <v>0.051770008</v>
      </c>
      <c r="I142" s="103"/>
      <c r="J142" s="103" t="n">
        <f aca="false">G142+H142</f>
        <v>0.207080032</v>
      </c>
      <c r="K142" s="105"/>
      <c r="L142" s="63"/>
      <c r="M142" s="111" t="n">
        <f aca="false">E15*0.000006</f>
        <v>0.155310024</v>
      </c>
      <c r="N142" s="103" t="n">
        <f aca="false">IF(M111="YES", E15*0.000002, 0)</f>
        <v>0.051770008</v>
      </c>
      <c r="O142" s="103"/>
      <c r="P142" s="103" t="n">
        <f aca="false">M142+N142</f>
        <v>0.207080032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857.020918341535</v>
      </c>
      <c r="B143" s="38" t="n">
        <f aca="false">IF(A111="YES", B95, 0)</f>
        <v>0</v>
      </c>
      <c r="C143" s="317"/>
      <c r="D143" s="38" t="n">
        <f aca="false">B97</f>
        <v>857.020918341535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106.83335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106.83335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18.46080288</v>
      </c>
      <c r="B146" s="343" t="n">
        <f aca="false">G18*0.000002 *1.2*100</f>
        <v>6.15360096</v>
      </c>
      <c r="C146" s="317"/>
      <c r="D146" s="343" t="n">
        <f aca="false">A146+B146</f>
        <v>24.61440384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1326.82135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1286.82335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256.40004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356.391706666667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857.020918341535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857.020918341535</v>
      </c>
      <c r="B177" s="355" t="n">
        <f aca="false">IF(A111="YES", B95, 0)</f>
        <v>0</v>
      </c>
      <c r="C177" s="358"/>
      <c r="D177" s="355" t="n">
        <f aca="false">B97</f>
        <v>857.020918341535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857.020918341535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857.020918341535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857.020918341535</v>
      </c>
      <c r="B186" s="103" t="n">
        <f aca="false">IF(A111="YES", B95, 0)</f>
        <v>0</v>
      </c>
      <c r="C186" s="353"/>
      <c r="D186" s="103" t="n">
        <f aca="false">B97</f>
        <v>857.020918341535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18.46080288</v>
      </c>
      <c r="B189" s="365" t="n">
        <f aca="false">G18*0.000002 *1.2*100</f>
        <v>6.15360096</v>
      </c>
      <c r="C189" s="353"/>
      <c r="D189" s="365" t="n">
        <f aca="false">A189+B189</f>
        <v>24.61440384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256.40004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356.391706666667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1794.80028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256.40004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1638.39190666667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1794.80028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256.40004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1638.39190666667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72.0906840984268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1020.90073282237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60</v>
      </c>
      <c r="C134" s="326"/>
      <c r="D134" s="321" t="n">
        <f aca="false">B97</f>
        <v>1020.90073282237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1020.90073282237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60</v>
      </c>
      <c r="C143" s="317"/>
      <c r="D143" s="38" t="n">
        <f aca="false">B97</f>
        <v>1020.90073282237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1090.84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1020.90073282237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1020.90073282237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60</v>
      </c>
      <c r="C186" s="353"/>
      <c r="D186" s="103" t="n">
        <f aca="false">B97</f>
        <v>1020.90073282237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400</v>
      </c>
      <c r="C197" s="103"/>
      <c r="D197" s="103" t="n">
        <f aca="false">IF(A111="YES", (A41/100*B111)*B131, 0)*0.1</f>
        <v>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1090.84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3933.09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3933.09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398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7020.0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746.0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1409.77228681558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1342.78228681558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29633.704980077</v>
      </c>
      <c r="N39" s="1" t="n">
        <f aca="false">K39-L39</f>
        <v>19253.795019923</v>
      </c>
      <c r="P39" s="212"/>
    </row>
    <row r="40" customFormat="false" ht="17.35" hidden="false" customHeight="false" outlineLevel="0" collapsed="false">
      <c r="A40" s="107" t="n">
        <f aca="false">E36*A45/100</f>
        <v>0.0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107</v>
      </c>
      <c r="K40" s="2" t="n">
        <f aca="false">(A40)/1.2</f>
        <v>8000</v>
      </c>
      <c r="L40" s="2" t="n">
        <f aca="false">K39-L39</f>
        <v>19253.795019923</v>
      </c>
      <c r="N40" s="1" t="n">
        <f aca="false">N38-N39</f>
        <v>-16342.115019923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6488.63165892378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42398.8683410762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1342.78228681558</v>
      </c>
      <c r="L47" s="2" t="n">
        <f aca="false">L49-K42</f>
        <v>733.01</v>
      </c>
      <c r="M47" s="1" t="n">
        <f aca="false">K47-L47</f>
        <v>609.772286815577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1409.77228681558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1409.77228681558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25219.5170767464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4216.24832209643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-218.556074435291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-218.556074435291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1342.78228681558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1342.78228681558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1409.77228681558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1409.77228681558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9600</v>
      </c>
      <c r="C82" s="93"/>
      <c r="D82" s="93"/>
      <c r="E82" s="113"/>
      <c r="F82" s="31" t="s">
        <v>107</v>
      </c>
      <c r="G82" s="33" t="n">
        <f aca="false">IF(A111="YES",A40,0)</f>
        <v>9600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6776.7763115859</v>
      </c>
      <c r="C86" s="93"/>
      <c r="D86" s="93"/>
      <c r="E86" s="113"/>
      <c r="F86" s="31" t="s">
        <v>111</v>
      </c>
      <c r="G86" s="33" t="n">
        <f aca="false">(G82/((1+G84)^(G85+1)))</f>
        <v>7831.77841232101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60965.2196884141</v>
      </c>
      <c r="C88" s="93"/>
      <c r="D88" s="93"/>
      <c r="E88" s="113"/>
      <c r="F88" s="31" t="s">
        <v>113</v>
      </c>
      <c r="G88" s="33" t="n">
        <f aca="false">G81-G86</f>
        <v>59910.217587679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2124.02638574387</v>
      </c>
      <c r="C89" s="93"/>
      <c r="D89" s="93"/>
      <c r="E89" s="113"/>
      <c r="F89" s="31" t="s">
        <v>114</v>
      </c>
      <c r="G89" s="33" t="n">
        <f aca="false">(G88/G87)</f>
        <v>1947.69326671191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72216.8971152916</v>
      </c>
      <c r="C90" s="93"/>
      <c r="D90" s="93"/>
      <c r="E90" s="113"/>
      <c r="F90" s="31" t="s">
        <v>115</v>
      </c>
      <c r="G90" s="33" t="n">
        <f aca="false">((G89*(G85))+G77)</f>
        <v>66221.5710682051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72216.8971152916</v>
      </c>
      <c r="C92" s="93"/>
      <c r="D92" s="93"/>
      <c r="E92" s="113"/>
      <c r="F92" s="56" t="s">
        <v>117</v>
      </c>
      <c r="G92" s="65" t="n">
        <f aca="false">(G90+G91)</f>
        <v>66221.5710682051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89.6483823529412</v>
      </c>
      <c r="C94" s="93"/>
      <c r="D94" s="93"/>
      <c r="E94" s="113"/>
      <c r="F94" s="88" t="s">
        <v>118</v>
      </c>
      <c r="G94" s="94" t="n">
        <f aca="false">IF(B26="YES",((E40/B85)*(1+A108)*(C45/100)),"0")</f>
        <v>89.6483823529412</v>
      </c>
      <c r="H94" s="33"/>
      <c r="J94" s="88" t="s">
        <v>118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99.3028235294117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2124.02638574387</v>
      </c>
      <c r="C95" s="93"/>
      <c r="D95" s="93"/>
      <c r="E95" s="113"/>
      <c r="F95" s="95" t="s">
        <v>119</v>
      </c>
      <c r="G95" s="96" t="n">
        <f aca="false">G92/(G85)</f>
        <v>1947.69326671191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2213.67476809681</v>
      </c>
      <c r="C96" s="93"/>
      <c r="D96" s="93"/>
      <c r="E96" s="113"/>
      <c r="F96" s="97" t="s">
        <v>120</v>
      </c>
      <c r="G96" s="98" t="n">
        <f aca="false">G94+G95</f>
        <v>2037.34164906486</v>
      </c>
      <c r="H96" s="33"/>
      <c r="J96" s="97" t="s">
        <v>120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390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2124.02638574387</v>
      </c>
      <c r="B167" s="177" t="n">
        <f aca="false">B94</f>
        <v>89.6483823529412</v>
      </c>
      <c r="C167" s="174"/>
      <c r="D167" s="174"/>
      <c r="E167" s="177" t="n">
        <f aca="false">B96</f>
        <v>2213.67476809681</v>
      </c>
      <c r="F167" s="23"/>
      <c r="G167" s="23" t="n">
        <f aca="false">ROUND(G95, 2)</f>
        <v>1947.69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99.3028235294117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14074.9011152916</v>
      </c>
      <c r="B182" s="103" t="str">
        <f aca="false">B114</f>
        <v>199.99</v>
      </c>
      <c r="C182" s="103"/>
      <c r="D182" s="23"/>
      <c r="E182" s="103" t="n">
        <f aca="false">E179+A182+(B182*1.2)+A185</f>
        <v>82066.8851152916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70.3395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723.085370138889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2213.67476809681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8079.46400000001</v>
      </c>
      <c r="B201" s="186" t="n">
        <f aca="false">E179+A201+(B182*1.2)+A185</f>
        <v>76071.448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2124.02638574387</v>
      </c>
      <c r="B212" s="177" t="n">
        <f aca="false">B167</f>
        <v>89.6483823529412</v>
      </c>
      <c r="C212" s="174"/>
      <c r="D212" s="174"/>
      <c r="E212" s="177" t="n">
        <f aca="false">E167</f>
        <v>2213.67476809681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14074.9011152916</v>
      </c>
      <c r="B224" s="103" t="str">
        <f aca="false">B182</f>
        <v>199.99</v>
      </c>
      <c r="C224" s="103"/>
      <c r="D224" s="113"/>
      <c r="E224" s="103" t="n">
        <f aca="false">E182</f>
        <v>82066.8851152916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2124.02638574387</v>
      </c>
      <c r="B230" s="103" t="n">
        <f aca="false">B167</f>
        <v>89.6483823529412</v>
      </c>
      <c r="C230" s="186"/>
      <c r="D230" s="186"/>
      <c r="E230" s="103" t="n">
        <f aca="false">E167</f>
        <v>2213.67476809681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70.3395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10478.9153701389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6005.43711529161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803.385</v>
      </c>
      <c r="C255" s="197"/>
      <c r="D255" s="198" t="s">
        <v>220</v>
      </c>
      <c r="E255" s="198"/>
      <c r="F255" s="200" t="n">
        <f aca="false">(B254-F254)+B255</f>
        <v>6145.51507112495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6005.43711529161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6145.51507112495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3945.0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1424.98089256311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1424.98089256311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29153.4873907684</v>
      </c>
      <c r="N39" s="1" t="n">
        <f aca="false">K39-L39</f>
        <v>19734.0126092316</v>
      </c>
      <c r="P39" s="212"/>
    </row>
    <row r="40" customFormat="false" ht="17.35" hidden="false" customHeight="false" outlineLevel="0" collapsed="false">
      <c r="A40" s="107" t="n">
        <f aca="false">E36*A45/100</f>
        <v>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19734.0126092316</v>
      </c>
      <c r="N40" s="1" t="n">
        <f aca="false">N38-N39</f>
        <v>-16822.3326092316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3893.17899535427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44994.3210046457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1424.98089256311</v>
      </c>
      <c r="L47" s="2" t="n">
        <f aca="false">L49-K42</f>
        <v>800</v>
      </c>
      <c r="M47" s="1" t="n">
        <f aca="false">K47-L47</f>
        <v>624.980892563105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1424.98089256311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1424.98089256311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25553.5623103921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1339.29712093296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16794.6108050519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62.0513278136423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1424.98089256311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1424.98089256311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1424.98089256311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1424.98089256311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4066.06578695154</v>
      </c>
      <c r="C86" s="93"/>
      <c r="D86" s="93"/>
      <c r="E86" s="113"/>
      <c r="F86" s="31" t="s">
        <v>111</v>
      </c>
      <c r="G86" s="33" t="n">
        <f aca="false">(G82/((1+G84)^(G85+1)))</f>
        <v>4699.06704739261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63675.9302130485</v>
      </c>
      <c r="C88" s="93"/>
      <c r="D88" s="93"/>
      <c r="E88" s="113"/>
      <c r="F88" s="31" t="s">
        <v>113</v>
      </c>
      <c r="G88" s="33" t="n">
        <f aca="false">G81-G86</f>
        <v>63042.9289526074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2218.46745735591</v>
      </c>
      <c r="C89" s="93"/>
      <c r="D89" s="93"/>
      <c r="E89" s="113"/>
      <c r="F89" s="31" t="s">
        <v>114</v>
      </c>
      <c r="G89" s="33" t="n">
        <f aca="false">(G88/G87)</f>
        <v>2049.53834552661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75427.8935501008</v>
      </c>
      <c r="C90" s="93"/>
      <c r="D90" s="93"/>
      <c r="E90" s="113"/>
      <c r="F90" s="31" t="s">
        <v>115</v>
      </c>
      <c r="G90" s="33" t="n">
        <f aca="false">((G89*(G85))+G77)</f>
        <v>69684.3037479049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75427.8935501008</v>
      </c>
      <c r="C92" s="93"/>
      <c r="D92" s="93"/>
      <c r="E92" s="113"/>
      <c r="F92" s="56" t="s">
        <v>117</v>
      </c>
      <c r="G92" s="65" t="n">
        <f aca="false">(G90+G91)</f>
        <v>69684.3037479049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2218.46745735591</v>
      </c>
      <c r="C95" s="93"/>
      <c r="D95" s="93"/>
      <c r="E95" s="113"/>
      <c r="F95" s="95" t="s">
        <v>119</v>
      </c>
      <c r="G95" s="96" t="n">
        <f aca="false">G92/(G85)</f>
        <v>2049.53834552661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2218.46745735591</v>
      </c>
      <c r="C96" s="93"/>
      <c r="D96" s="93"/>
      <c r="E96" s="113"/>
      <c r="F96" s="97" t="s">
        <v>120</v>
      </c>
      <c r="G96" s="98" t="n">
        <f aca="false">G94+G95</f>
        <v>2049.53834552661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2218.46745735591</v>
      </c>
      <c r="B167" s="177" t="str">
        <f aca="false">B94</f>
        <v>0</v>
      </c>
      <c r="C167" s="174"/>
      <c r="D167" s="174"/>
      <c r="E167" s="177" t="n">
        <f aca="false">B96</f>
        <v>2218.46745735591</v>
      </c>
      <c r="F167" s="23"/>
      <c r="G167" s="23" t="n">
        <f aca="false">ROUND(G95, 2)</f>
        <v>2049.54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13445.8975501008</v>
      </c>
      <c r="B182" s="103" t="str">
        <f aca="false">B114</f>
        <v>239.99</v>
      </c>
      <c r="C182" s="103"/>
      <c r="D182" s="23"/>
      <c r="E182" s="103" t="n">
        <f aca="false">E179+A182+B182+A185</f>
        <v>81437.8835501008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B68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652.747536805556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2218.46745735591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7702.364</v>
      </c>
      <c r="B201" s="186" t="n">
        <f aca="false">E179+A201+B182+A185</f>
        <v>75694.35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2218.46745735591</v>
      </c>
      <c r="B212" s="177" t="str">
        <f aca="false">B167</f>
        <v>0</v>
      </c>
      <c r="C212" s="174"/>
      <c r="D212" s="174"/>
      <c r="E212" s="177" t="n">
        <f aca="false">E167</f>
        <v>2218.46745735591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13445.8975501008</v>
      </c>
      <c r="B224" s="103" t="str">
        <f aca="false">B182</f>
        <v>239.99</v>
      </c>
      <c r="C224" s="103"/>
      <c r="D224" s="113"/>
      <c r="E224" s="103" t="n">
        <f aca="false">E182</f>
        <v>81437.8835501008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2218.46745735591</v>
      </c>
      <c r="B230" s="103" t="str">
        <f aca="false">B167</f>
        <v>0</v>
      </c>
      <c r="C230" s="186"/>
      <c r="D230" s="186"/>
      <c r="E230" s="103" t="n">
        <f aca="false">E167</f>
        <v>2218.46745735591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10408.5775368056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5753.53355010082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5190.21817260082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5753.53355010082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5190.21817260082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5260.0</v>
      </c>
      <c r="P31" s="212"/>
    </row>
    <row r="32" customFormat="false" ht="33.25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3697.0499999999997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1464.27158968934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1383.88158968934</v>
      </c>
      <c r="B36" s="232" t="n">
        <f aca="false">IF(B26="YES", K42, "0.00")</f>
        <v>80.39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27912.868482669</v>
      </c>
      <c r="N39" s="1" t="n">
        <f aca="false">K39-L39</f>
        <v>20974.631517331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107</v>
      </c>
      <c r="K40" s="2" t="n">
        <f aca="false">(A40)/1.2</f>
        <v>6400</v>
      </c>
      <c r="L40" s="2" t="n">
        <f aca="false">K39-L39</f>
        <v>20974.631517331</v>
      </c>
      <c r="N40" s="1" t="n">
        <f aca="false">N38-N39</f>
        <v>-18062.951517331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5190.90532713903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43696.594672861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1383.88158968934</v>
      </c>
      <c r="L47" s="2" t="n">
        <f aca="false">L49-K42</f>
        <v>719.61</v>
      </c>
      <c r="M47" s="1" t="n">
        <f aca="false">K47-L47</f>
        <v>664.271589689341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1464.27158968934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1464.27158968934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27281.8340265515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2777.7727215147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16654.3071039274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-78.2523733108101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565.811425694445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1383.88158968934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1383.88158968934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1464.27158968934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1464.27158968934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69341.996</v>
      </c>
      <c r="C81" s="93"/>
      <c r="D81" s="93"/>
      <c r="E81" s="113"/>
      <c r="F81" s="25" t="s">
        <v>106</v>
      </c>
      <c r="G81" s="27" t="n">
        <f aca="false">G158</f>
        <v>69341.996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7680</v>
      </c>
      <c r="C82" s="93"/>
      <c r="D82" s="93"/>
      <c r="E82" s="113"/>
      <c r="F82" s="31" t="s">
        <v>107</v>
      </c>
      <c r="G82" s="33" t="n">
        <f aca="false">IF(A111="YES",A40,0)</f>
        <v>7680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5421.42104926872</v>
      </c>
      <c r="C86" s="93"/>
      <c r="D86" s="93"/>
      <c r="E86" s="113"/>
      <c r="F86" s="31" t="s">
        <v>111</v>
      </c>
      <c r="G86" s="33" t="n">
        <f aca="false">(G82/((1+G84)^(G85+1)))</f>
        <v>6265.42272985681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63920.5749507313</v>
      </c>
      <c r="C88" s="93"/>
      <c r="D88" s="93"/>
      <c r="E88" s="113"/>
      <c r="F88" s="31" t="s">
        <v>113</v>
      </c>
      <c r="G88" s="33" t="n">
        <f aca="false">G81-G86</f>
        <v>63076.5732701432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2226.99087251995</v>
      </c>
      <c r="C89" s="93"/>
      <c r="D89" s="93"/>
      <c r="E89" s="113"/>
      <c r="F89" s="31" t="s">
        <v>114</v>
      </c>
      <c r="G89" s="33" t="n">
        <f aca="false">(G88/G87)</f>
        <v>2050.63212908084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75717.6896656784</v>
      </c>
      <c r="C90" s="93"/>
      <c r="D90" s="93"/>
      <c r="E90" s="113"/>
      <c r="F90" s="31" t="s">
        <v>115</v>
      </c>
      <c r="G90" s="33" t="n">
        <f aca="false">((G89*(G85))+G77)</f>
        <v>69721.4923887486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75717.6896656784</v>
      </c>
      <c r="C92" s="93"/>
      <c r="D92" s="93"/>
      <c r="E92" s="113"/>
      <c r="F92" s="56" t="s">
        <v>117</v>
      </c>
      <c r="G92" s="65" t="n">
        <f aca="false">(G90+G91)</f>
        <v>69721.4923887486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n">
        <f aca="false">IF(B26="YES",((E40/B85)*(1+A108)*1.2*(C45/100)),"0")</f>
        <v>129.096882352941</v>
      </c>
      <c r="C94" s="93"/>
      <c r="D94" s="93"/>
      <c r="E94" s="113"/>
      <c r="F94" s="88" t="s">
        <v>118</v>
      </c>
      <c r="G94" s="94" t="n">
        <f aca="false">IF(B26="YES",((E40/B85)*(1+A108)*(C45/100)),"0")</f>
        <v>107.580735294118</v>
      </c>
      <c r="H94" s="33"/>
      <c r="J94" s="88" t="s">
        <v>118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2226.99087251995</v>
      </c>
      <c r="C95" s="93"/>
      <c r="D95" s="93"/>
      <c r="E95" s="113"/>
      <c r="F95" s="95" t="s">
        <v>119</v>
      </c>
      <c r="G95" s="96" t="n">
        <f aca="false">G92/(G85)</f>
        <v>2050.63212908084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2356.08775487289</v>
      </c>
      <c r="C96" s="93"/>
      <c r="D96" s="93"/>
      <c r="E96" s="113"/>
      <c r="F96" s="97" t="s">
        <v>120</v>
      </c>
      <c r="G96" s="98" t="n">
        <f aca="false">G94+G95</f>
        <v>2158.21286437496</v>
      </c>
      <c r="H96" s="33"/>
      <c r="J96" s="97" t="s">
        <v>120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2013.72184538395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1541.44880193577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125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-49655.1383333333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69341.996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2226.99087251995</v>
      </c>
      <c r="B167" s="177" t="n">
        <f aca="false">B94</f>
        <v>129.096882352941</v>
      </c>
      <c r="C167" s="174"/>
      <c r="D167" s="174"/>
      <c r="E167" s="177" t="n">
        <f aca="false">B96</f>
        <v>2356.08775487289</v>
      </c>
      <c r="F167" s="23"/>
      <c r="G167" s="23" t="n">
        <f aca="false">ROUND(G95, 2)</f>
        <v>2050.63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99.3052941176471</v>
      </c>
      <c r="U167" s="174"/>
      <c r="V167" s="174"/>
      <c r="W167" s="177" t="n">
        <f aca="false">T96</f>
        <v>2013.72184538395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119.166352941176</v>
      </c>
      <c r="AD167" s="174"/>
      <c r="AE167" s="174"/>
      <c r="AF167" s="177" t="n">
        <f aca="false">AC96</f>
        <v>1541.44880193577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69341.996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14055.6936656784</v>
      </c>
      <c r="B182" s="103" t="str">
        <f aca="false">B114</f>
        <v>239.99</v>
      </c>
      <c r="C182" s="103"/>
      <c r="D182" s="23"/>
      <c r="E182" s="103" t="n">
        <f aca="false">E179+A182+B182+A185</f>
        <v>83647.6796656785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565.811425694445</v>
      </c>
      <c r="C188" s="93"/>
      <c r="D188" s="93"/>
      <c r="E188" s="103" t="n">
        <f aca="false">(E40*A108)*0.1*C45/100</f>
        <v>84.4095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750.212592361111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2356.08775487289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2013.72184538395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1541.44880193577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8059.424</v>
      </c>
      <c r="B201" s="186" t="n">
        <f aca="false">E179+A201+B182+A185</f>
        <v>77651.41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2226.99087251995</v>
      </c>
      <c r="B212" s="177" t="n">
        <f aca="false">B167</f>
        <v>129.096882352941</v>
      </c>
      <c r="C212" s="174"/>
      <c r="D212" s="174"/>
      <c r="E212" s="177" t="n">
        <f aca="false">E167</f>
        <v>2356.08775487289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69341.996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14055.6936656784</v>
      </c>
      <c r="B224" s="103" t="str">
        <f aca="false">B182</f>
        <v>239.99</v>
      </c>
      <c r="C224" s="103"/>
      <c r="D224" s="113"/>
      <c r="E224" s="103" t="n">
        <f aca="false">E182</f>
        <v>83647.6796656785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2226.99087251995</v>
      </c>
      <c r="B230" s="103" t="n">
        <f aca="false">B167</f>
        <v>129.096882352941</v>
      </c>
      <c r="C230" s="186"/>
      <c r="D230" s="186"/>
      <c r="E230" s="103" t="n">
        <f aca="false">E167</f>
        <v>2356.08775487289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565.811425694445</v>
      </c>
      <c r="C240" s="93"/>
      <c r="D240" s="93"/>
      <c r="E240" s="103" t="n">
        <f aca="false">E188</f>
        <v>84.4095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10506.0425923611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6006.26966567844</v>
      </c>
      <c r="C254" s="197"/>
      <c r="D254" s="198" t="s">
        <v>218</v>
      </c>
      <c r="E254" s="198"/>
      <c r="F254" s="200" t="n">
        <f aca="false">F261+F267+F269+B270+B271</f>
        <v>678.973710833334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944.086666666667</v>
      </c>
      <c r="C255" s="197"/>
      <c r="D255" s="198" t="s">
        <v>220</v>
      </c>
      <c r="E255" s="198"/>
      <c r="F255" s="200" t="n">
        <f aca="false">(B254-F254)+B255</f>
        <v>6271.38262151177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6006.26966567844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678.973710833334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844.095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6271.38262151177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3945.0</v>
      </c>
      <c r="P31" s="212"/>
    </row>
    <row r="32" customFormat="false" ht="34.8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1412.88838918093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1412.88838918093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29395.0621646443</v>
      </c>
      <c r="N39" s="1" t="n">
        <f aca="false">K39-L39</f>
        <v>19492.4378353557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19492.4378353557</v>
      </c>
      <c r="N40" s="1" t="n">
        <f aca="false">N38-N39</f>
        <v>-16580.7578353557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3951.68528957505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44935.814710425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1412.88838918093</v>
      </c>
      <c r="L47" s="2" t="n">
        <f aca="false">L49-K42</f>
        <v>800</v>
      </c>
      <c r="M47" s="1" t="n">
        <f aca="false">K47-L47</f>
        <v>612.888389180932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1412.88838918093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1412.88838918093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25393.4450551006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1762.53473930903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17217.8484234279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485.288946189707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1412.88838918093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1412.88838918093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1412.88838918093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1412.88838918093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4125.21367271309</v>
      </c>
      <c r="C86" s="93"/>
      <c r="D86" s="93"/>
      <c r="E86" s="113"/>
      <c r="F86" s="31" t="s">
        <v>111</v>
      </c>
      <c r="G86" s="33" t="n">
        <f aca="false">(G82/((1+G84)^(G85+1)))</f>
        <v>4767.7083018723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30.9764939580949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63616.7823272869</v>
      </c>
      <c r="C88" s="93"/>
      <c r="D88" s="93"/>
      <c r="E88" s="113"/>
      <c r="F88" s="31" t="s">
        <v>113</v>
      </c>
      <c r="G88" s="33" t="n">
        <f aca="false">G81-G86</f>
        <v>62974.2876981277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2201.30996107156</v>
      </c>
      <c r="C89" s="93"/>
      <c r="D89" s="93"/>
      <c r="E89" s="113"/>
      <c r="F89" s="31" t="s">
        <v>114</v>
      </c>
      <c r="G89" s="33" t="n">
        <f aca="false">(G88/G87)</f>
        <v>2032.97015418593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74844.5386764332</v>
      </c>
      <c r="C90" s="93"/>
      <c r="D90" s="93"/>
      <c r="E90" s="113"/>
      <c r="F90" s="31" t="s">
        <v>115</v>
      </c>
      <c r="G90" s="33" t="n">
        <f aca="false">((G89*(G85))+G77)</f>
        <v>69120.9852423217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74844.5386764332</v>
      </c>
      <c r="C92" s="93"/>
      <c r="D92" s="93"/>
      <c r="E92" s="113"/>
      <c r="F92" s="56" t="s">
        <v>117</v>
      </c>
      <c r="G92" s="65" t="n">
        <f aca="false">(G90+G91)</f>
        <v>69120.9852423217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2201.30996107156</v>
      </c>
      <c r="C95" s="93"/>
      <c r="D95" s="93"/>
      <c r="E95" s="113"/>
      <c r="F95" s="95" t="s">
        <v>119</v>
      </c>
      <c r="G95" s="96" t="n">
        <f aca="false">G92/(G85)</f>
        <v>2032.97015418593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2201.30996107156</v>
      </c>
      <c r="C96" s="93"/>
      <c r="D96" s="93"/>
      <c r="E96" s="113"/>
      <c r="F96" s="97" t="s">
        <v>120</v>
      </c>
      <c r="G96" s="98" t="n">
        <f aca="false">G94+G95</f>
        <v>2032.97015418593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396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2201.30996107156</v>
      </c>
      <c r="B167" s="177" t="str">
        <f aca="false">B94</f>
        <v>0</v>
      </c>
      <c r="C167" s="174"/>
      <c r="D167" s="174"/>
      <c r="E167" s="177" t="n">
        <f aca="false">B96</f>
        <v>2201.30996107156</v>
      </c>
      <c r="F167" s="23"/>
      <c r="G167" s="23" t="n">
        <f aca="false">ROUND(G95, 2)</f>
        <v>2032.97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12862.5426764332</v>
      </c>
      <c r="B182" s="103" t="str">
        <f aca="false">B114</f>
        <v>199.99</v>
      </c>
      <c r="C182" s="103"/>
      <c r="D182" s="23"/>
      <c r="E182" s="103" t="n">
        <f aca="false">E179+A182+(B182*1.2)+A185</f>
        <v>80854.5266764332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652.745870138889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2201.30996107156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7138.984</v>
      </c>
      <c r="B201" s="186" t="n">
        <f aca="false">E179+A201+(B182*1.2)+A185</f>
        <v>75130.968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2201.30996107156</v>
      </c>
      <c r="B212" s="177" t="str">
        <f aca="false">B167</f>
        <v>0</v>
      </c>
      <c r="C212" s="174"/>
      <c r="D212" s="174"/>
      <c r="E212" s="177" t="n">
        <f aca="false">E167</f>
        <v>2201.30996107156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12862.5426764332</v>
      </c>
      <c r="B224" s="103" t="str">
        <f aca="false">B182</f>
        <v>199.99</v>
      </c>
      <c r="C224" s="103"/>
      <c r="D224" s="113"/>
      <c r="E224" s="103" t="n">
        <f aca="false">E182</f>
        <v>80854.5266764332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2201.30996107156</v>
      </c>
      <c r="B230" s="103" t="str">
        <f aca="false">B167</f>
        <v>0</v>
      </c>
      <c r="C230" s="186"/>
      <c r="D230" s="186"/>
      <c r="E230" s="103" t="n">
        <f aca="false">E167</f>
        <v>2201.30996107156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10408.5758701389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5733.5586764332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5170.24163226653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5733.5586764332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5170.24163226653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1417.68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A40/1.2</f>
        <v>16000</v>
      </c>
      <c r="I40" s="238" t="n">
        <f aca="false">H39-I39</f>
        <v>-4549.56428780247</v>
      </c>
      <c r="J40" s="63" t="n">
        <v>8812.5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471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212.433601190476</v>
      </c>
      <c r="C82" s="215"/>
      <c r="D82" s="215"/>
      <c r="E82" s="21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216"/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(D40+(D40*B105))/(B57+B58))*(C45/100)</f>
        <v>160.776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1507.49295238771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341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342</v>
      </c>
      <c r="C107" s="222" t="s">
        <v>390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160.776</v>
      </c>
      <c r="C128" s="325"/>
      <c r="D128" s="321" t="n">
        <f aca="false">B91</f>
        <v>1507.49295238771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1346.71695238771</v>
      </c>
      <c r="C131" s="317"/>
      <c r="D131" s="38" t="n">
        <f aca="false">IF(A105="YES", B89*B57, 0)</f>
        <v>160.776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1507.49295238771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160.776</v>
      </c>
      <c r="C137" s="317"/>
      <c r="D137" s="38" t="n">
        <f aca="false">B91</f>
        <v>1507.49295238771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1727.35725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1507.49295238771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160.776</v>
      </c>
      <c r="C177" s="357"/>
      <c r="D177" s="355" t="n">
        <f aca="false">B91</f>
        <v>1507.49295238771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1346.71695238771</v>
      </c>
      <c r="C180" s="353"/>
      <c r="D180" s="103" t="n">
        <f aca="false">IF(A105="YES", B89*B57, 0)</f>
        <v>160.776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1507.49295238771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160.776</v>
      </c>
      <c r="C186" s="353"/>
      <c r="D186" s="103" t="n">
        <f aca="false">B91</f>
        <v>1507.49295238771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1727.35725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1277.85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6137.778125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6137.778125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1417.5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(A40)/1.2</f>
        <v>16000</v>
      </c>
      <c r="I40" s="238" t="n">
        <f aca="false">H39-I39</f>
        <v>-4549.56428780247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7808.509375</v>
      </c>
      <c r="C81" s="215"/>
      <c r="D81" s="215"/>
      <c r="E81" s="46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223.100267857143</v>
      </c>
      <c r="C82" s="215"/>
      <c r="D82" s="215"/>
      <c r="E82" s="46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466" t="n">
        <f aca="false">B83+E80+E77+E64</f>
        <v>1346.07119665432</v>
      </c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56534.9902594816</v>
      </c>
      <c r="C85" s="215"/>
      <c r="D85" s="215"/>
      <c r="E85" s="466" t="n">
        <f aca="false">B85/(B58+B57)</f>
        <v>1615.28543598519</v>
      </c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((((B83*H29)+B81))/(1-B70))*B70</f>
        <v>399.097349552613</v>
      </c>
      <c r="C86" s="215"/>
      <c r="D86" s="215"/>
      <c r="E86" s="466" t="n">
        <f aca="false">B86/(B58+B57)</f>
        <v>11.4027814157889</v>
      </c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56934.0876090342</v>
      </c>
      <c r="C87" s="215"/>
      <c r="D87" s="215"/>
      <c r="E87" s="466" t="n">
        <f aca="false">E86+E85</f>
        <v>1626.68821740098</v>
      </c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(D40+(D40*B105))/(B57+B58))*1.2*(C45/100)</f>
        <v>192.9312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1626.68821740098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1819.61941740098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1626.68821740098</v>
      </c>
      <c r="B128" s="321" t="n">
        <f aca="false">IF(A105="YES", B89, 0)</f>
        <v>192.9312</v>
      </c>
      <c r="C128" s="325"/>
      <c r="D128" s="321" t="n">
        <f aca="false">B91</f>
        <v>1819.61941740098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14640.1939566088</v>
      </c>
      <c r="C131" s="317"/>
      <c r="D131" s="38" t="n">
        <f aca="false">IF(A105="YES", B89*B57, 0)</f>
        <v>1736.3808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16376.5747566088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1626.68821740098</v>
      </c>
      <c r="B137" s="38" t="n">
        <f aca="false">IF(A105="YES", B89, 0)</f>
        <v>192.9312</v>
      </c>
      <c r="C137" s="317"/>
      <c r="D137" s="38" t="n">
        <f aca="false">B91</f>
        <v>1819.61941740098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1327.35891666667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1819.61941740098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1626.68821740098</v>
      </c>
      <c r="B177" s="355" t="n">
        <f aca="false">IF(A105="YES", B89, 0)</f>
        <v>192.9312</v>
      </c>
      <c r="C177" s="357"/>
      <c r="D177" s="355" t="n">
        <f aca="false">B91</f>
        <v>1819.61941740098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14640.1939566088</v>
      </c>
      <c r="C180" s="353"/>
      <c r="D180" s="103" t="n">
        <f aca="false">IF(A105="YES", B89*B57, 0)</f>
        <v>1736.3808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16376.5747566088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1626.68821740098</v>
      </c>
      <c r="B186" s="103" t="n">
        <f aca="false">IF(A105="YES", B89, 0)</f>
        <v>192.9312</v>
      </c>
      <c r="C186" s="353"/>
      <c r="D186" s="103" t="n">
        <f aca="false">B91</f>
        <v>1819.61941740098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1327.35891666667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1037.85166666667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5897.77979166667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5897.77979166667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13150.0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6161.400000000001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1351.4959513474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1313.6959513474</v>
      </c>
      <c r="B36" s="103" t="n">
        <f aca="false">IF(B26="YES", H42, "")</f>
        <v>37.8</v>
      </c>
      <c r="C36" s="221"/>
      <c r="D36" s="184" t="n">
        <f aca="false">H31</f>
        <v>29500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49890.90388072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29500</v>
      </c>
      <c r="B40" s="107" t="n">
        <f aca="false">IF(B26="YES",H42,"0")</f>
        <v>37.8</v>
      </c>
      <c r="C40" s="107"/>
      <c r="D40" s="184" t="n">
        <f aca="false">I32</f>
        <v>1663.2</v>
      </c>
      <c r="E40" s="216"/>
      <c r="F40" s="63"/>
      <c r="G40" s="63" t="s">
        <v>107</v>
      </c>
      <c r="H40" s="238" t="n">
        <f aca="false">A40/1.2</f>
        <v>24583.3333333333</v>
      </c>
      <c r="I40" s="238" t="n">
        <f aca="false">H39-I39</f>
        <v>-1003.40388071995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37.8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21711.0548931379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373</v>
      </c>
      <c r="H45" s="238" t="n">
        <f aca="false">(H39-H44)</f>
        <v>27176.4451068621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1313.6959513474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1351.4959513474</v>
      </c>
      <c r="I48" s="238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1351.4959513474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4896.10625</v>
      </c>
      <c r="C64" s="465" t="n">
        <v>10000.0</v>
      </c>
      <c r="D64" s="291" t="n">
        <f aca="false">B64</f>
        <v>4896.10625</v>
      </c>
      <c r="E64" s="466" t="n">
        <f aca="false">D64/(B58+B57)</f>
        <v>222.550284090909</v>
      </c>
      <c r="F64" s="63"/>
      <c r="G64" s="285" t="s">
        <v>91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91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0.0141666666666667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820.0375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94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110</v>
      </c>
      <c r="C73" s="215"/>
      <c r="D73" s="472" t="n">
        <f aca="false">B73+B71</f>
        <v>310</v>
      </c>
      <c r="E73" s="216" t="s">
        <v>229</v>
      </c>
      <c r="F73" s="63"/>
      <c r="G73" s="285" t="s">
        <v>100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100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476.666666666667</v>
      </c>
      <c r="C76" s="215"/>
      <c r="D76" s="291" t="n">
        <f aca="false">B76</f>
        <v>476.666666666667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53.9393939393939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6749.43958333333</v>
      </c>
      <c r="C81" s="473"/>
      <c r="D81" s="474"/>
      <c r="E81" s="466"/>
      <c r="F81" s="63"/>
      <c r="G81" s="303" t="s">
        <v>103</v>
      </c>
      <c r="H81" s="304" t="n">
        <f aca="false">SUM(J64:J80)</f>
        <v>5706.35625</v>
      </c>
      <c r="I81" s="215"/>
      <c r="J81" s="215"/>
      <c r="K81" s="216"/>
      <c r="L81" s="63"/>
      <c r="M81" s="303" t="s">
        <v>103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306.792708333333</v>
      </c>
      <c r="C82" s="473"/>
      <c r="D82" s="215"/>
      <c r="E82" s="466"/>
      <c r="F82" s="63"/>
      <c r="G82" s="214" t="s">
        <v>104</v>
      </c>
      <c r="H82" s="300" t="n">
        <f aca="false">H81/H29</f>
        <v>259.379829545455</v>
      </c>
      <c r="I82" s="215"/>
      <c r="J82" s="215"/>
      <c r="K82" s="216"/>
      <c r="L82" s="63"/>
      <c r="M82" s="214" t="s">
        <v>104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1313.6959513474</v>
      </c>
      <c r="C83" s="473"/>
      <c r="D83" s="215"/>
      <c r="E83" s="466" t="n">
        <f aca="false">B83+E80+E77+E64</f>
        <v>1610.38764957972</v>
      </c>
      <c r="F83" s="63"/>
      <c r="G83" s="305" t="s">
        <v>105</v>
      </c>
      <c r="H83" s="306" t="n">
        <f aca="false">H47</f>
        <v>1313.6959513474</v>
      </c>
      <c r="I83" s="215"/>
      <c r="J83" s="215"/>
      <c r="K83" s="216"/>
      <c r="L83" s="63"/>
      <c r="M83" s="305" t="s">
        <v>105</v>
      </c>
      <c r="N83" s="306" t="n">
        <f aca="false">H47</f>
        <v>1313.6959513474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35650.750512976</v>
      </c>
      <c r="C85" s="473"/>
      <c r="D85" s="473"/>
      <c r="E85" s="466" t="n">
        <f aca="false">B85/(B58+B57)</f>
        <v>1620.48865968073</v>
      </c>
      <c r="F85" s="63"/>
      <c r="G85" s="288" t="s">
        <v>115</v>
      </c>
      <c r="H85" s="131" t="n">
        <f aca="false">((H83*H29)+H81)*1.2</f>
        <v>41529.2006155713</v>
      </c>
      <c r="I85" s="215"/>
      <c r="J85" s="215"/>
      <c r="K85" s="216"/>
      <c r="L85" s="63"/>
      <c r="M85" s="288" t="s">
        <v>115</v>
      </c>
      <c r="N85" s="131" t="n">
        <f aca="false">((N83*H29)+N81)</f>
        <v>34456.4171796427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302.00313060609</v>
      </c>
      <c r="C86" s="473" t="s">
        <v>232</v>
      </c>
      <c r="D86" s="215"/>
      <c r="E86" s="466" t="n">
        <f aca="false">B86/(B58+B57)</f>
        <v>13.7274150275495</v>
      </c>
      <c r="F86" s="63"/>
      <c r="G86" s="214" t="s">
        <v>116</v>
      </c>
      <c r="H86" s="300" t="n">
        <f aca="false">((((H83*H29)+H81))/(1-H70))*H70</f>
        <v>293.16700716922</v>
      </c>
      <c r="I86" s="215"/>
      <c r="J86" s="215"/>
      <c r="K86" s="216"/>
      <c r="L86" s="63"/>
      <c r="M86" s="214" t="s">
        <v>116</v>
      </c>
      <c r="N86" s="300" t="n">
        <f aca="false">(N85/(1-N70))*N70</f>
        <v>291.885744563331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35952.7536435821</v>
      </c>
      <c r="C87" s="473"/>
      <c r="D87" s="475"/>
      <c r="E87" s="466" t="n">
        <f aca="false">E86+E85</f>
        <v>1634.21607470828</v>
      </c>
      <c r="F87" s="63"/>
      <c r="G87" s="285" t="s">
        <v>117</v>
      </c>
      <c r="H87" s="133" t="n">
        <f aca="false">IF(H110="YES",((H85+H86)-K114),(H85+H86))</f>
        <v>41822.3676227405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34748.302924206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49.14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88.704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73.92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1634.21607470828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1548.97657862002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1286.974182378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1683.35607470828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1637.68057862002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1360.894182378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1548.97657862002</v>
      </c>
      <c r="H127" s="177" t="n">
        <f aca="false">IF(G105="YES", H89*H57, 0)</f>
        <v>532.224</v>
      </c>
      <c r="I127" s="177"/>
      <c r="J127" s="334" t="n">
        <f aca="false">H91</f>
        <v>1637.68057862002</v>
      </c>
      <c r="K127" s="216"/>
      <c r="L127" s="63"/>
      <c r="M127" s="333" t="n">
        <f aca="false">N90</f>
        <v>1286.974182378</v>
      </c>
      <c r="N127" s="177" t="n">
        <f aca="false">IF(M105="YES", N89*N57, 0)</f>
        <v>443.52</v>
      </c>
      <c r="O127" s="177"/>
      <c r="P127" s="177" t="n">
        <f aca="false">N91</f>
        <v>1360.894182378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1634.21607470828</v>
      </c>
      <c r="B128" s="321" t="n">
        <f aca="false">IF(A105="YES", B89, 0)</f>
        <v>49.14</v>
      </c>
      <c r="C128" s="325"/>
      <c r="D128" s="321" t="n">
        <f aca="false">B91</f>
        <v>1683.35607470828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1634.21607470828</v>
      </c>
      <c r="C131" s="317"/>
      <c r="D131" s="38" t="n">
        <f aca="false">IF(A105="YES", B89*B57, 0)</f>
        <v>49.14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9293.8594717201</v>
      </c>
      <c r="H133" s="103" t="n">
        <f aca="false">IF(G105="YES", H89*H57, 0)</f>
        <v>532.224</v>
      </c>
      <c r="I133" s="221"/>
      <c r="J133" s="184" t="n">
        <f aca="false">H91*H57</f>
        <v>9826.08347172011</v>
      </c>
      <c r="K133" s="216"/>
      <c r="L133" s="63"/>
      <c r="M133" s="185" t="n">
        <f aca="false">N90*N57</f>
        <v>7721.84509426801</v>
      </c>
      <c r="N133" s="103" t="n">
        <f aca="false">IF(M105="YES", N89*N57, 0)</f>
        <v>443.52</v>
      </c>
      <c r="O133" s="221"/>
      <c r="P133" s="184" t="n">
        <f aca="false">N91*N57</f>
        <v>8165.36509426801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1683.35607470828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1634.21607470828</v>
      </c>
      <c r="B137" s="38" t="n">
        <f aca="false">IF(A105="YES", B89, 0)</f>
        <v>49.14</v>
      </c>
      <c r="C137" s="317"/>
      <c r="D137" s="38" t="n">
        <f aca="false">B91</f>
        <v>1683.35607470828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16.632</v>
      </c>
      <c r="H142" s="103" t="n">
        <f aca="false">G102-100</f>
        <v>99.99</v>
      </c>
      <c r="I142" s="103"/>
      <c r="J142" s="103" t="n">
        <f aca="false">(H139+J139+G142+H142)-H145</f>
        <v>799.986583333333</v>
      </c>
      <c r="K142" s="105"/>
      <c r="L142" s="63"/>
      <c r="M142" s="111" t="n">
        <f aca="false">IF(M105="YES", ((B36*N105)*0.1)*(M130), 0)</f>
        <v>16.632</v>
      </c>
      <c r="N142" s="103" t="n">
        <f aca="false">M102-100</f>
        <v>99.99</v>
      </c>
      <c r="O142" s="103"/>
      <c r="P142" s="103" t="n">
        <f aca="false">(N139+P139+M142+N142)-N145</f>
        <v>799.986583333333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820.0375</v>
      </c>
      <c r="B148" s="103" t="n">
        <f aca="false">B102</f>
        <v>400</v>
      </c>
      <c r="C148" s="38"/>
      <c r="D148" s="38" t="n">
        <f aca="false">IF(A105="YES", (B40*B105)*B125, 0)*0.1</f>
        <v>24.948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1637.68057862002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1360.894182378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1683.35607470828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1634.21607470828</v>
      </c>
      <c r="B177" s="355" t="n">
        <f aca="false">IF(A105="YES", B89, 0)</f>
        <v>49.14</v>
      </c>
      <c r="C177" s="357"/>
      <c r="D177" s="355" t="n">
        <f aca="false">B91</f>
        <v>1683.35607470828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1634.21607470828</v>
      </c>
      <c r="C180" s="353"/>
      <c r="D180" s="103" t="n">
        <f aca="false">IF(A105="YES", B89*B57, 0)</f>
        <v>49.14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1683.35607470828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1634.21607470828</v>
      </c>
      <c r="B186" s="103" t="n">
        <f aca="false">IF(A105="YES", B89, 0)</f>
        <v>49.14</v>
      </c>
      <c r="C186" s="353"/>
      <c r="D186" s="103" t="n">
        <f aca="false">B91</f>
        <v>1683.35607470828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820.0375</v>
      </c>
      <c r="B197" s="103" t="n">
        <f aca="false">B102</f>
        <v>400</v>
      </c>
      <c r="C197" s="103"/>
      <c r="D197" s="103" t="n">
        <f aca="false">IF(A105="YES", (B40*B105)*B125, 0)*0.1</f>
        <v>24.948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1344.9755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820.0375</v>
      </c>
      <c r="C211" s="320" t="s">
        <v>219</v>
      </c>
      <c r="D211" s="370" t="n">
        <f aca="false">B225+E221+B221+B223</f>
        <v>589.47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4665.53875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4896.10625</v>
      </c>
      <c r="C217" s="375" t="s">
        <v>223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820.0375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249.48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302.00313060609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82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4711.95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392.6625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10723.95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183</v>
      </c>
      <c r="B130" s="172" t="n">
        <v>1200</v>
      </c>
      <c r="C130" s="172"/>
      <c r="D130" s="215"/>
      <c r="E130" s="216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83</v>
      </c>
      <c r="B132" s="215" t="s">
        <v>84</v>
      </c>
      <c r="C132" s="215"/>
      <c r="D132" s="215" t="s">
        <v>86</v>
      </c>
      <c r="E132" s="216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343</v>
      </c>
      <c r="B135" s="328" t="s">
        <v>252</v>
      </c>
      <c r="C135" s="328"/>
      <c r="D135" s="328" t="s">
        <v>120</v>
      </c>
      <c r="E135" s="216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344</v>
      </c>
      <c r="B138" s="215" t="s">
        <v>241</v>
      </c>
      <c r="C138" s="215"/>
      <c r="D138" s="215" t="s">
        <v>245</v>
      </c>
      <c r="E138" s="216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141</v>
      </c>
      <c r="B144" s="215" t="s">
        <v>310</v>
      </c>
      <c r="C144" s="215"/>
      <c r="D144" s="215" t="s">
        <v>311</v>
      </c>
      <c r="E144" s="216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313</v>
      </c>
      <c r="B147" s="215" t="s">
        <v>314</v>
      </c>
      <c r="C147" s="215"/>
      <c r="D147" s="215" t="s">
        <v>315</v>
      </c>
      <c r="E147" s="216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317</v>
      </c>
      <c r="B150" s="215" t="s">
        <v>318</v>
      </c>
      <c r="C150" s="215"/>
      <c r="D150" s="215"/>
      <c r="E150" s="216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323</v>
      </c>
      <c r="B154" s="215"/>
      <c r="C154" s="215"/>
      <c r="D154" s="282"/>
      <c r="E154" s="283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83</v>
      </c>
      <c r="B156" s="251" t="s">
        <v>84</v>
      </c>
      <c r="C156" s="251"/>
      <c r="D156" s="215"/>
      <c r="E156" s="216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13668.74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13765.2317103671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1147.10264253059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1147.10264253059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1147.10264253059</v>
      </c>
      <c r="B128" s="321" t="n">
        <f aca="false">IF(A105="YES", B89, 0)</f>
        <v>0</v>
      </c>
      <c r="C128" s="326"/>
      <c r="D128" s="321" t="n">
        <f aca="false">B91</f>
        <v>1147.10264253059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1147.10264253059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1147.10264253059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1147.10264253059</v>
      </c>
      <c r="B137" s="38" t="n">
        <f aca="false">IF(A105="YES", B89, 0)</f>
        <v>0</v>
      </c>
      <c r="C137" s="317"/>
      <c r="D137" s="38" t="n">
        <f aca="false">B91</f>
        <v>1147.10264253059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1147.10264253059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1147.10264253059</v>
      </c>
      <c r="B171" s="355" t="n">
        <f aca="false">IF(A105="YES", B89, 0)</f>
        <v>0</v>
      </c>
      <c r="C171" s="358"/>
      <c r="D171" s="355" t="n">
        <f aca="false">B91</f>
        <v>1147.10264253059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1147.10264253059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1147.10264253059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1147.10264253059</v>
      </c>
      <c r="B180" s="103" t="n">
        <f aca="false">IF(A105="YES", B89, 0)</f>
        <v>0</v>
      </c>
      <c r="C180" s="353"/>
      <c r="D180" s="103" t="n">
        <f aca="false">B91</f>
        <v>1147.10264253059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1022.25903141948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65</v>
      </c>
      <c r="C128" s="326"/>
      <c r="D128" s="321" t="n">
        <f aca="false">B91</f>
        <v>1022.25903141948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1022.25903141948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65</v>
      </c>
      <c r="C137" s="317"/>
      <c r="D137" s="38" t="n">
        <f aca="false">B91</f>
        <v>1022.25903141948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1096.84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1022.25903141948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65</v>
      </c>
      <c r="C171" s="358"/>
      <c r="D171" s="355" t="n">
        <f aca="false">B91</f>
        <v>1022.25903141948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1022.25903141948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65</v>
      </c>
      <c r="C180" s="353"/>
      <c r="D180" s="103" t="n">
        <f aca="false">B91</f>
        <v>1022.25903141948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1096.84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3993.09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3993.09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5043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2024-01-10T12:47:00Z</dcterms:modified>
  <cp:revision>909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