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2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<sst xmlns="http://schemas.openxmlformats.org/spreadsheetml/2006/main" count="38057" uniqueCount="418">
  <si>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</si>
  <si>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</si>
  <si>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</si>
  <si>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</si>
  <si>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</si>
  <si>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</si>
  <si>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</si>
  <si>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</si>
  <si>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</si>
  <si>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</si>
  <si>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</si>
  <si>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</si>
  <si>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</si>
  <si>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</si>
  <si>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</si>
  <si>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</si>
  <si>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</si>
  <si>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</si>
  <si>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</si>
  <si>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</si>
  <si>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</si>
  <si>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</si>
  <si>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</si>
  <si>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</si>
  <si>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</si>
  <si>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</si>
  <si>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</si>
  <si>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</si>
  <si>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</si>
  <si>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</si>
  <si>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</si>
  <si>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</si>
  <si>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</si>
  <si>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</si>
  <si>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</si>
  <si>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</si>
  <si>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</si>
  <si>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</si>
  <si>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</si>
  <si>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</si>
  <si>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</si>
  <si>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</si>
  <si>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</si>
  <si>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</si>
  <si>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</si>
  <si>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</si>
  <si>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</si>
  <si>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</si>
  <si>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</si>
  <si>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</si>
  <si>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</si>
  <si>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</si>
  <si>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</si>
  <si>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</si>
  <si>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</si>
  <si>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</si>
  <si>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</si>
  <si>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</si>
  <si>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</si>
  <si>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</si>
  <si>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</si>
  <si>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</si>
  <si>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</si>
  <si>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</si>
  <si>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</si>
  <si>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</si>
  <si>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</si>
  <si>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</si>
  <si>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</si>
  <si>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</si>
  <si>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</si>
  <si>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</si>
  <si>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</si>
  <si>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</si>
  <si>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</si>
  <si>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</si>
  <si>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</si>
  <si>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</si>
  <si>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</si>
  <si>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</si>
  <si>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</si>
  <si>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</si>
  <si>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</si>
  <si>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</si>
  <si>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</si>
  <si>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</si>
  <si>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</si>
  <si>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</si>
  <si>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</si>
  <si>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</si>
  <si>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</si>
  <si>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</si>
  <si>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</si>
  <si>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</si>
  <si>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</si>
  <si>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</si>
  <si>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</si>
  <si>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</si>
  <si>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</si>
  <si>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</si>
  <si>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</si>
  <si>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</si>
  <si>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</si>
  <si>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</si>
  <si>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</si>
  <si>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</si>
  <si>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</si>
  <si>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</si>
  <si>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</si>
  <si>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</si>
  <si>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</si>
  <si>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</si>
  <si>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</si>
  <si>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</si>
  <si>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</si>
  <si>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</si>
  <si>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</si>
  <si>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</si>
  <si>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</si>
  <si>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</si>
  <si>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</si>
  <si>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</si>
  <si>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</si>
  <si>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</si>
  <si>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</si>
  <si>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</si>
  <si>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</si>
  <si>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</si>
  <si>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</si>
  <si>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</si>
  <si>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</si>
  <si>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</si>
  <si>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</si>
  <si>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</si>
  <si>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</si>
  <si>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</si>
  <si>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</si>
  <si>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</si>
  <si>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</si>
  <si>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</si>
  <si>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</si>
  <si>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</si>
  <si>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</si>
  <si>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</si>
  <si>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</si>
  <si>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</si>
  <si>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</si>
  <si>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</si>
  <si>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</si>
  <si>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</si>
  <si>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</si>
  <si>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</si>
  <si>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</si>
  <si>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</si>
  <si>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</si>
  <si>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</si>
  <si>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</si>
  <si>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</si>
  <si>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</si>
  <si>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</si>
  <si>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</si>
  <si>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</si>
  <si>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</si>
  <si>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</si>
  <si>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</si>
  <si>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</si>
  <si>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</si>
  <si>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</si>
  <si>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</si>
  <si>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</si>
  <si>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</si>
  <si>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</si>
  <si>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</si>
  <si>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</si>
  <si>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</si>
  <si>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</si>
  <si>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</si>
  <si>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</si>
  <si>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</si>
  <si>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</si>
  <si>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</si>
  <si>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</si>
  <si>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</si>
  <si>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</si>
  <si>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</si>
  <si>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</si>
  <si>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</si>
  <si>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</si>
  <si>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</si>
  <si>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</si>
  <si>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</si>
  <si>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</si>
  <si>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</si>
  <si>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</si>
  <si>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</si>
  <si>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</si>
  <si>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</si>
  <si>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</si>
  <si>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</si>
  <si>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</si>
  <si>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</si>
  <si>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</si>
  <si>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</si>
  <si>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</si>
  <si>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</si>
  <si>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</si>
  <si>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</si>
  <si>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</si>
  <si>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</si>
  <si>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</si>
  <si>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</si>
  <si>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</si>
  <si>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</si>
  <si>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</si>
  <si>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</si>
  <si>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</si>
  <si>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</si>
  <si>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</si>
  <si>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</si>
  <si>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</si>
  <si>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</si>
  <si>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</si>
  <si>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</si>
  <si>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</si>
  <si>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</si>
  <si>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</si>
  <si>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</si>
  <si>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</si>
  <si>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</si>
  <si>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</si>
  <si>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</si>
  <si>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</si>
  <si>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</si>
  <si>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</si>
  <si>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</si>
  <si>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</si>
  <si>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</si>
  <si>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</si>
  <si>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</si>
  <si>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</si>
  <si>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</si>
  <si>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</si>
  <si>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</si>
  <si>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</si>
  <si>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</si>
  <si>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</si>
  <si>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</si>
  <si>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</si>
  <si>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</si>
  <si>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</si>
  <si>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</si>
  <si>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</si>
  <si>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</si>
  <si>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</si>
  <si>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</si>
  <si>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</si>
  <si>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</si>
  <si>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</si>
  <si>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</si>
  <si>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</si>
  <si>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</si>
  <si>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</si>
  <si>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</si>
  <si>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</si>
  <si>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</si>
  <si>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</si>
  <si>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</si>
  <si>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</si>
  <si>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</si>
  <si>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</si>
  <si>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</si>
  <si>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</si>
  <si>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</si>
  <si>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</si>
  <si>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</si>
  <si>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</si>
  <si>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</si>
  <si>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</si>
  <si>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</si>
  <si>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</si>
  <si>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</si>
  <si>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</si>
  <si>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</si>
  <si>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</si>
  <si>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</si>
  <si>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</si>
  <si>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</si>
  <si>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</si>
  <si>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</si>
  <si>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</si>
  <si>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</si>
  <si>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</si>
  <si>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</si>
  <si>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</si>
  <si>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</si>
  <si>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</si>
  <si>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</si>
  <si>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</si>
  <si>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</si>
  <si>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</si>
  <si>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</si>
  <si>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</si>
  <si>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</si>
  <si>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</si>
  <si>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</si>
  <si>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</si>
  <si>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</si>
  <si>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</si>
  <si>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</si>
  <si>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</si>
  <si>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</si>
  <si>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</si>
  <si>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</si>
  <si>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</si>
  <si>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</si>
  <si>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</si>
  <si>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</si>
  <si>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</si>
  <si>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</si>
  <si>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</si>
  <si>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</si>
  <si>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</si>
  <si>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</si>
  <si>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</si>
  <si>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</si>
  <si>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</si>
  <si>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</si>
  <si>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</si>
  <si>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</si>
  <si>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</si>
  <si>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</si>
  <si>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</si>
  <si>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</si>
  <si>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</si>
  <si>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</si>
  <si>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</si>
  <si>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</si>
  <si>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</si>
  <si>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</si>
  <si>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</si>
  <si>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</si>
  <si>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</si>
  <si>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</si>
  <si>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</si>
  <si>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</si>
  <si>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</si>
  <si>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</si>
  <si>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</si>
  <si>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</si>
  <si>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</si>
  <si>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</si>
  <si>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</si>
  <si>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</si>
  <si>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</si>
  <si>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</si>
  <si>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</si>
  <si>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</si>
  <si>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</si>
  <si>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</si>
  <si>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</si>
  <si>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</si>
  <si>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</si>
  <si>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</si>
  <si>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</si>
  <si>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</si>
  <si>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</si>
  <si>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</si>
  <si>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</si>
  <si>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</si>
  <si>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</si>
  <si>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</si>
  <si>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</si>
  <si>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</si>
  <si>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</si>
  <si>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</si>
  <si>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</si>
  <si>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</si>
  <si>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</si>
  <si>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</si>
  <si>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22700.00</t>
  </si>
  <si>
    <t xml:space="preserve">OTR Calculation</t>
  </si>
  <si>
    <t xml:space="preserve">296.00</t>
  </si>
  <si>
    <t xml:space="preserve">21268.00</t>
  </si>
  <si>
    <t xml:space="preserve">RFL included?</t>
  </si>
  <si>
    <t>YES</t>
  </si>
  <si>
    <t>0</t>
  </si>
  <si>
    <t>30</t>
  </si>
  <si>
    <t>NO</t>
  </si>
  <si>
    <t>199.99</t>
  </si>
  <si>
    <t>60</t>
  </si>
  <si>
    <t>Limited Credit</t>
  </si>
  <si>
    <t>58535.00</t>
  </si>
  <si>
    <t>1000</t>
  </si>
  <si>
    <t>33</t>
  </si>
  <si>
    <t>5000</t>
  </si>
  <si>
    <t>500</t>
  </si>
  <si>
    <t>470.00</t>
  </si>
  <si>
    <t>12</t>
  </si>
  <si>
    <t>239.99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</si>
  <si>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</si>
  <si>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</si>
  <si>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</si>
  <si>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</si>
  <si>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</si>
  <si>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</si>
  <si>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</si>
  <si>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</si>
  <si>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</si>
  <si>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20</t>
  </si>
  <si>
    <t>70</t>
  </si>
  <si>
    <t>5.28</t>
  </si>
  <si>
    <t>2</t>
  </si>
  <si>
    <t>0.00</t>
  </si>
  <si>
    <t>22700.00</t>
  </si>
  <si>
    <t>25885.00</t>
  </si>
  <si>
    <t>371.67</t>
  </si>
  <si>
    <t>21268.00</t>
  </si>
  <si>
    <t>296.00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</si>
</sst>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17166.67</v>
      </c>
      <c r="C9" s="14" t="n">
        <f aca="false">B9*0.2</f>
        <v>3433.334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20600.004</v>
      </c>
      <c r="B37" s="32"/>
      <c r="C37" s="41" t="s">
        <v>45</v>
      </c>
      <c r="D37" s="41"/>
      <c r="E37" s="32"/>
      <c r="F37" s="43" t="n">
        <f aca="false">A37-C37</f>
        <v>19600.004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3433.334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202.777833333333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347.222166666667</v>
      </c>
      <c r="L45" s="2"/>
    </row>
    <row r="46" customFormat="false" ht="17.35" hidden="false" customHeight="false" outlineLevel="0" collapsed="false">
      <c r="A46" s="40" t="s">
        <v>70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349.888833333333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349.888833333333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14078.5984679751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0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349.888833333333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349.888833333333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349.888833333333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19600.004</v>
      </c>
      <c r="C90" s="32"/>
      <c r="D90" s="32"/>
      <c r="E90" s="23"/>
      <c r="F90" s="25" t="s">
        <v>106</v>
      </c>
      <c r="G90" s="27" t="n">
        <f aca="false">F37</f>
        <v>19600.004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13245.0622001204</v>
      </c>
      <c r="C97" s="32"/>
      <c r="D97" s="32"/>
      <c r="E97" s="23"/>
      <c r="F97" s="31" t="s">
        <v>113</v>
      </c>
      <c r="G97" s="33" t="n">
        <f aca="false">G90-G95</f>
        <v>12851.934698559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1280.96349708865</v>
      </c>
      <c r="C98" s="32"/>
      <c r="D98" s="32"/>
      <c r="E98" s="23"/>
      <c r="F98" s="31" t="s">
        <v>114</v>
      </c>
      <c r="G98" s="33" t="n">
        <f aca="false">(G97/G96)</f>
        <v>1206.67117914926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14090.5984679751</v>
      </c>
      <c r="C99" s="32"/>
      <c r="D99" s="32"/>
      <c r="E99" s="23"/>
      <c r="F99" s="31" t="s">
        <v>115</v>
      </c>
      <c r="G99" s="33" t="n">
        <f aca="false">((G98*(G94))+G86)</f>
        <v>13273.3829706419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14090.5984679751</v>
      </c>
      <c r="C101" s="32"/>
      <c r="D101" s="32"/>
      <c r="E101" s="23"/>
      <c r="F101" s="56" t="s">
        <v>117</v>
      </c>
      <c r="G101" s="65" t="n">
        <f aca="false">(G99+G100)</f>
        <v>13273.3829706419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1280.96349708865</v>
      </c>
      <c r="C104" s="32"/>
      <c r="D104" s="32"/>
      <c r="E104" s="23"/>
      <c r="F104" s="95" t="s">
        <v>119</v>
      </c>
      <c r="G104" s="96" t="n">
        <f aca="false">G101/(G94)</f>
        <v>1206.67117914926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1366.05440617956</v>
      </c>
      <c r="C105" s="32"/>
      <c r="D105" s="32"/>
      <c r="E105" s="23" t="s">
        <v>18</v>
      </c>
      <c r="F105" s="97" t="s">
        <v>120</v>
      </c>
      <c r="G105" s="98" t="n">
        <f aca="false">G103+G104</f>
        <v>1206.67117914926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20600.004</v>
      </c>
      <c r="C130" s="121" t="n">
        <v>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20600.004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20600.004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20600.004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20600.004</v>
      </c>
      <c r="C134" s="133" t="n">
        <f aca="false">C130-C133</f>
        <v>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17166.67</v>
      </c>
      <c r="H144" s="153" t="n">
        <f aca="false">C134+E134+G134+H137</f>
        <v>0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3433.334</v>
      </c>
      <c r="H146" s="33" t="n">
        <f aca="false">(H144+H145)*20%</f>
        <v>0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20600.004</v>
      </c>
      <c r="H150" s="157" t="n">
        <f aca="false">(H144+H145+H148+H149+H146)-H147</f>
        <v>0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20600.004</v>
      </c>
      <c r="H156" s="164" t="n">
        <f aca="false">H150-((H153*1.2)+(H154*1.2)+(H155*1.2)+(H151*1.2))</f>
        <v>0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-17166.67</v>
      </c>
      <c r="I157" s="1" t="n">
        <f aca="false">(H157-G90)/1.2</f>
        <v>-30638.895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0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1280.96349708865</v>
      </c>
      <c r="B176" s="177" t="n">
        <f aca="false">B103</f>
        <v>85.0909090909091</v>
      </c>
      <c r="C176" s="174"/>
      <c r="D176" s="174"/>
      <c r="E176" s="177" t="n">
        <f aca="false">B105</f>
        <v>1366.05440617956</v>
      </c>
      <c r="F176" s="23"/>
      <c r="G176" s="23" t="n">
        <f aca="false">ROUND(G104, 2)</f>
        <v>1206.67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0</v>
      </c>
      <c r="B182" s="103" t="n">
        <f aca="false">H146</f>
        <v>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20090.5984679751</v>
      </c>
      <c r="B191" s="103" t="str">
        <f aca="false">B123</f>
        <v>239.99</v>
      </c>
      <c r="C191" s="103"/>
      <c r="D191" s="23"/>
      <c r="E191" s="103" t="n">
        <f aca="false">E188+A191+B191+A194</f>
        <v>20340.5884679751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0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99.9916666666667</v>
      </c>
      <c r="C200" s="93"/>
      <c r="D200" s="93"/>
      <c r="E200" s="103" t="n">
        <f aca="false">H157</f>
        <v>-17166.67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1366.05440617956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19273.37</v>
      </c>
      <c r="B210" s="186" t="n">
        <f aca="false">E188+A210+B191+A194</f>
        <v>19523.36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1280.96349708865</v>
      </c>
      <c r="B221" s="177" t="n">
        <f aca="false">B176</f>
        <v>85.0909090909091</v>
      </c>
      <c r="C221" s="174"/>
      <c r="D221" s="174"/>
      <c r="E221" s="177" t="n">
        <f aca="false">E176</f>
        <v>1366.05440617956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0</v>
      </c>
      <c r="B224" s="103" t="n">
        <f aca="false">B182</f>
        <v>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20090.5984679751</v>
      </c>
      <c r="B233" s="103" t="str">
        <f aca="false">B191</f>
        <v>239.99</v>
      </c>
      <c r="C233" s="103"/>
      <c r="D233" s="113"/>
      <c r="E233" s="103" t="n">
        <f aca="false">E191</f>
        <v>20340.5884679751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1280.96349708865</v>
      </c>
      <c r="B239" s="103" t="n">
        <f aca="false">B176</f>
        <v>85.0909090909091</v>
      </c>
      <c r="C239" s="186"/>
      <c r="D239" s="186"/>
      <c r="E239" s="103" t="n">
        <f aca="false">E176</f>
        <v>1366.05440617956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-17166.67</v>
      </c>
      <c r="B249" s="103" t="n">
        <f aca="false">B197</f>
        <v>0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-17066.6783333333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827.22846797511</v>
      </c>
      <c r="C263" s="197"/>
      <c r="D263" s="198" t="s">
        <v>218</v>
      </c>
      <c r="E263" s="198"/>
      <c r="F263" s="200" t="n">
        <f aca="false">F270+F276+F278+B279+B280</f>
        <v>0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927.220134641777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14090.5984679751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0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927.220134641777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21099.996</v>
      </c>
      <c r="B37" s="32"/>
      <c r="C37" s="41" t="s">
        <v>45</v>
      </c>
      <c r="D37" s="41"/>
      <c r="E37" s="32"/>
      <c r="F37" s="43" t="n">
        <f aca="false">A37-C37</f>
        <v>20099.996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3516.666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209.722166666667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290.277833333333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292.9445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292.9445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292.9445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14610.5088812864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117.49998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292.9445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292.9445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292.9445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20099.996</v>
      </c>
      <c r="C90" s="32"/>
      <c r="D90" s="32"/>
      <c r="E90" s="23"/>
      <c r="F90" s="25" t="s">
        <v>106</v>
      </c>
      <c r="G90" s="27" t="n">
        <f aca="false">F37</f>
        <v>20099.996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13745.0542001204</v>
      </c>
      <c r="C97" s="32"/>
      <c r="D97" s="32"/>
      <c r="E97" s="23"/>
      <c r="F97" s="31" t="s">
        <v>113</v>
      </c>
      <c r="G97" s="33" t="n">
        <f aca="false">G90-G95</f>
        <v>13351.926698559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1329.31898920786</v>
      </c>
      <c r="C98" s="32"/>
      <c r="D98" s="32"/>
      <c r="E98" s="23"/>
      <c r="F98" s="31" t="s">
        <v>114</v>
      </c>
      <c r="G98" s="33" t="n">
        <f aca="false">(G97/G96)</f>
        <v>1253.61554592019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14622.5088812864</v>
      </c>
      <c r="C99" s="32"/>
      <c r="D99" s="32"/>
      <c r="E99" s="23"/>
      <c r="F99" s="31" t="s">
        <v>115</v>
      </c>
      <c r="G99" s="33" t="n">
        <f aca="false">((G98*(G94))+G86)</f>
        <v>13789.7710051221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14622.5088812864</v>
      </c>
      <c r="C101" s="32"/>
      <c r="D101" s="32"/>
      <c r="E101" s="23"/>
      <c r="F101" s="56" t="s">
        <v>117</v>
      </c>
      <c r="G101" s="65" t="n">
        <f aca="false">(G99+G100)</f>
        <v>13789.7710051221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1329.31898920786</v>
      </c>
      <c r="C104" s="32"/>
      <c r="D104" s="32"/>
      <c r="E104" s="23"/>
      <c r="F104" s="95" t="s">
        <v>119</v>
      </c>
      <c r="G104" s="96" t="n">
        <f aca="false">G101/(G94)</f>
        <v>1253.61554592019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1329.31898920786</v>
      </c>
      <c r="C105" s="32"/>
      <c r="D105" s="32"/>
      <c r="E105" s="23" t="s">
        <v>18</v>
      </c>
      <c r="F105" s="97" t="s">
        <v>120</v>
      </c>
      <c r="G105" s="98" t="n">
        <f aca="false">G103+G104</f>
        <v>1253.61554592019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21099.996</v>
      </c>
      <c r="C130" s="121" t="n">
        <v>19583.33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21099.996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21099.996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21099.996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21099.996</v>
      </c>
      <c r="C134" s="133" t="n">
        <f aca="false">C130-C133</f>
        <v>19583.33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17583.33</v>
      </c>
      <c r="H144" s="153" t="n">
        <f aca="false">C134+E134+G134+H137</f>
        <v>19583.33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3516.666</v>
      </c>
      <c r="H146" s="33" t="n">
        <f aca="false">(H144+H145)*20%</f>
        <v>3916.666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21099.996</v>
      </c>
      <c r="H150" s="157" t="n">
        <f aca="false">(H144+H145+H148+H149+H146)-H147</f>
        <v>23499.996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21099.996</v>
      </c>
      <c r="H156" s="164" t="n">
        <f aca="false">H150-((H153*1.2)+(H154*1.2)+(H155*1.2)+(H151*1.2))</f>
        <v>23499.996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-15083.33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23499.996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1329.31898920786</v>
      </c>
      <c r="B176" s="177" t="n">
        <f aca="false">B103</f>
        <v>0</v>
      </c>
      <c r="C176" s="174"/>
      <c r="D176" s="174"/>
      <c r="E176" s="177" t="n">
        <f aca="false">B105</f>
        <v>1329.31898920786</v>
      </c>
      <c r="F176" s="23"/>
      <c r="G176" s="23" t="n">
        <f aca="false">ROUND(G104, 2)</f>
        <v>1253.62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19583.33</v>
      </c>
      <c r="B182" s="103" t="n">
        <f aca="false">H146</f>
        <v>3916.666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23499.996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23499.996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-2877.48711871359</v>
      </c>
      <c r="B191" s="103" t="str">
        <f aca="false">B123</f>
        <v>199.99</v>
      </c>
      <c r="C191" s="103"/>
      <c r="D191" s="23"/>
      <c r="E191" s="103" t="n">
        <f aca="false">E188+A191+(B191*1.2)+A194</f>
        <v>20872.4968812864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97.91665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197.90665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1329.31898920786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-3710.176</v>
      </c>
      <c r="B210" s="186" t="n">
        <f aca="false">E188+A210+(B191*1.2)+A194</f>
        <v>20039.808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1329.31898920786</v>
      </c>
      <c r="B221" s="177" t="n">
        <f aca="false">B176</f>
        <v>0</v>
      </c>
      <c r="C221" s="174"/>
      <c r="D221" s="174"/>
      <c r="E221" s="177" t="n">
        <f aca="false">E176</f>
        <v>1329.31898920786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19583.33</v>
      </c>
      <c r="B224" s="103" t="n">
        <f aca="false">B182</f>
        <v>3916.666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23499.996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23499.996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-2877.48711871359</v>
      </c>
      <c r="B233" s="103" t="str">
        <f aca="false">B191</f>
        <v>199.99</v>
      </c>
      <c r="C233" s="103"/>
      <c r="D233" s="113"/>
      <c r="E233" s="103" t="n">
        <f aca="false">E191</f>
        <v>20872.4968812864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1329.31898920786</v>
      </c>
      <c r="B239" s="103" t="n">
        <f aca="false">B176</f>
        <v>0</v>
      </c>
      <c r="C239" s="186"/>
      <c r="D239" s="186"/>
      <c r="E239" s="103" t="n">
        <f aca="false">E176</f>
        <v>1329.31898920786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97.91665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2197.90665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842.688881286413</v>
      </c>
      <c r="C263" s="197"/>
      <c r="D263" s="198" t="s">
        <v>218</v>
      </c>
      <c r="E263" s="198"/>
      <c r="F263" s="200" t="n">
        <f aca="false">F270+F276+F278+B279+B280</f>
        <v>117.49998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825.178901286413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14622.5088812864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117.49998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825.178901286413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249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16806.5358348192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220.3124625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14844.1760889046</v>
      </c>
      <c r="C88" s="93" t="n">
        <f aca="false">B81-B86</f>
        <v>14844.1760889046</v>
      </c>
      <c r="D88" s="93"/>
      <c r="E88" s="113"/>
      <c r="F88" s="31" t="s">
        <v>113</v>
      </c>
      <c r="G88" s="33" t="n">
        <f aca="false">G81-G86</f>
        <v>14075.6270487143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540.840608474464</v>
      </c>
      <c r="C89" s="93" t="n">
        <f aca="false">(B88/B87)</f>
        <v>540.840608474464</v>
      </c>
      <c r="D89" s="93"/>
      <c r="E89" s="113"/>
      <c r="F89" s="31" t="s">
        <v>114</v>
      </c>
      <c r="G89" s="33" t="n">
        <f aca="false">(G88/G87)</f>
        <v>480.272828124815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17306.8994711829</v>
      </c>
      <c r="C90" s="93"/>
      <c r="D90" s="93"/>
      <c r="E90" s="113"/>
      <c r="F90" s="31" t="s">
        <v>115</v>
      </c>
      <c r="G90" s="33" t="n">
        <f aca="false">((G89*(G85))+G77)</f>
        <v>15368.7304999941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17306.8994711829</v>
      </c>
      <c r="C92" s="93"/>
      <c r="D92" s="93"/>
      <c r="E92" s="113"/>
      <c r="F92" s="56" t="s">
        <v>117</v>
      </c>
      <c r="G92" s="65" t="n">
        <f aca="false">(G90+G91)</f>
        <v>15368.7304999941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540.840608474464</v>
      </c>
      <c r="C95" s="93"/>
      <c r="D95" s="93"/>
      <c r="E95" s="113"/>
      <c r="F95" s="95" t="s">
        <v>119</v>
      </c>
      <c r="G95" s="96" t="n">
        <f aca="false">G92/(G85)</f>
        <v>480.272828124815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540.840608474464</v>
      </c>
      <c r="C96" s="93"/>
      <c r="D96" s="93"/>
      <c r="E96" s="113"/>
      <c r="F96" s="97" t="s">
        <v>120</v>
      </c>
      <c r="G96" s="98" t="n">
        <f aca="false">G94+G95</f>
        <v>480.272828124815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540.840608474464</v>
      </c>
      <c r="B167" s="177" t="n">
        <f aca="false">B94</f>
        <v>0</v>
      </c>
      <c r="C167" s="174"/>
      <c r="D167" s="174"/>
      <c r="E167" s="177" t="n">
        <f aca="false">B96</f>
        <v>540.840608474464</v>
      </c>
      <c r="F167" s="23"/>
      <c r="G167" s="23" t="n">
        <f aca="false">ROUND(G95, 2)</f>
        <v>480.27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1006.90347118286</v>
      </c>
      <c r="B182" s="103" t="str">
        <f aca="false">B114</f>
        <v>239.99</v>
      </c>
      <c r="C182" s="103"/>
      <c r="D182" s="23"/>
      <c r="E182" s="103" t="n">
        <f aca="false">E179+A182+B182+A185</f>
        <v>24756.8894711829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183.59371875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283.585385416667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540.840608474464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-931.356000000003</v>
      </c>
      <c r="B201" s="186" t="n">
        <f aca="false">E179+A201+B182+A185</f>
        <v>22818.63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540.840608474464</v>
      </c>
      <c r="B212" s="177" t="n">
        <f aca="false">B167</f>
        <v>0</v>
      </c>
      <c r="C212" s="174"/>
      <c r="D212" s="174"/>
      <c r="E212" s="177" t="n">
        <f aca="false">E167</f>
        <v>540.840608474464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1006.90347118286</v>
      </c>
      <c r="B224" s="103" t="str">
        <f aca="false">B182</f>
        <v>239.99</v>
      </c>
      <c r="C224" s="103"/>
      <c r="D224" s="113"/>
      <c r="E224" s="103" t="n">
        <f aca="false">E182</f>
        <v>24756.8894711829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540.840608474464</v>
      </c>
      <c r="B230" s="103" t="n">
        <f aca="false">B167</f>
        <v>0</v>
      </c>
      <c r="C230" s="186"/>
      <c r="D230" s="186"/>
      <c r="E230" s="103" t="n">
        <f aca="false">E167</f>
        <v>540.840608474464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183.59371875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2283.58538541667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1948.25947118286</v>
      </c>
      <c r="C254" s="197"/>
      <c r="D254" s="198" t="s">
        <v>218</v>
      </c>
      <c r="E254" s="198"/>
      <c r="F254" s="200" t="n">
        <f aca="false">F261+F267+F269+B270+B271</f>
        <v>220.3124625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1827.93867534953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220.3124625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1827.93867534953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14425.4239070671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13881.8018648348</v>
      </c>
      <c r="C88" s="93" t="n">
        <f aca="false">B81-B86</f>
        <v>13881.8018648348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1356.94762791519</v>
      </c>
      <c r="C89" s="93" t="n">
        <f aca="false">(B88/B87)</f>
        <v>1356.94762791519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14926.4239070671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14926.4239070671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1356.94762791519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1356.94762791519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1356.94762791519</v>
      </c>
      <c r="B167" s="177" t="str">
        <f aca="false">B94</f>
        <v>0</v>
      </c>
      <c r="C167" s="174"/>
      <c r="D167" s="174"/>
      <c r="E167" s="177" t="n">
        <f aca="false">B96</f>
        <v>1356.94762791519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-1373.57209293293</v>
      </c>
      <c r="B182" s="103" t="str">
        <f aca="false">B114</f>
        <v>199.99</v>
      </c>
      <c r="C182" s="103"/>
      <c r="D182" s="23"/>
      <c r="E182" s="103" t="n">
        <f aca="false">E179+A182+(B182*1.2)+A185</f>
        <v>22376.4119070671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1356.94762791519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1356.94762791519</v>
      </c>
      <c r="B212" s="177" t="str">
        <f aca="false">B167</f>
        <v>0</v>
      </c>
      <c r="C212" s="174"/>
      <c r="D212" s="174"/>
      <c r="E212" s="177" t="n">
        <f aca="false">E167</f>
        <v>1356.94762791519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-1373.57209293293</v>
      </c>
      <c r="B224" s="103" t="str">
        <f aca="false">B182</f>
        <v>199.99</v>
      </c>
      <c r="C224" s="103"/>
      <c r="D224" s="113"/>
      <c r="E224" s="103" t="n">
        <f aca="false">E182</f>
        <v>22376.4119070671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1356.94762791519</v>
      </c>
      <c r="B230" s="103" t="str">
        <f aca="false">B167</f>
        <v>0</v>
      </c>
      <c r="C230" s="186"/>
      <c r="D230" s="186"/>
      <c r="E230" s="103" t="n">
        <f aca="false">E167</f>
        <v>1356.94762791519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1146.60390706707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1129.09392706707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1129.09392706707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239.99</v>
      </c>
      <c r="C182" s="103"/>
      <c r="D182" s="23"/>
      <c r="E182" s="103" t="n">
        <f aca="false">E179+A182+B182+A185</f>
        <v>22072.5031366378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197.908316666667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E179+A201+B182+A185</f>
        <v>21239.81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239.99</v>
      </c>
      <c r="C224" s="103"/>
      <c r="D224" s="113"/>
      <c r="E224" s="103" t="n">
        <f aca="false">E182</f>
        <v>22072.5031366378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2197.90831666667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825.184823304472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825.184823304472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199.99</v>
      </c>
      <c r="C182" s="103"/>
      <c r="D182" s="23"/>
      <c r="E182" s="103" t="n">
        <f aca="false">E179+A182+(B182*1.2)+A185</f>
        <v>22072.5011366378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199.99</v>
      </c>
      <c r="C224" s="103"/>
      <c r="D224" s="113"/>
      <c r="E224" s="103" t="n">
        <f aca="false">E182</f>
        <v>22072.5011366378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825.183156637805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825.183156637805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215" t="n">
        <v>10000</v>
      </c>
      <c r="D64" s="291" t="n">
        <f aca="false">B64</f>
        <v>1476.99972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2803.66638666667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233.638865555556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10578.799664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74.6789004114563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10653.4785644115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887.789880367621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965.789880367621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887.789880367621</v>
      </c>
      <c r="B128" s="321" t="n">
        <f aca="false">IF(A105="YES", B89, 0)</f>
        <v>78</v>
      </c>
      <c r="C128" s="326"/>
      <c r="D128" s="321" t="n">
        <f aca="false">B91</f>
        <v>965.789880367621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887.789880367621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965.789880367621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887.789880367621</v>
      </c>
      <c r="B137" s="38" t="n">
        <f aca="false">IF(A105="YES", B89, 0)</f>
        <v>78</v>
      </c>
      <c r="C137" s="317"/>
      <c r="D137" s="38" t="n">
        <f aca="false">B91</f>
        <v>965.789880367621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965.789880367621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887.789880367621</v>
      </c>
      <c r="B171" s="355" t="n">
        <f aca="false">IF(A105="YES", B89, 0)</f>
        <v>78</v>
      </c>
      <c r="C171" s="358"/>
      <c r="D171" s="355" t="n">
        <f aca="false">B91</f>
        <v>965.789880367621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887.789880367621</v>
      </c>
      <c r="C174" s="353"/>
      <c r="D174" s="103" t="n">
        <f aca="false">IF(A105="YES", B89*B57, 0)</f>
        <v>78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965.789880367621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887.789880367621</v>
      </c>
      <c r="B180" s="103" t="n">
        <f aca="false">IF(A105="YES", B89, 0)</f>
        <v>78</v>
      </c>
      <c r="C180" s="353"/>
      <c r="D180" s="103" t="n">
        <f aca="false">B91</f>
        <v>965.789880367621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210.99996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1476.99972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210.99996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1785.98976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1476.99972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210.99996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1785.98976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74.6789004114563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</v>
      </c>
      <c r="C9" s="14" t="n">
        <f aca="false">B9*0.2</f>
        <v>3700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18500</v>
      </c>
      <c r="C15" s="14" t="n">
        <f aca="false">SUM(C9:C13)</f>
        <v>3700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22200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22200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1554</v>
      </c>
      <c r="C64" s="215" t="n">
        <v>10000</v>
      </c>
      <c r="D64" s="291" t="n">
        <f aca="false">B64</f>
        <v>1554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222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2880.66666666667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240.055555555556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8892.66666666667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75.3311819281969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8967.99784859486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747.333154049572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812.333154049572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747.333154049572</v>
      </c>
      <c r="B128" s="321" t="n">
        <f aca="false">IF(A105="YES", B89, 0)</f>
        <v>65</v>
      </c>
      <c r="C128" s="326"/>
      <c r="D128" s="321" t="n">
        <f aca="false">B91</f>
        <v>812.333154049572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747.333154049572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812.333154049572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747.333154049572</v>
      </c>
      <c r="B137" s="38" t="n">
        <f aca="false">IF(A105="YES", B89, 0)</f>
        <v>65</v>
      </c>
      <c r="C137" s="317"/>
      <c r="D137" s="38" t="n">
        <f aca="false">B91</f>
        <v>812.333154049572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222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739.99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812.333154049572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747.333154049572</v>
      </c>
      <c r="B171" s="355" t="n">
        <f aca="false">IF(A105="YES", B89, 0)</f>
        <v>65</v>
      </c>
      <c r="C171" s="358"/>
      <c r="D171" s="355" t="n">
        <f aca="false">B91</f>
        <v>812.333154049572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747.333154049572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812.333154049572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747.333154049572</v>
      </c>
      <c r="B180" s="103" t="n">
        <f aca="false">IF(A105="YES", B89, 0)</f>
        <v>65</v>
      </c>
      <c r="C180" s="353"/>
      <c r="D180" s="103" t="n">
        <f aca="false">B91</f>
        <v>812.333154049572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222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739.99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1554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222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1851.99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1554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222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1851.99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75.3311819281969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45275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333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336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292.9445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292.9445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292.9445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9572.0848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9639.65700008068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803.304750006723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803.304750006723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803.304750006723</v>
      </c>
      <c r="B134" s="321" t="n">
        <f aca="false">IF(A111="YES", B95, 0)</f>
        <v>0</v>
      </c>
      <c r="C134" s="325"/>
      <c r="D134" s="321" t="n">
        <f aca="false">B97</f>
        <v>803.304750006723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803.304750006723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803.304750006723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803.304750006723</v>
      </c>
      <c r="B143" s="38" t="n">
        <f aca="false">IF(A111="YES", B95, 0)</f>
        <v>0</v>
      </c>
      <c r="C143" s="317"/>
      <c r="D143" s="38" t="n">
        <f aca="false">B97</f>
        <v>803.304750006723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803.304750006723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803.304750006723</v>
      </c>
      <c r="B177" s="355" t="n">
        <f aca="false">IF(A111="YES", B95, 0)</f>
        <v>0</v>
      </c>
      <c r="C177" s="357"/>
      <c r="D177" s="355" t="n">
        <f aca="false">A177+B177</f>
        <v>803.304750006723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803.304750006723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803.304750006723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803.304750006723</v>
      </c>
      <c r="B186" s="103" t="n">
        <f aca="false">IF(A111="YES", B95, 0)</f>
        <v>0</v>
      </c>
      <c r="C186" s="353"/>
      <c r="D186" s="103" t="n">
        <f aca="false">B97</f>
        <v>803.304750006723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710.991626666667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2965.81170666667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2965.81170666667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45275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347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70</v>
      </c>
      <c r="B44" s="104" t="s">
        <v>336</v>
      </c>
      <c r="C44" s="104"/>
      <c r="D44" s="104" t="s">
        <v>336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342.9445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7976.73733333333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8044.30953341401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670.359127784501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735.359127784501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670.359127784501</v>
      </c>
      <c r="B134" s="321" t="n">
        <f aca="false">IF(A111="YES", B95, 0)</f>
        <v>65</v>
      </c>
      <c r="C134" s="326"/>
      <c r="D134" s="321" t="n">
        <f aca="false">B97</f>
        <v>735.359127784501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670.359127784501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735.359127784501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670.359127784501</v>
      </c>
      <c r="B143" s="38" t="n">
        <f aca="false">IF(A111="YES", B95, 0)</f>
        <v>65</v>
      </c>
      <c r="C143" s="317"/>
      <c r="D143" s="38" t="n">
        <f aca="false">B97</f>
        <v>735.359127784501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735.359127784501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670.359127784501</v>
      </c>
      <c r="B177" s="355" t="n">
        <f aca="false">IF(A111="YES", B95, 0)</f>
        <v>65</v>
      </c>
      <c r="C177" s="358"/>
      <c r="D177" s="355" t="n">
        <f aca="false">B91</f>
        <v>7976.73733333333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670.359127784501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735.359127784501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670.359127784501</v>
      </c>
      <c r="B186" s="103" t="n">
        <f aca="false">IF(A111="YES", B95, 0)</f>
        <v>65</v>
      </c>
      <c r="C186" s="353"/>
      <c r="D186" s="103" t="n">
        <f aca="false">B97</f>
        <v>735.359127784501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3145.81004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3145.81004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str">
        <f aca="false">IF(B38="YES", D38+A41, D38)</f>
        <v>500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348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11013.5022634837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917.791855290305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995.791855290305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917.791855290305</v>
      </c>
      <c r="B134" s="321" t="n">
        <f aca="false">IF(A111="YES", B95, 0)</f>
        <v>78</v>
      </c>
      <c r="C134" s="326"/>
      <c r="D134" s="321" t="n">
        <f aca="false">B97</f>
        <v>995.791855290305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917.791855290305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995.791855290305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917.791855290305</v>
      </c>
      <c r="B143" s="38" t="n">
        <f aca="false">IF(A111="YES", B95, 0)</f>
        <v>78</v>
      </c>
      <c r="C143" s="317"/>
      <c r="D143" s="38" t="n">
        <f aca="false">B97</f>
        <v>995.791855290305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995.791855290305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917.791855290305</v>
      </c>
      <c r="B177" s="355" t="n">
        <f aca="false">IF(A111="YES", B95, 0)</f>
        <v>78</v>
      </c>
      <c r="C177" s="358"/>
      <c r="D177" s="355" t="n">
        <f aca="false">B97</f>
        <v>995.791855290305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917.791855290305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995.791855290305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917.791855290305</v>
      </c>
      <c r="B186" s="103" t="n">
        <f aca="false">IF(A111="YES", B95, 0)</f>
        <v>78</v>
      </c>
      <c r="C186" s="353"/>
      <c r="D186" s="103" t="n">
        <f aca="false">B97</f>
        <v>995.791855290305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830.898804401416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65</v>
      </c>
      <c r="C134" s="326"/>
      <c r="D134" s="321" t="n">
        <f aca="false">B97</f>
        <v>830.898804401416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765.898804401416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830.898804401416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65</v>
      </c>
      <c r="C143" s="317"/>
      <c r="D143" s="38" t="n">
        <f aca="false">B97</f>
        <v>830.898804401416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830.898804401416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65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765.898804401416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830.898804401416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65</v>
      </c>
      <c r="C186" s="353"/>
      <c r="D186" s="103" t="n">
        <f aca="false">B97</f>
        <v>830.898804401416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2434.91638666667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202.909698888889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10136.299664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71.5551610004034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10207.8548250004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850.654568750034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850.654568750034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850.654568750034</v>
      </c>
      <c r="B134" s="321" t="n">
        <f aca="false">IF(A111="YES", B95, 0)</f>
        <v>0</v>
      </c>
      <c r="C134" s="326"/>
      <c r="D134" s="321" t="n">
        <f aca="false">B97</f>
        <v>850.654568750034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850.654568750034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850.654568750034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850.654568750034</v>
      </c>
      <c r="B143" s="38" t="n">
        <f aca="false">IF(A111="YES", B95, 0)</f>
        <v>0</v>
      </c>
      <c r="C143" s="317"/>
      <c r="D143" s="38" t="n">
        <f aca="false">B97</f>
        <v>850.654568750034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310.991626666667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850.654568750034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850.654568750034</v>
      </c>
      <c r="B177" s="355" t="n">
        <f aca="false">IF(A111="YES", B95, 0)</f>
        <v>0</v>
      </c>
      <c r="C177" s="358"/>
      <c r="D177" s="355" t="n">
        <f aca="false">B91</f>
        <v>10136.299664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850.654568750034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850.654568750034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850.654568750034</v>
      </c>
      <c r="B186" s="103" t="n">
        <f aca="false">IF(A111="YES", B95, 0)</f>
        <v>0</v>
      </c>
      <c r="C186" s="353"/>
      <c r="D186" s="103" t="n">
        <f aca="false">B97</f>
        <v>850.654568750034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1365.99142666667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1365.99142666667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71.5551610004034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0</v>
      </c>
      <c r="C134" s="326"/>
      <c r="D134" s="321" t="n">
        <f aca="false">B97</f>
        <v>765.898804401416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6893.08923961275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6893.08923961275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0</v>
      </c>
      <c r="C143" s="317"/>
      <c r="D143" s="38" t="n">
        <f aca="false">B97</f>
        <v>765.898804401416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0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6893.08923961275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6893.08923961275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0</v>
      </c>
      <c r="C186" s="353"/>
      <c r="D186" s="103" t="n">
        <f aca="false">B97</f>
        <v>765.898804401416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552.861519485774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552.861519485774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17583.33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552.861519485774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552.861519485774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5356.14215907465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171.354134027778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552.861519485774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552.861519485774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552.861519485774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552.861519485774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20999.996</v>
      </c>
      <c r="C88" s="93"/>
      <c r="D88" s="93"/>
      <c r="E88" s="113"/>
      <c r="F88" s="31" t="s">
        <v>113</v>
      </c>
      <c r="G88" s="33" t="n">
        <f aca="false">G81-G86</f>
        <v>20999.996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726.655745325787</v>
      </c>
      <c r="C89" s="93"/>
      <c r="D89" s="93"/>
      <c r="E89" s="113"/>
      <c r="F89" s="31" t="s">
        <v>114</v>
      </c>
      <c r="G89" s="33" t="n">
        <f aca="false">(G88/G87)</f>
        <v>660.289586657089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24706.2953410768</v>
      </c>
      <c r="C90" s="93"/>
      <c r="D90" s="93"/>
      <c r="E90" s="113"/>
      <c r="F90" s="31" t="s">
        <v>115</v>
      </c>
      <c r="G90" s="33" t="n">
        <f aca="false">((G89*(G85))+G77)</f>
        <v>23110.1355329981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24706.2953410768</v>
      </c>
      <c r="C92" s="93"/>
      <c r="D92" s="93"/>
      <c r="E92" s="113"/>
      <c r="F92" s="56" t="s">
        <v>117</v>
      </c>
      <c r="G92" s="65" t="n">
        <f aca="false">(G90+G91)</f>
        <v>23110.1355329981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726.655745325787</v>
      </c>
      <c r="C95" s="93"/>
      <c r="D95" s="93"/>
      <c r="E95" s="113"/>
      <c r="F95" s="95" t="s">
        <v>119</v>
      </c>
      <c r="G95" s="96" t="n">
        <f aca="false">G92/(G85)</f>
        <v>660.289586657089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726.655745325787</v>
      </c>
      <c r="C96" s="93"/>
      <c r="D96" s="93"/>
      <c r="E96" s="113"/>
      <c r="F96" s="97" t="s">
        <v>120</v>
      </c>
      <c r="G96" s="98" t="n">
        <f aca="false">G94+G95</f>
        <v>660.289586657089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726.655745325787</v>
      </c>
      <c r="B167" s="177" t="str">
        <f aca="false">B94</f>
        <v>0</v>
      </c>
      <c r="C167" s="174"/>
      <c r="D167" s="174"/>
      <c r="E167" s="177" t="n">
        <f aca="false">B96</f>
        <v>726.655745325787</v>
      </c>
      <c r="F167" s="23"/>
      <c r="G167" s="23" t="n">
        <f aca="false">ROUND(G95, 2)</f>
        <v>660.29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4422.95508640254</v>
      </c>
      <c r="B182" s="103" t="str">
        <f aca="false">B114</f>
        <v>239.99</v>
      </c>
      <c r="C182" s="103"/>
      <c r="D182" s="23"/>
      <c r="E182" s="103" t="n">
        <f aca="false">E179+A182+B182+A185</f>
        <v>25672.9410864025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726.655745325787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171.354134027778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271.345800694445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726.655745325787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2166.51974532579</v>
      </c>
      <c r="B201" s="186" t="n">
        <f aca="false">E179+A201+B182+A185</f>
        <v>23416.5057453258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726.655745325787</v>
      </c>
      <c r="B212" s="177" t="str">
        <f aca="false">B167</f>
        <v>0</v>
      </c>
      <c r="C212" s="174"/>
      <c r="D212" s="174"/>
      <c r="E212" s="177" t="n">
        <f aca="false">E167</f>
        <v>726.655745325787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4422.95508640254</v>
      </c>
      <c r="B224" s="103" t="str">
        <f aca="false">B182</f>
        <v>239.99</v>
      </c>
      <c r="C224" s="103"/>
      <c r="D224" s="113"/>
      <c r="E224" s="103" t="n">
        <f aca="false">E182</f>
        <v>25672.9410864025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726.655745325787</v>
      </c>
      <c r="B230" s="103" t="str">
        <f aca="false">B167</f>
        <v>0</v>
      </c>
      <c r="C230" s="186"/>
      <c r="D230" s="186"/>
      <c r="E230" s="103" t="n">
        <f aca="false">E167</f>
        <v>726.655745325787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726.655745325787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171.354134027778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2271.34580069444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2266.43534107675</v>
      </c>
      <c r="C254" s="197"/>
      <c r="D254" s="198" t="s">
        <v>218</v>
      </c>
      <c r="E254" s="198"/>
      <c r="F254" s="200" t="n">
        <f aca="false">F261+F267+F269+B270+B271</f>
        <v>205.624960833333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2160.80204691008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2266.43534107675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205.624960833333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2160.80204691008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32.7272727272727</v>
      </c>
      <c r="C94" s="93"/>
      <c r="D94" s="93"/>
      <c r="E94" s="113"/>
      <c r="F94" s="88" t="s">
        <v>118</v>
      </c>
      <c r="G94" s="94" t="n">
        <f aca="false">IF(B26="YES",((E40/B85)*(1+A108)*(C45/100)),"0")</f>
        <v>32.7272727272727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597.293561103525</v>
      </c>
      <c r="C96" s="93"/>
      <c r="D96" s="93"/>
      <c r="E96" s="113"/>
      <c r="F96" s="97" t="s">
        <v>120</v>
      </c>
      <c r="G96" s="98" t="n">
        <f aca="false">G94+G95</f>
        <v>492.507671613885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564.566288376252</v>
      </c>
      <c r="B167" s="177" t="n">
        <f aca="false">B94</f>
        <v>32.7272727272727</v>
      </c>
      <c r="C167" s="174"/>
      <c r="D167" s="174"/>
      <c r="E167" s="177" t="n">
        <f aca="false">B96</f>
        <v>597.293561103525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193.489983333333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597.293561103525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32.7272727272727</v>
      </c>
      <c r="C212" s="174"/>
      <c r="D212" s="174"/>
      <c r="E212" s="177" t="n">
        <f aca="false">E167</f>
        <v>597.293561103525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32.7272727272727</v>
      </c>
      <c r="C230" s="186"/>
      <c r="D230" s="186"/>
      <c r="E230" s="103" t="n">
        <f aca="false">E167</f>
        <v>597.293561103525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2193.48998333333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159.99</v>
      </c>
      <c r="C255" s="197"/>
      <c r="D255" s="198" t="s">
        <v>220</v>
      </c>
      <c r="E255" s="198"/>
      <c r="F255" s="200" t="n">
        <f aca="false">(B254-F254)+B255</f>
        <v>1217.63919213878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60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1217.63919213878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11730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299.539129582044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299.539129582044</v>
      </c>
      <c r="B36" s="232" t="str">
        <f aca="false">IF(B26="YES", K42, "0.00")</f>
        <v>0.00</v>
      </c>
      <c r="C36" s="232"/>
      <c r="D36" s="232"/>
      <c r="E36" s="232" t="n">
        <f aca="false">K31</f>
        <v>11730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2"/>
    </row>
    <row r="40" customFormat="false" ht="17.35" hidden="false" customHeight="false" outlineLevel="0" collapsed="false">
      <c r="A40" s="107" t="n">
        <f aca="false">E36*A45/100</f>
        <v>11730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7882.31662791798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9701.01337208203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299.539129582044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299.539129582044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4452.15254185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174.999966666667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299.539129582044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299.539129582044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299.539129582044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299.539129582044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11730</v>
      </c>
      <c r="C82" s="93"/>
      <c r="D82" s="93"/>
      <c r="E82" s="113"/>
      <c r="F82" s="31" t="s">
        <v>107</v>
      </c>
      <c r="G82" s="33" t="n">
        <f aca="false">IF(A111="YES",A40,0)</f>
        <v>11730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11730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11730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8198.38965912775</v>
      </c>
      <c r="C86" s="93"/>
      <c r="D86" s="93"/>
      <c r="E86" s="113"/>
      <c r="F86" s="31" t="s">
        <v>111</v>
      </c>
      <c r="G86" s="33" t="n">
        <f aca="false">(G82/((1+G84)^(G85+1)))</f>
        <v>9513.956169897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7934.96785267316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7934.96785267316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12801.6063408723</v>
      </c>
      <c r="C88" s="93"/>
      <c r="D88" s="93"/>
      <c r="E88" s="113"/>
      <c r="F88" s="31" t="s">
        <v>113</v>
      </c>
      <c r="G88" s="33" t="n">
        <f aca="false">G81-G86</f>
        <v>11486.039830103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435.301748765817</v>
      </c>
      <c r="C89" s="93"/>
      <c r="D89" s="93"/>
      <c r="E89" s="113"/>
      <c r="F89" s="31" t="s">
        <v>114</v>
      </c>
      <c r="G89" s="33" t="n">
        <f aca="false">(G88/G87)</f>
        <v>363.765624720186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15235.5612068036</v>
      </c>
      <c r="C90" s="93"/>
      <c r="D90" s="93"/>
      <c r="E90" s="113"/>
      <c r="F90" s="31" t="s">
        <v>115</v>
      </c>
      <c r="G90" s="33" t="n">
        <f aca="false">((G89*(G85))+G77)</f>
        <v>12731.7968652065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15235.5612068036</v>
      </c>
      <c r="C92" s="93"/>
      <c r="D92" s="93"/>
      <c r="E92" s="113"/>
      <c r="F92" s="56" t="s">
        <v>117</v>
      </c>
      <c r="G92" s="65" t="n">
        <f aca="false">(G90+G91)</f>
        <v>12731.7968652065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435.301748765817</v>
      </c>
      <c r="C95" s="93"/>
      <c r="D95" s="93"/>
      <c r="E95" s="113"/>
      <c r="F95" s="95" t="s">
        <v>119</v>
      </c>
      <c r="G95" s="96" t="n">
        <f aca="false">G92/(G85)</f>
        <v>363.765624720186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435.301748765817</v>
      </c>
      <c r="C96" s="93"/>
      <c r="D96" s="93"/>
      <c r="E96" s="113"/>
      <c r="F96" s="97" t="s">
        <v>120</v>
      </c>
      <c r="G96" s="98" t="n">
        <f aca="false">G94+G95</f>
        <v>363.765624720186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435.301748765817</v>
      </c>
      <c r="B167" s="177" t="str">
        <f aca="false">B94</f>
        <v>0</v>
      </c>
      <c r="C167" s="174"/>
      <c r="D167" s="174"/>
      <c r="E167" s="177" t="n">
        <f aca="false">B96</f>
        <v>435.301748765817</v>
      </c>
      <c r="F167" s="23"/>
      <c r="G167" s="23" t="n">
        <f aca="false">ROUND(G95, 2)</f>
        <v>363.77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11730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11730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11730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11730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5965.56520680359</v>
      </c>
      <c r="B182" s="103" t="str">
        <f aca="false">B114</f>
        <v>239.99</v>
      </c>
      <c r="C182" s="103"/>
      <c r="D182" s="23"/>
      <c r="E182" s="103" t="n">
        <f aca="false">E179+A182+B182+A185</f>
        <v>27215.5512068036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11740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11750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11740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11740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209.99996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309.991626666667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435.301748765817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3461.95399999999</v>
      </c>
      <c r="B201" s="186" t="n">
        <f aca="false">E179+A201+B182+A185</f>
        <v>24711.94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435.301748765817</v>
      </c>
      <c r="B212" s="177" t="str">
        <f aca="false">B167</f>
        <v>0</v>
      </c>
      <c r="C212" s="174"/>
      <c r="D212" s="174"/>
      <c r="E212" s="177" t="n">
        <f aca="false">E167</f>
        <v>435.301748765817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5965.56520680359</v>
      </c>
      <c r="B224" s="103" t="str">
        <f aca="false">B182</f>
        <v>239.99</v>
      </c>
      <c r="C224" s="103"/>
      <c r="D224" s="113"/>
      <c r="E224" s="103" t="n">
        <f aca="false">E182</f>
        <v>27215.5512068036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435.301748765817</v>
      </c>
      <c r="B230" s="103" t="str">
        <f aca="false">B167</f>
        <v>0</v>
      </c>
      <c r="C230" s="186"/>
      <c r="D230" s="186"/>
      <c r="E230" s="103" t="n">
        <f aca="false">E167</f>
        <v>435.301748765817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11730</v>
      </c>
      <c r="B233" s="103" t="n">
        <f aca="false">E185</f>
        <v>11740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174.999966666667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2274.99163333333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2513.61120680359</v>
      </c>
      <c r="C254" s="197"/>
      <c r="D254" s="198" t="s">
        <v>218</v>
      </c>
      <c r="E254" s="198"/>
      <c r="F254" s="200" t="n">
        <f aca="false">F261+F267+F269+B270+B271</f>
        <v>209.99996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2403.60291347026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2513.61120680359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209.99996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2403.60291347026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384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35.4545454545455</v>
      </c>
      <c r="C94" s="93"/>
      <c r="D94" s="93"/>
      <c r="E94" s="113"/>
      <c r="F94" s="88" t="s">
        <v>118</v>
      </c>
      <c r="G94" s="94" t="n">
        <f aca="false">IF(B26="YES",((E40/B85)*(1+A108)*(C45/100)),"0")</f>
        <v>35.4545454545455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600.020833830798</v>
      </c>
      <c r="C96" s="93"/>
      <c r="D96" s="93"/>
      <c r="E96" s="113"/>
      <c r="F96" s="97" t="s">
        <v>120</v>
      </c>
      <c r="G96" s="98" t="n">
        <f aca="false">G94+G95</f>
        <v>495.234944341158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384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564.566288376252</v>
      </c>
      <c r="B167" s="177" t="n">
        <f aca="false">B94</f>
        <v>35.4545454545455</v>
      </c>
      <c r="C167" s="174"/>
      <c r="D167" s="174"/>
      <c r="E167" s="177" t="n">
        <f aca="false">B96</f>
        <v>600.020833830798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196.489983333333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600.020833830798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35.4545454545455</v>
      </c>
      <c r="C212" s="174"/>
      <c r="D212" s="174"/>
      <c r="E212" s="177" t="n">
        <f aca="false">E167</f>
        <v>600.020833830798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35.4545454545455</v>
      </c>
      <c r="C230" s="186"/>
      <c r="D230" s="186"/>
      <c r="E230" s="103" t="n">
        <f aca="false">E167</f>
        <v>600.020833830798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2196.48998333333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189.99</v>
      </c>
      <c r="C255" s="197"/>
      <c r="D255" s="198" t="s">
        <v>220</v>
      </c>
      <c r="E255" s="198"/>
      <c r="F255" s="200" t="n">
        <f aca="false">(B254-F254)+B255</f>
        <v>1247.63919213878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90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1247.63919213878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326.904761904762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873.41707504133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30791.8198486688</v>
      </c>
      <c r="C85" s="473"/>
      <c r="D85" s="473"/>
      <c r="E85" s="466" t="n">
        <f aca="false">B85/(B58+B57)</f>
        <v>879.766281390536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260.842362574443</v>
      </c>
      <c r="C86" s="473" t="s">
        <v>232</v>
      </c>
      <c r="D86" s="215"/>
      <c r="E86" s="466" t="n">
        <f aca="false">B86/(B58+B57)</f>
        <v>7.45263893069837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31052.6622112432</v>
      </c>
      <c r="C87" s="473"/>
      <c r="D87" s="475"/>
      <c r="E87" s="466" t="n">
        <f aca="false">E86+E85</f>
        <v>887.218920321235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887.218920321235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887.218920321235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887.218920321235</v>
      </c>
      <c r="B128" s="321" t="n">
        <f aca="false">IF(A105="YES", B89, 0)</f>
        <v>0</v>
      </c>
      <c r="C128" s="325"/>
      <c r="D128" s="321" t="n">
        <f aca="false">B91</f>
        <v>887.218920321235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887.218920321235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887.218920321235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887.218920321235</v>
      </c>
      <c r="B137" s="38" t="n">
        <f aca="false">IF(A105="YES", B89, 0)</f>
        <v>0</v>
      </c>
      <c r="C137" s="317"/>
      <c r="D137" s="38" t="n">
        <f aca="false">B91</f>
        <v>887.218920321235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887.218920321235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887.218920321235</v>
      </c>
      <c r="B177" s="355" t="n">
        <f aca="false">IF(A105="YES", B89, 0)</f>
        <v>0</v>
      </c>
      <c r="C177" s="357"/>
      <c r="D177" s="355" t="n">
        <f aca="false">B91</f>
        <v>887.218920321235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887.218920321235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887.218920321235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887.218920321235</v>
      </c>
      <c r="B186" s="103" t="n">
        <f aca="false">IF(A105="YES", B89, 0)</f>
        <v>0</v>
      </c>
      <c r="C186" s="353"/>
      <c r="D186" s="103" t="n">
        <f aca="false">B91</f>
        <v>887.218920321235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260.842362574443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15450.0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1040.0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538.911531748625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538.911531748625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45678.4844074972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-28095.1544074972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538.911531748625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538.911531748625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538.911531748625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2215.49958</v>
      </c>
      <c r="C64" s="465" t="n">
        <v>10000</v>
      </c>
      <c r="D64" s="291" t="n">
        <f aca="false">B64</f>
        <v>2215.49958</v>
      </c>
      <c r="E64" s="466" t="n">
        <f aca="false">D64/(B58+B57)</f>
        <v>61.541655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3843.41624666667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106.761562407407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538.911531748625</v>
      </c>
      <c r="C83" s="473"/>
      <c r="D83" s="215"/>
      <c r="E83" s="466" t="n">
        <f aca="false">B83+E80+E77+E64</f>
        <v>645.673094156032</v>
      </c>
      <c r="F83" s="63"/>
      <c r="G83" s="305" t="s">
        <v>105</v>
      </c>
      <c r="H83" s="306" t="n">
        <f aca="false">H47</f>
        <v>538.911531748625</v>
      </c>
      <c r="I83" s="215"/>
      <c r="J83" s="215"/>
      <c r="K83" s="216"/>
      <c r="L83" s="63"/>
      <c r="M83" s="305" t="s">
        <v>105</v>
      </c>
      <c r="N83" s="306" t="n">
        <f aca="false">H47</f>
        <v>538.911531748625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27893.0776675406</v>
      </c>
      <c r="C85" s="473"/>
      <c r="D85" s="473"/>
      <c r="E85" s="466" t="n">
        <f aca="false">B85/(B58+B57)</f>
        <v>774.807712987238</v>
      </c>
      <c r="F85" s="63"/>
      <c r="G85" s="288" t="s">
        <v>115</v>
      </c>
      <c r="H85" s="131" t="n">
        <f aca="false">((H83*H29)+H81)*1.2</f>
        <v>24559.8781715406</v>
      </c>
      <c r="I85" s="215"/>
      <c r="J85" s="215"/>
      <c r="K85" s="216"/>
      <c r="L85" s="63"/>
      <c r="M85" s="288" t="s">
        <v>115</v>
      </c>
      <c r="N85" s="131" t="n">
        <f aca="false">((N83*H29)+N81)</f>
        <v>20122.8151429505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196.905550295264</v>
      </c>
      <c r="C86" s="473" t="s">
        <v>232</v>
      </c>
      <c r="D86" s="215"/>
      <c r="E86" s="466" t="n">
        <f aca="false">B86/(B58+B57)</f>
        <v>5.4695986193129</v>
      </c>
      <c r="F86" s="63"/>
      <c r="G86" s="214" t="s">
        <v>116</v>
      </c>
      <c r="H86" s="300" t="n">
        <f aca="false">((((H83*H29)+H81))/(1-H70))*H70</f>
        <v>173.37550141265</v>
      </c>
      <c r="I86" s="215"/>
      <c r="J86" s="215"/>
      <c r="K86" s="216"/>
      <c r="L86" s="63"/>
      <c r="M86" s="214" t="s">
        <v>116</v>
      </c>
      <c r="N86" s="300" t="n">
        <f aca="false">(N85/(1-N70))*N70</f>
        <v>170.46354094472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28089.9832178358</v>
      </c>
      <c r="C87" s="473"/>
      <c r="D87" s="475"/>
      <c r="E87" s="466" t="n">
        <f aca="false">E86+E85</f>
        <v>780.277311606551</v>
      </c>
      <c r="F87" s="63"/>
      <c r="G87" s="285" t="s">
        <v>117</v>
      </c>
      <c r="H87" s="133" t="n">
        <f aca="false">IF(H110="YES",((H85+H86)-K114),(H85+H86))</f>
        <v>24733.2536729532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20293.2786838952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780.277311606551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603.250089584225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494.958016680371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780.277311606551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603.250089584225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494.958016680371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3600</v>
      </c>
      <c r="E113" s="107" t="n">
        <v>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-1200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603.250089584225</v>
      </c>
      <c r="H127" s="177" t="n">
        <f aca="false">IF(G105="YES", H89*H57, 0)</f>
        <v>0</v>
      </c>
      <c r="I127" s="177"/>
      <c r="J127" s="334" t="n">
        <f aca="false">H91</f>
        <v>603.250089584225</v>
      </c>
      <c r="K127" s="216"/>
      <c r="L127" s="63"/>
      <c r="M127" s="333" t="n">
        <f aca="false">N90</f>
        <v>494.958016680371</v>
      </c>
      <c r="N127" s="177" t="n">
        <f aca="false">IF(M105="YES", N89*N57, 0)</f>
        <v>0</v>
      </c>
      <c r="O127" s="177"/>
      <c r="P127" s="177" t="n">
        <f aca="false">N91</f>
        <v>494.958016680371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780.277311606551</v>
      </c>
      <c r="B128" s="321" t="n">
        <f aca="false">IF(A105="YES", B89, 0)</f>
        <v>0</v>
      </c>
      <c r="C128" s="325"/>
      <c r="D128" s="321" t="n">
        <f aca="false">B91</f>
        <v>780.277311606551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780.277311606551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3619.50053750535</v>
      </c>
      <c r="H133" s="103" t="n">
        <f aca="false">IF(G105="YES", H89*H57, 0)</f>
        <v>0</v>
      </c>
      <c r="I133" s="221"/>
      <c r="J133" s="184" t="n">
        <f aca="false">H91*H57</f>
        <v>3619.50053750535</v>
      </c>
      <c r="K133" s="216"/>
      <c r="L133" s="63"/>
      <c r="M133" s="185" t="n">
        <f aca="false">N90*N57</f>
        <v>2969.74810008223</v>
      </c>
      <c r="N133" s="103" t="n">
        <f aca="false">IF(M105="YES", N89*N57, 0)</f>
        <v>0</v>
      </c>
      <c r="O133" s="221"/>
      <c r="P133" s="184" t="n">
        <f aca="false">N91*N57</f>
        <v>2969.74810008223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780.277311606551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780.277311606551</v>
      </c>
      <c r="B137" s="38" t="n">
        <f aca="false">IF(A105="YES", B89, 0)</f>
        <v>0</v>
      </c>
      <c r="C137" s="317"/>
      <c r="D137" s="38" t="n">
        <f aca="false">B91</f>
        <v>780.277311606551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310.991626666667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603.250089584225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494.958016680371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780.277311606551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780.277311606551</v>
      </c>
      <c r="B177" s="355" t="n">
        <f aca="false">IF(A105="YES", B89, 0)</f>
        <v>0</v>
      </c>
      <c r="C177" s="357"/>
      <c r="D177" s="355" t="n">
        <f aca="false">B91</f>
        <v>780.277311606551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780.277311606551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780.277311606551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780.277311606551</v>
      </c>
      <c r="B186" s="103" t="n">
        <f aca="false">IF(A105="YES", B89, 0)</f>
        <v>0</v>
      </c>
      <c r="C186" s="353"/>
      <c r="D186" s="103" t="n">
        <f aca="false">B91</f>
        <v>780.277311606551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210.99996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2215.49958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2104.49128666667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2215.49958</v>
      </c>
      <c r="C217" s="375" t="s">
        <v>223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2104.49128666667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196.905550295264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825</v>
      </c>
      <c r="C76" s="215"/>
      <c r="D76" s="291" t="n">
        <f aca="false">B76</f>
        <v>825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45.7142857142857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12266.6666666667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350.47619047619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896.988503612758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31616.8198486688</v>
      </c>
      <c r="C85" s="473"/>
      <c r="D85" s="473"/>
      <c r="E85" s="466" t="n">
        <f aca="false">B85/(B58+B57)</f>
        <v>903.337709961965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267.831067697476</v>
      </c>
      <c r="C86" s="473" t="s">
        <v>232</v>
      </c>
      <c r="D86" s="215"/>
      <c r="E86" s="466" t="n">
        <f aca="false">B86/(B58+B57)</f>
        <v>7.6523162199279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31884.6509163662</v>
      </c>
      <c r="C87" s="473"/>
      <c r="D87" s="475"/>
      <c r="E87" s="466" t="n">
        <f aca="false">E86+E85</f>
        <v>910.990026181893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910.990026181893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910.990026181893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910.990026181893</v>
      </c>
      <c r="B128" s="321" t="n">
        <f aca="false">IF(A105="YES", B89, 0)</f>
        <v>0</v>
      </c>
      <c r="C128" s="325"/>
      <c r="D128" s="321" t="n">
        <f aca="false">B91</f>
        <v>910.990026181893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910.990026181893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910.990026181893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910.990026181893</v>
      </c>
      <c r="B137" s="38" t="n">
        <f aca="false">IF(A105="YES", B89, 0)</f>
        <v>0</v>
      </c>
      <c r="C137" s="317"/>
      <c r="D137" s="38" t="n">
        <f aca="false">B91</f>
        <v>910.990026181893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910.990026181893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910.990026181893</v>
      </c>
      <c r="B177" s="355" t="n">
        <f aca="false">IF(A105="YES", B89, 0)</f>
        <v>0</v>
      </c>
      <c r="C177" s="357"/>
      <c r="D177" s="355" t="n">
        <f aca="false">B91</f>
        <v>910.990026181893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910.990026181893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910.990026181893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910.990026181893</v>
      </c>
      <c r="B186" s="103" t="n">
        <f aca="false">IF(A105="YES", B89, 0)</f>
        <v>0</v>
      </c>
      <c r="C186" s="353"/>
      <c r="D186" s="103" t="n">
        <f aca="false">B91</f>
        <v>910.990026181893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267.831067697476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394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22700.004</v>
      </c>
      <c r="B37" s="32"/>
      <c r="C37" s="41" t="s">
        <v>392</v>
      </c>
      <c r="D37" s="41"/>
      <c r="E37" s="32"/>
      <c r="F37" s="43" t="n">
        <f aca="false">A37-C37</f>
        <v>21700.004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C15</f>
        <v>3783.334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231.9445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318.0555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320.722166666667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270.722166666667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320.722166666667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17439.4292169556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124.99998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320.722166666667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320.722166666667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320.722166666667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21700.004</v>
      </c>
      <c r="C90" s="32"/>
      <c r="D90" s="32"/>
      <c r="E90" s="23"/>
      <c r="F90" s="25" t="s">
        <v>106</v>
      </c>
      <c r="G90" s="27" t="n">
        <f aca="false">F37</f>
        <v>21700.004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5295.78483323301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16404.219166767</v>
      </c>
      <c r="C97" s="32"/>
      <c r="D97" s="32"/>
      <c r="E97" s="23"/>
      <c r="F97" s="31" t="s">
        <v>113</v>
      </c>
      <c r="G97" s="33" t="n">
        <f aca="false">G90-G95</f>
        <v>16076.6129154658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1586.49356517778</v>
      </c>
      <c r="C98" s="32"/>
      <c r="D98" s="32"/>
      <c r="E98" s="23"/>
      <c r="F98" s="31" t="s">
        <v>114</v>
      </c>
      <c r="G98" s="33" t="n">
        <f aca="false">(G97/G96)</f>
        <v>1509.43697726744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17451.4292169556</v>
      </c>
      <c r="C99" s="32"/>
      <c r="D99" s="32"/>
      <c r="E99" s="23"/>
      <c r="F99" s="31" t="s">
        <v>115</v>
      </c>
      <c r="G99" s="33" t="n">
        <f aca="false">((G98*(G94))+G86)</f>
        <v>16603.8067499418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17451.4292169556</v>
      </c>
      <c r="C101" s="32"/>
      <c r="D101" s="32"/>
      <c r="E101" s="23"/>
      <c r="F101" s="56" t="s">
        <v>117</v>
      </c>
      <c r="G101" s="65" t="n">
        <f aca="false">(G99+G100)</f>
        <v>16603.8067499418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1586.49356517778</v>
      </c>
      <c r="C104" s="32"/>
      <c r="D104" s="32"/>
      <c r="E104" s="23"/>
      <c r="F104" s="95" t="s">
        <v>119</v>
      </c>
      <c r="G104" s="96" t="n">
        <f aca="false">G101/(G94)</f>
        <v>1509.43697726744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1671.58447426869</v>
      </c>
      <c r="C105" s="32"/>
      <c r="D105" s="32"/>
      <c r="E105" s="23" t="s">
        <v>384</v>
      </c>
      <c r="F105" s="97" t="s">
        <v>120</v>
      </c>
      <c r="G105" s="98" t="n">
        <f aca="false">G103+G104</f>
        <v>1509.43697726744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384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387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384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398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22700.004</v>
      </c>
      <c r="C130" s="121" t="n">
        <v>20833.33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22700.004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22700.004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22700.004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22700.004</v>
      </c>
      <c r="C134" s="133" t="n">
        <f aca="false">C130-C133</f>
        <v>20833.33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18916.67</v>
      </c>
      <c r="H144" s="153" t="n">
        <f aca="false">C134+E134+G134+H137</f>
        <v>20833.33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3783.334</v>
      </c>
      <c r="H146" s="33" t="n">
        <f aca="false">(H144+H145)*20%</f>
        <v>4166.666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22700.004</v>
      </c>
      <c r="H150" s="157" t="n">
        <f aca="false">(H144+H145+H148+H149+H146)-H147</f>
        <v>24999.996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22700.004</v>
      </c>
      <c r="H156" s="164" t="n">
        <f aca="false">H150-((H153*1.2)+(H154*1.2)+(H155*1.2)+(H151*1.2))</f>
        <v>24999.996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1916.66000000001</v>
      </c>
      <c r="I157" s="1" t="n">
        <f aca="false">(H157-G90)/1.2</f>
        <v>-16486.12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24999.996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1586.49356517778</v>
      </c>
      <c r="B176" s="177" t="n">
        <f aca="false">B103</f>
        <v>85.0909090909091</v>
      </c>
      <c r="C176" s="174"/>
      <c r="D176" s="174"/>
      <c r="E176" s="177" t="n">
        <f aca="false">B105</f>
        <v>1671.58447426869</v>
      </c>
      <c r="F176" s="23"/>
      <c r="G176" s="23" t="n">
        <f aca="false">ROUND(G104, 2)</f>
        <v>1509.44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20833.33</v>
      </c>
      <c r="B182" s="103" t="n">
        <f aca="false">H146</f>
        <v>4166.666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-1548.56678304441</v>
      </c>
      <c r="B191" s="103" t="str">
        <f aca="false">B123</f>
        <v>239.99</v>
      </c>
      <c r="C191" s="103"/>
      <c r="D191" s="23"/>
      <c r="E191" s="103" t="n">
        <f aca="false">E188+A191+B191+A194</f>
        <v>23701.4192169556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104.16665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222.158316666667</v>
      </c>
      <c r="C200" s="93"/>
      <c r="D200" s="93"/>
      <c r="E200" s="103" t="n">
        <f aca="false">H157</f>
        <v>1916.66000000001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1671.58447426869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-2396.156</v>
      </c>
      <c r="B210" s="186" t="n">
        <f aca="false">E188+A210+B191+A194</f>
        <v>22853.83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1586.49356517778</v>
      </c>
      <c r="B221" s="177" t="n">
        <f aca="false">B176</f>
        <v>85.0909090909091</v>
      </c>
      <c r="C221" s="174"/>
      <c r="D221" s="174"/>
      <c r="E221" s="177" t="n">
        <f aca="false">E176</f>
        <v>1671.58447426869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20833.33</v>
      </c>
      <c r="B224" s="103" t="n">
        <f aca="false">B182</f>
        <v>4166.666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-1548.56678304441</v>
      </c>
      <c r="B233" s="103" t="str">
        <f aca="false">B191</f>
        <v>239.99</v>
      </c>
      <c r="C233" s="103"/>
      <c r="D233" s="113"/>
      <c r="E233" s="103" t="n">
        <f aca="false">E191</f>
        <v>23701.4192169556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1586.49356517778</v>
      </c>
      <c r="B239" s="103" t="n">
        <f aca="false">B176</f>
        <v>85.0909090909091</v>
      </c>
      <c r="C239" s="186"/>
      <c r="D239" s="186"/>
      <c r="E239" s="103" t="n">
        <f aca="false">E176</f>
        <v>1671.58447426869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1916.66000000001</v>
      </c>
      <c r="B249" s="103" t="n">
        <f aca="false">B197</f>
        <v>104.16665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2138.81831666667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857.589216955588</v>
      </c>
      <c r="C263" s="197"/>
      <c r="D263" s="198" t="s">
        <v>218</v>
      </c>
      <c r="E263" s="198"/>
      <c r="F263" s="200" t="n">
        <f aca="false">F270+F276+F278+B279+B280</f>
        <v>124.99998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279.991666666667</v>
      </c>
      <c r="C264" s="197"/>
      <c r="D264" s="198" t="s">
        <v>220</v>
      </c>
      <c r="E264" s="198"/>
      <c r="F264" s="200" t="n">
        <f aca="false">(B263-F263)+B264</f>
        <v>1012.58090362225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B263</f>
        <v>857.589216955588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124.99998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1012.58090362225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394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22700.004</v>
      </c>
      <c r="B37" s="32"/>
      <c r="C37" s="41" t="s">
        <v>392</v>
      </c>
      <c r="D37" s="41"/>
      <c r="E37" s="32"/>
      <c r="F37" s="43" t="n">
        <f aca="false">A37-C37</f>
        <v>21700.004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C15</f>
        <v>3783.334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231.9445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268.0555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270.722166666667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270.722166666667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270.722166666667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17439.4292169556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124.99998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270.722166666667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270.722166666667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270.722166666667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21700.004</v>
      </c>
      <c r="C90" s="32"/>
      <c r="D90" s="32"/>
      <c r="E90" s="23"/>
      <c r="F90" s="25" t="s">
        <v>106</v>
      </c>
      <c r="G90" s="27" t="n">
        <f aca="false">F37</f>
        <v>21700.004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5295.78483323301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16404.219166767</v>
      </c>
      <c r="C97" s="32"/>
      <c r="D97" s="32"/>
      <c r="E97" s="23"/>
      <c r="F97" s="31" t="s">
        <v>113</v>
      </c>
      <c r="G97" s="33" t="n">
        <f aca="false">G90-G95</f>
        <v>16076.6129154658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1586.49356517778</v>
      </c>
      <c r="C98" s="32"/>
      <c r="D98" s="32"/>
      <c r="E98" s="23"/>
      <c r="F98" s="31" t="s">
        <v>114</v>
      </c>
      <c r="G98" s="33" t="n">
        <f aca="false">(G97/G96)</f>
        <v>1509.43697726744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17451.4292169556</v>
      </c>
      <c r="C99" s="32"/>
      <c r="D99" s="32"/>
      <c r="E99" s="23"/>
      <c r="F99" s="31" t="s">
        <v>115</v>
      </c>
      <c r="G99" s="33" t="n">
        <f aca="false">((G98*(G94))+G86)</f>
        <v>16603.8067499418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17451.4292169556</v>
      </c>
      <c r="C101" s="32"/>
      <c r="D101" s="32"/>
      <c r="E101" s="23"/>
      <c r="F101" s="56" t="s">
        <v>117</v>
      </c>
      <c r="G101" s="65" t="n">
        <f aca="false">(G99+G100)</f>
        <v>16603.8067499418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1586.49356517778</v>
      </c>
      <c r="C104" s="32"/>
      <c r="D104" s="32"/>
      <c r="E104" s="23"/>
      <c r="F104" s="95" t="s">
        <v>119</v>
      </c>
      <c r="G104" s="96" t="n">
        <f aca="false">G101/(G94)</f>
        <v>1509.43697726744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1586.49356517778</v>
      </c>
      <c r="C105" s="32"/>
      <c r="D105" s="32"/>
      <c r="E105" s="23" t="s">
        <v>384</v>
      </c>
      <c r="F105" s="97" t="s">
        <v>120</v>
      </c>
      <c r="G105" s="98" t="n">
        <f aca="false">G103+G104</f>
        <v>1509.43697726744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384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387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384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388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22700.004</v>
      </c>
      <c r="C130" s="121" t="n">
        <v>20833.33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22700.004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22700.004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22700.004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22700.004</v>
      </c>
      <c r="C134" s="133" t="n">
        <f aca="false">C130-C133</f>
        <v>20833.33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18916.67</v>
      </c>
      <c r="H144" s="153" t="n">
        <f aca="false">C134+E134+G134+H137</f>
        <v>20833.33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3783.334</v>
      </c>
      <c r="H146" s="33" t="n">
        <f aca="false">(H144+H145)*20%</f>
        <v>4166.666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22700.004</v>
      </c>
      <c r="H150" s="157" t="n">
        <f aca="false">(H144+H145+H148+H149+H146)-H147</f>
        <v>24999.996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22700.004</v>
      </c>
      <c r="H156" s="164" t="n">
        <f aca="false">H150-((H153*1.2)+(H154*1.2)+(H155*1.2)+(H151*1.2))</f>
        <v>24999.996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1916.66000000001</v>
      </c>
      <c r="I157" s="1" t="n">
        <f aca="false">(H157-G90)/1.2</f>
        <v>-16486.12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24999.996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1586.49356517778</v>
      </c>
      <c r="B176" s="177" t="n">
        <f aca="false">B103</f>
        <v>0</v>
      </c>
      <c r="C176" s="174"/>
      <c r="D176" s="174"/>
      <c r="E176" s="177" t="n">
        <f aca="false">B105</f>
        <v>1586.49356517778</v>
      </c>
      <c r="F176" s="23"/>
      <c r="G176" s="23" t="n">
        <f aca="false">ROUND(G104, 2)</f>
        <v>1509.44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20833.33</v>
      </c>
      <c r="B182" s="103" t="n">
        <f aca="false">H146</f>
        <v>4166.666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-1548.56678304441</v>
      </c>
      <c r="B191" s="103" t="str">
        <f aca="false">B123</f>
        <v>199.99</v>
      </c>
      <c r="C191" s="103"/>
      <c r="D191" s="23"/>
      <c r="E191" s="103" t="n">
        <f aca="false">E188+A191+(B191*1.2)+A194</f>
        <v>23701.4172169556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104.16665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204.15665</v>
      </c>
      <c r="C200" s="93"/>
      <c r="D200" s="93"/>
      <c r="E200" s="103" t="n">
        <f aca="false">H157</f>
        <v>1916.66000000001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1586.49356517778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-2396.156</v>
      </c>
      <c r="B210" s="186" t="n">
        <f aca="false">E188+A210+(B191*1.2)+A194</f>
        <v>22853.828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1586.49356517778</v>
      </c>
      <c r="B221" s="177" t="n">
        <f aca="false">B176</f>
        <v>0</v>
      </c>
      <c r="C221" s="174"/>
      <c r="D221" s="174"/>
      <c r="E221" s="177" t="n">
        <f aca="false">E176</f>
        <v>1586.49356517778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20833.33</v>
      </c>
      <c r="B224" s="103" t="n">
        <f aca="false">B182</f>
        <v>4166.666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-1548.56678304441</v>
      </c>
      <c r="B233" s="103" t="str">
        <f aca="false">B191</f>
        <v>199.99</v>
      </c>
      <c r="C233" s="103"/>
      <c r="D233" s="113"/>
      <c r="E233" s="103" t="n">
        <f aca="false">E191</f>
        <v>23701.4172169556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1586.49356517778</v>
      </c>
      <c r="B239" s="103" t="n">
        <f aca="false">B176</f>
        <v>0</v>
      </c>
      <c r="C239" s="186"/>
      <c r="D239" s="186"/>
      <c r="E239" s="103" t="n">
        <f aca="false">E176</f>
        <v>1586.49356517778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1916.66000000001</v>
      </c>
      <c r="B249" s="103" t="n">
        <f aca="false">B197</f>
        <v>104.16665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2120.81665000001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857.589216955588</v>
      </c>
      <c r="C263" s="197"/>
      <c r="D263" s="198" t="s">
        <v>218</v>
      </c>
      <c r="E263" s="198"/>
      <c r="F263" s="200" t="n">
        <f aca="false">F270+F276+F278+B279+B280</f>
        <v>124.99998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832.579236955588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B263</f>
        <v>857.589216955588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124.99998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832.579236955588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393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21700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19693.2824557505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234.3749625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21700</v>
      </c>
      <c r="C81" s="93"/>
      <c r="D81" s="93"/>
      <c r="E81" s="113"/>
      <c r="F81" s="25" t="s">
        <v>106</v>
      </c>
      <c r="G81" s="27" t="n">
        <f aca="false">B81</f>
        <v>21700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17320.1467407538</v>
      </c>
      <c r="C88" s="93" t="n">
        <f aca="false">B81-B86</f>
        <v>17320.1467407538</v>
      </c>
      <c r="D88" s="93"/>
      <c r="E88" s="113"/>
      <c r="F88" s="31" t="s">
        <v>113</v>
      </c>
      <c r="G88" s="33" t="n">
        <f aca="false">G81-G86</f>
        <v>16679.689207262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631.051440378566</v>
      </c>
      <c r="C89" s="93" t="n">
        <f aca="false">(B88/B87)</f>
        <v>631.051440378566</v>
      </c>
      <c r="D89" s="93"/>
      <c r="E89" s="113"/>
      <c r="F89" s="31" t="s">
        <v>114</v>
      </c>
      <c r="G89" s="33" t="n">
        <f aca="false">(G88/G87)</f>
        <v>569.125729183508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20193.6460921141</v>
      </c>
      <c r="C90" s="93"/>
      <c r="D90" s="93"/>
      <c r="E90" s="113"/>
      <c r="F90" s="31" t="s">
        <v>115</v>
      </c>
      <c r="G90" s="33" t="n">
        <f aca="false">((G89*(G85))+G77)</f>
        <v>18212.0233338722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20193.6460921141</v>
      </c>
      <c r="C92" s="93"/>
      <c r="D92" s="93"/>
      <c r="E92" s="113"/>
      <c r="F92" s="56" t="s">
        <v>117</v>
      </c>
      <c r="G92" s="65" t="n">
        <f aca="false">(G90+G91)</f>
        <v>18212.0233338722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631.051440378566</v>
      </c>
      <c r="C95" s="93"/>
      <c r="D95" s="93"/>
      <c r="E95" s="113"/>
      <c r="F95" s="95" t="s">
        <v>119</v>
      </c>
      <c r="G95" s="96" t="n">
        <f aca="false">G92/(G85)</f>
        <v>569.125729183508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631.051440378566</v>
      </c>
      <c r="C96" s="93"/>
      <c r="D96" s="93"/>
      <c r="E96" s="113"/>
      <c r="F96" s="97" t="s">
        <v>120</v>
      </c>
      <c r="G96" s="98" t="n">
        <f aca="false">G94+G95</f>
        <v>569.125729183508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22700.004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22700.004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18916.67</v>
      </c>
      <c r="H135" s="153" t="n">
        <f aca="false">C125+E125+G125+H128</f>
        <v>20833.33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-16486.1166666667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631.051440378566</v>
      </c>
      <c r="B167" s="177" t="str">
        <f aca="false">B94</f>
        <v>0</v>
      </c>
      <c r="C167" s="174"/>
      <c r="D167" s="174"/>
      <c r="E167" s="177" t="n">
        <f aca="false">B96</f>
        <v>631.051440378566</v>
      </c>
      <c r="F167" s="23"/>
      <c r="G167" s="23" t="n">
        <f aca="false">ROUND(G95, 2)</f>
        <v>569.13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1193.65009211412</v>
      </c>
      <c r="B182" s="103" t="str">
        <f aca="false">B114</f>
        <v>239.99</v>
      </c>
      <c r="C182" s="103"/>
      <c r="D182" s="23"/>
      <c r="E182" s="103" t="n">
        <f aca="false">E179+A182+B182+A185</f>
        <v>26443.6360921141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195.31246875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295.304135416667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631.051440378566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-787.836000000003</v>
      </c>
      <c r="B201" s="186" t="n">
        <f aca="false">E179+A201+B182+A185</f>
        <v>24462.15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631.051440378566</v>
      </c>
      <c r="B212" s="177" t="str">
        <f aca="false">B167</f>
        <v>0</v>
      </c>
      <c r="C212" s="174"/>
      <c r="D212" s="174"/>
      <c r="E212" s="177" t="n">
        <f aca="false">E167</f>
        <v>631.051440378566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1193.65009211412</v>
      </c>
      <c r="B224" s="103" t="str">
        <f aca="false">B182</f>
        <v>239.99</v>
      </c>
      <c r="C224" s="103"/>
      <c r="D224" s="113"/>
      <c r="E224" s="103" t="n">
        <f aca="false">E182</f>
        <v>26443.6360921141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631.051440378566</v>
      </c>
      <c r="B230" s="103" t="str">
        <f aca="false">B167</f>
        <v>0</v>
      </c>
      <c r="C230" s="186"/>
      <c r="D230" s="186"/>
      <c r="E230" s="103" t="n">
        <f aca="false">E167</f>
        <v>631.051440378566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B188</f>
        <v>195.31246875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2211.96413541667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1991.48609211412</v>
      </c>
      <c r="C254" s="197"/>
      <c r="D254" s="198" t="s">
        <v>218</v>
      </c>
      <c r="E254" s="198"/>
      <c r="F254" s="200" t="n">
        <f aca="false">F261+F267+F269+B270+B271</f>
        <v>234.3749625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1857.10279628079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1991.48609211412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234.3749625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1857.10279628079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412</v>
      </c>
      <c r="I36" s="0"/>
      <c r="J36" s="44" t="s">
        <v>51</v>
      </c>
      <c r="K36" s="52" t="n">
        <f aca="false">K32-K34</f>
        <v>21700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16950.4249616042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124.99998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21700</v>
      </c>
      <c r="C81" s="93"/>
      <c r="D81" s="93"/>
      <c r="E81" s="113"/>
      <c r="F81" s="25" t="s">
        <v>106</v>
      </c>
      <c r="G81" s="27" t="n">
        <f aca="false">B81</f>
        <v>21700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16404.215166767</v>
      </c>
      <c r="C88" s="93" t="n">
        <f aca="false">B81-B86</f>
        <v>16404.215166767</v>
      </c>
      <c r="D88" s="93"/>
      <c r="E88" s="113"/>
      <c r="F88" s="31" t="s">
        <v>113</v>
      </c>
      <c r="G88" s="33" t="n">
        <f aca="false">G81-G86</f>
        <v>16076.6089154658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1586.49317832765</v>
      </c>
      <c r="C89" s="93" t="n">
        <f aca="false">(B88/B87)</f>
        <v>1586.49317832765</v>
      </c>
      <c r="D89" s="93"/>
      <c r="E89" s="113"/>
      <c r="F89" s="31" t="s">
        <v>114</v>
      </c>
      <c r="G89" s="33" t="n">
        <f aca="false">(G88/G87)</f>
        <v>1509.43660170649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17451.4249616042</v>
      </c>
      <c r="C90" s="93"/>
      <c r="D90" s="93"/>
      <c r="E90" s="113"/>
      <c r="F90" s="31" t="s">
        <v>115</v>
      </c>
      <c r="G90" s="33" t="n">
        <f aca="false">((G89*(G85))+G77)</f>
        <v>16603.8026187714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17451.4249616042</v>
      </c>
      <c r="C92" s="93"/>
      <c r="D92" s="93"/>
      <c r="E92" s="113"/>
      <c r="F92" s="56" t="s">
        <v>117</v>
      </c>
      <c r="G92" s="65" t="n">
        <f aca="false">(G90+G91)</f>
        <v>16603.8026187714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1586.49317832765</v>
      </c>
      <c r="C95" s="93"/>
      <c r="D95" s="93"/>
      <c r="E95" s="113"/>
      <c r="F95" s="95" t="s">
        <v>119</v>
      </c>
      <c r="G95" s="96" t="n">
        <f aca="false">G92/(G85)</f>
        <v>1509.43660170649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1586.49317832765</v>
      </c>
      <c r="C96" s="93"/>
      <c r="D96" s="93"/>
      <c r="E96" s="113"/>
      <c r="F96" s="97" t="s">
        <v>120</v>
      </c>
      <c r="G96" s="98" t="n">
        <f aca="false">G94+G95</f>
        <v>1509.43660170649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384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388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22700.004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22700.004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18916.67</v>
      </c>
      <c r="H135" s="153" t="n">
        <f aca="false">C125+E125+G125+H128</f>
        <v>20833.33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-16486.1166666667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1586.49317832765</v>
      </c>
      <c r="B167" s="177" t="n">
        <f aca="false">B94</f>
        <v>0</v>
      </c>
      <c r="C167" s="174"/>
      <c r="D167" s="174"/>
      <c r="E167" s="177" t="n">
        <f aca="false">B96</f>
        <v>1586.49317832765</v>
      </c>
      <c r="F167" s="23"/>
      <c r="G167" s="23" t="n">
        <f aca="false">ROUND(G95, 2)</f>
        <v>1509.44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-1548.5710383958</v>
      </c>
      <c r="B182" s="103" t="str">
        <f aca="false">B114</f>
        <v>199.99</v>
      </c>
      <c r="C182" s="103"/>
      <c r="D182" s="23"/>
      <c r="E182" s="103" t="n">
        <f aca="false">E179+A182+(B182*1.2)+A185</f>
        <v>23701.4129616042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104.16665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204.15665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1586.49317832765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-2396.156</v>
      </c>
      <c r="B201" s="186" t="n">
        <f aca="false">E179+A201+(B182*1.2)+A185</f>
        <v>22853.828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1586.49317832765</v>
      </c>
      <c r="B212" s="177" t="n">
        <f aca="false">B167</f>
        <v>0</v>
      </c>
      <c r="C212" s="174"/>
      <c r="D212" s="174"/>
      <c r="E212" s="177" t="n">
        <f aca="false">E167</f>
        <v>1586.49317832765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-1548.5710383958</v>
      </c>
      <c r="B224" s="103" t="str">
        <f aca="false">B182</f>
        <v>199.99</v>
      </c>
      <c r="C224" s="103"/>
      <c r="D224" s="113"/>
      <c r="E224" s="103" t="n">
        <f aca="false">E182</f>
        <v>23701.4129616042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1586.49317832765</v>
      </c>
      <c r="B230" s="103" t="n">
        <f aca="false">B167</f>
        <v>0</v>
      </c>
      <c r="C230" s="186"/>
      <c r="D230" s="186"/>
      <c r="E230" s="103" t="n">
        <f aca="false">E167</f>
        <v>1586.49317832765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B188</f>
        <v>104.16665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2120.81665000001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857.5849616042</v>
      </c>
      <c r="C254" s="197"/>
      <c r="D254" s="198" t="s">
        <v>218</v>
      </c>
      <c r="E254" s="198"/>
      <c r="F254" s="200" t="n">
        <f aca="false">F261+F267+F269+B270+B271</f>
        <v>124.99998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832.5749816042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857.5849616042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832.5749816042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21700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16950.4249616042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124.99998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21700</v>
      </c>
      <c r="C81" s="93"/>
      <c r="D81" s="93"/>
      <c r="E81" s="113"/>
      <c r="F81" s="25" t="s">
        <v>106</v>
      </c>
      <c r="G81" s="27" t="n">
        <f aca="false">B81</f>
        <v>21700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16404.215166767</v>
      </c>
      <c r="C88" s="93" t="n">
        <f aca="false">B81-B86</f>
        <v>16404.215166767</v>
      </c>
      <c r="D88" s="93"/>
      <c r="E88" s="113"/>
      <c r="F88" s="31" t="s">
        <v>113</v>
      </c>
      <c r="G88" s="33" t="n">
        <f aca="false">G81-G86</f>
        <v>16076.6089154658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1586.49317832765</v>
      </c>
      <c r="C89" s="93" t="n">
        <f aca="false">(B88/B87)</f>
        <v>1586.49317832765</v>
      </c>
      <c r="D89" s="93"/>
      <c r="E89" s="113"/>
      <c r="F89" s="31" t="s">
        <v>114</v>
      </c>
      <c r="G89" s="33" t="n">
        <f aca="false">(G88/G87)</f>
        <v>1509.43660170649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17451.4249616042</v>
      </c>
      <c r="C90" s="93"/>
      <c r="D90" s="93"/>
      <c r="E90" s="113"/>
      <c r="F90" s="31" t="s">
        <v>115</v>
      </c>
      <c r="G90" s="33" t="n">
        <f aca="false">((G89*(G85))+G77)</f>
        <v>16603.8026187714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17451.4249616042</v>
      </c>
      <c r="C92" s="93"/>
      <c r="D92" s="93"/>
      <c r="E92" s="113"/>
      <c r="F92" s="56" t="s">
        <v>117</v>
      </c>
      <c r="G92" s="65" t="n">
        <f aca="false">(G90+G91)</f>
        <v>16603.8026187714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1586.49317832765</v>
      </c>
      <c r="C95" s="93"/>
      <c r="D95" s="93"/>
      <c r="E95" s="113"/>
      <c r="F95" s="95" t="s">
        <v>119</v>
      </c>
      <c r="G95" s="96" t="n">
        <f aca="false">G92/(G85)</f>
        <v>1509.43660170649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1586.49317832765</v>
      </c>
      <c r="C96" s="93"/>
      <c r="D96" s="93"/>
      <c r="E96" s="113"/>
      <c r="F96" s="97" t="s">
        <v>120</v>
      </c>
      <c r="G96" s="98" t="n">
        <f aca="false">G94+G95</f>
        <v>1509.43660170649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22700.004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22700.004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18916.67</v>
      </c>
      <c r="H135" s="153" t="n">
        <f aca="false">C125+E125+G125+H128</f>
        <v>20833.33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-16486.1166666667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1586.49317832765</v>
      </c>
      <c r="B167" s="177" t="n">
        <f aca="false">B94</f>
        <v>0</v>
      </c>
      <c r="C167" s="174"/>
      <c r="D167" s="174"/>
      <c r="E167" s="177" t="n">
        <f aca="false">B96</f>
        <v>1586.49317832765</v>
      </c>
      <c r="F167" s="23"/>
      <c r="G167" s="23" t="n">
        <f aca="false">ROUND(G95, 2)</f>
        <v>1509.44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-1548.5710383958</v>
      </c>
      <c r="B182" s="103" t="str">
        <f aca="false">B114</f>
        <v>239.99</v>
      </c>
      <c r="C182" s="103"/>
      <c r="D182" s="23"/>
      <c r="E182" s="103" t="n">
        <f aca="false">E179+A182+B182+A185</f>
        <v>23701.4149616042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104.16665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204.158316666667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1586.49317832765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-2396.156</v>
      </c>
      <c r="B201" s="186" t="n">
        <f aca="false">E179+A201+B182+A185</f>
        <v>22853.83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1586.49317832765</v>
      </c>
      <c r="B212" s="177" t="n">
        <f aca="false">B167</f>
        <v>0</v>
      </c>
      <c r="C212" s="174"/>
      <c r="D212" s="174"/>
      <c r="E212" s="177" t="n">
        <f aca="false">E167</f>
        <v>1586.49317832765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-1548.5710383958</v>
      </c>
      <c r="B224" s="103" t="str">
        <f aca="false">B182</f>
        <v>239.99</v>
      </c>
      <c r="C224" s="103"/>
      <c r="D224" s="113"/>
      <c r="E224" s="103" t="n">
        <f aca="false">E182</f>
        <v>23701.4149616042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1586.49317832765</v>
      </c>
      <c r="B230" s="103" t="n">
        <f aca="false">B167</f>
        <v>0</v>
      </c>
      <c r="C230" s="186"/>
      <c r="D230" s="186"/>
      <c r="E230" s="103" t="n">
        <f aca="false">E167</f>
        <v>1586.49317832765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B188</f>
        <v>104.16665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2120.81831666667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857.5849616042</v>
      </c>
      <c r="C254" s="197"/>
      <c r="D254" s="198" t="s">
        <v>218</v>
      </c>
      <c r="E254" s="198"/>
      <c r="F254" s="200" t="n">
        <f aca="false">F261+F267+F269+B270+B271</f>
        <v>124.99998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832.576648270866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857.5849616042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832.576648270866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21700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16950.4249616042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124.99998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21700</v>
      </c>
      <c r="C81" s="93"/>
      <c r="D81" s="93"/>
      <c r="E81" s="113"/>
      <c r="F81" s="25" t="s">
        <v>106</v>
      </c>
      <c r="G81" s="27" t="n">
        <f aca="false">B81</f>
        <v>21700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16404.215166767</v>
      </c>
      <c r="C88" s="93" t="n">
        <f aca="false">B81-B86</f>
        <v>16404.215166767</v>
      </c>
      <c r="D88" s="93"/>
      <c r="E88" s="113"/>
      <c r="F88" s="31" t="s">
        <v>113</v>
      </c>
      <c r="G88" s="33" t="n">
        <f aca="false">G81-G86</f>
        <v>16076.6089154658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1586.49317832765</v>
      </c>
      <c r="C89" s="93" t="n">
        <f aca="false">(B88/B87)</f>
        <v>1586.49317832765</v>
      </c>
      <c r="D89" s="93"/>
      <c r="E89" s="113"/>
      <c r="F89" s="31" t="s">
        <v>114</v>
      </c>
      <c r="G89" s="33" t="n">
        <f aca="false">(G88/G87)</f>
        <v>1509.43660170649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17451.4249616042</v>
      </c>
      <c r="C90" s="93"/>
      <c r="D90" s="93"/>
      <c r="E90" s="113"/>
      <c r="F90" s="31" t="s">
        <v>115</v>
      </c>
      <c r="G90" s="33" t="n">
        <f aca="false">((G89*(G85))+G77)</f>
        <v>16603.8026187714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17451.4249616042</v>
      </c>
      <c r="C92" s="93"/>
      <c r="D92" s="93"/>
      <c r="E92" s="113"/>
      <c r="F92" s="56" t="s">
        <v>117</v>
      </c>
      <c r="G92" s="65" t="n">
        <f aca="false">(G90+G91)</f>
        <v>16603.8026187714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1586.49317832765</v>
      </c>
      <c r="C95" s="93"/>
      <c r="D95" s="93"/>
      <c r="E95" s="113"/>
      <c r="F95" s="95" t="s">
        <v>119</v>
      </c>
      <c r="G95" s="96" t="n">
        <f aca="false">G92/(G85)</f>
        <v>1509.43660170649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1586.49317832765</v>
      </c>
      <c r="C96" s="93"/>
      <c r="D96" s="93"/>
      <c r="E96" s="113"/>
      <c r="F96" s="97" t="s">
        <v>120</v>
      </c>
      <c r="G96" s="98" t="n">
        <f aca="false">G94+G95</f>
        <v>1509.43660170649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384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0.0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22700.004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22700.004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18916.67</v>
      </c>
      <c r="H135" s="153" t="n">
        <f aca="false">C125+E125+G125+H128</f>
        <v>20833.33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-16486.1166666667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1586.49317832765</v>
      </c>
      <c r="B167" s="177" t="str">
        <f aca="false">B94</f>
        <v>0</v>
      </c>
      <c r="C167" s="174"/>
      <c r="D167" s="174"/>
      <c r="E167" s="177" t="n">
        <f aca="false">B96</f>
        <v>1586.49317832765</v>
      </c>
      <c r="F167" s="23"/>
      <c r="G167" s="23" t="n">
        <f aca="false">ROUND(G95, 2)</f>
        <v>1509.44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-1548.5710383958</v>
      </c>
      <c r="B182" s="103" t="str">
        <f aca="false">B114</f>
        <v>199.99</v>
      </c>
      <c r="C182" s="103"/>
      <c r="D182" s="23"/>
      <c r="E182" s="103" t="n">
        <f aca="false">E179+A182+(B182*1.2)+A185</f>
        <v>23701.4129616042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104.16665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204.15665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1586.49317832765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-2396.156</v>
      </c>
      <c r="B201" s="186" t="n">
        <f aca="false">E179+A201+(B182*1.2)+A185</f>
        <v>22853.828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1586.49317832765</v>
      </c>
      <c r="B212" s="177" t="str">
        <f aca="false">B167</f>
        <v>0</v>
      </c>
      <c r="C212" s="174"/>
      <c r="D212" s="174"/>
      <c r="E212" s="177" t="n">
        <f aca="false">E167</f>
        <v>1586.49317832765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-1548.5710383958</v>
      </c>
      <c r="B224" s="103" t="str">
        <f aca="false">B182</f>
        <v>199.99</v>
      </c>
      <c r="C224" s="103"/>
      <c r="D224" s="113"/>
      <c r="E224" s="103" t="n">
        <f aca="false">E182</f>
        <v>23701.4129616042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1586.49317832765</v>
      </c>
      <c r="B230" s="103" t="str">
        <f aca="false">B167</f>
        <v>0</v>
      </c>
      <c r="C230" s="186"/>
      <c r="D230" s="186"/>
      <c r="E230" s="103" t="n">
        <f aca="false">E167</f>
        <v>1586.49317832765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B188</f>
        <v>104.16665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2120.81665000001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857.5849616042</v>
      </c>
      <c r="C254" s="197"/>
      <c r="D254" s="198" t="s">
        <v>218</v>
      </c>
      <c r="E254" s="198"/>
      <c r="F254" s="200" t="n">
        <f aca="false">F261+F267+F269+B270+B271</f>
        <v>124.99998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832.5749816042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857.5849616042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832.5749816042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45275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22700.004</v>
      </c>
      <c r="B35" s="223" t="s">
        <v>392</v>
      </c>
      <c r="C35" s="223"/>
      <c r="D35" s="279" t="n">
        <f aca="false">A35-B35</f>
        <v>21700.004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395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3783.334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405</v>
      </c>
      <c r="B41" s="104" t="s">
        <v>408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401</v>
      </c>
      <c r="B44" s="104" t="s">
        <v>406</v>
      </c>
      <c r="C44" s="104"/>
      <c r="D44" s="104" t="s">
        <v>406</v>
      </c>
      <c r="E44" s="104"/>
      <c r="F44" s="388"/>
      <c r="G44" s="2" t="s">
        <v>65</v>
      </c>
      <c r="H44" s="2" t="n">
        <f aca="false">((H40-(((H42/(1.2))*0.2)))/(H43))</f>
        <v>231.9445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318.0555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320.722166666667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270.722166666667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320.722166666667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320.722166666667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270.722166666667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8846.8352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62.4524469544171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8909.28764695442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742.440637246202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820.440637246202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384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387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742.440637246202</v>
      </c>
      <c r="B134" s="321" t="n">
        <f aca="false">IF(A111="YES", B95, 0)</f>
        <v>78</v>
      </c>
      <c r="C134" s="325"/>
      <c r="D134" s="321" t="n">
        <f aca="false">B97</f>
        <v>820.440637246202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742.440637246202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820.440637246202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742.440637246202</v>
      </c>
      <c r="B143" s="38" t="n">
        <f aca="false">IF(A111="YES", B95, 0)</f>
        <v>78</v>
      </c>
      <c r="C143" s="317"/>
      <c r="D143" s="38" t="n">
        <f aca="false">B97</f>
        <v>820.440637246202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227.00004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3783.334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744.991706666667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820.440637246202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742.440637246202</v>
      </c>
      <c r="B177" s="355" t="n">
        <f aca="false">IF(A111="YES", B95, 0)</f>
        <v>78</v>
      </c>
      <c r="C177" s="357"/>
      <c r="D177" s="355" t="n">
        <f aca="false">A177+B177</f>
        <v>820.440637246202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742.440637246202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820.440637246202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742.440637246202</v>
      </c>
      <c r="B186" s="103" t="n">
        <f aca="false">IF(A111="YES", B95, 0)</f>
        <v>78</v>
      </c>
      <c r="C186" s="353"/>
      <c r="D186" s="103" t="n">
        <f aca="false">B97</f>
        <v>820.440637246202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744.991706666667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2911.27162666667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2911.27162666667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62.4524469544171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45275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22700.004</v>
      </c>
      <c r="B35" s="223" t="s">
        <v>392</v>
      </c>
      <c r="C35" s="223"/>
      <c r="D35" s="279" t="n">
        <f aca="false">A35-B35</f>
        <v>21700.004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395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3783.334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405</v>
      </c>
      <c r="B41" s="104" t="s">
        <v>408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406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231.9445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268.0555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270.722166666667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270.722166666667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270.722166666667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270.722166666667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7372.36266666667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62.4524469544171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7434.81511362108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619.56792613509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619.56792613509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387</v>
      </c>
      <c r="B111" s="312" t="n">
        <v>0.0</v>
      </c>
      <c r="C111" s="312"/>
      <c r="D111" s="107" t="s">
        <v>399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387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619.56792613509</v>
      </c>
      <c r="B134" s="321" t="n">
        <f aca="false">IF(A111="YES", B95, 0)</f>
        <v>0</v>
      </c>
      <c r="C134" s="326"/>
      <c r="D134" s="321" t="n">
        <f aca="false">B97</f>
        <v>619.56792613509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5576.11133521581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5576.11133521581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619.56792613509</v>
      </c>
      <c r="B143" s="38" t="n">
        <f aca="false">IF(A111="YES", B95, 0)</f>
        <v>0</v>
      </c>
      <c r="C143" s="317"/>
      <c r="D143" s="38" t="n">
        <f aca="false">B97</f>
        <v>619.56792613509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227.00004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3783.334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726.99004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619.56792613509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619.56792613509</v>
      </c>
      <c r="B177" s="355" t="n">
        <f aca="false">IF(A111="YES", B95, 0)</f>
        <v>0</v>
      </c>
      <c r="C177" s="358"/>
      <c r="D177" s="355" t="n">
        <f aca="false">B91</f>
        <v>7372.36266666667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5576.11133521581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5576.11133521581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619.56792613509</v>
      </c>
      <c r="B186" s="103" t="n">
        <f aca="false">IF(A111="YES", B95, 0)</f>
        <v>0</v>
      </c>
      <c r="C186" s="353"/>
      <c r="D186" s="103" t="n">
        <f aca="false">B97</f>
        <v>619.56792613509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726.99004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2731.26996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2731.26996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62.4524469544171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str">
        <f aca="false">IF(B38="YES", D38+A41, D38)</f>
        <v>500</v>
      </c>
      <c r="C41" s="241"/>
      <c r="D41" s="104" t="s">
        <v>405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406</v>
      </c>
      <c r="C44" s="104"/>
      <c r="D44" s="104" t="s">
        <v>385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407</v>
      </c>
      <c r="C47" s="429"/>
      <c r="D47" s="104" t="s">
        <v>407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1589.00028</v>
      </c>
      <c r="C70" s="215" t="n">
        <v>10000.0</v>
      </c>
      <c r="D70" s="291" t="n">
        <f aca="false">B70-A149</f>
        <v>1589.00028</v>
      </c>
      <c r="E70" s="216" t="n">
        <f aca="false">D70/12</f>
        <v>132.41669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2915.66694666667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242.972245555556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8927.66694666667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75.6276748204921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9003.29462148716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750.274551790597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750.274551790597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750.274551790597</v>
      </c>
      <c r="B134" s="321" t="n">
        <f aca="false">IF(A111="YES", B95, 0)</f>
        <v>0</v>
      </c>
      <c r="C134" s="326"/>
      <c r="D134" s="321" t="n">
        <f aca="false">B97</f>
        <v>750.274551790597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750.274551790597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750.274551790597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750.274551790597</v>
      </c>
      <c r="B143" s="38" t="n">
        <f aca="false">IF(A111="YES", B95, 0)</f>
        <v>0</v>
      </c>
      <c r="C143" s="317"/>
      <c r="D143" s="38" t="n">
        <f aca="false">B97</f>
        <v>750.274551790597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227.00004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726.99004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750.274551790597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750.274551790597</v>
      </c>
      <c r="B177" s="355" t="n">
        <f aca="false">IF(A111="YES", B95, 0)</f>
        <v>0</v>
      </c>
      <c r="C177" s="358"/>
      <c r="D177" s="355" t="n">
        <f aca="false">B91</f>
        <v>8927.66694666667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750.274551790597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750.274551790597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750.274551790597</v>
      </c>
      <c r="B186" s="103" t="n">
        <f aca="false">IF(A111="YES", B95, 0)</f>
        <v>0</v>
      </c>
      <c r="C186" s="353"/>
      <c r="D186" s="103" t="n">
        <f aca="false">B97</f>
        <v>750.274551790597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726.99004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1589.00028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1701.99024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1589.00028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1701.99024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75.6276748204921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str">
        <f aca="false">IF(B38="YES", D38+A41, D38)</f>
        <v>500</v>
      </c>
      <c r="C41" s="241"/>
      <c r="D41" s="104" t="s">
        <v>405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406</v>
      </c>
      <c r="C44" s="104"/>
      <c r="D44" s="104" t="s">
        <v>385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407</v>
      </c>
      <c r="C47" s="429"/>
      <c r="D47" s="104" t="s">
        <v>407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1589.00028</v>
      </c>
      <c r="C70" s="215" t="n">
        <v>10000.0</v>
      </c>
      <c r="D70" s="291" t="n">
        <f aca="false">B70-A149</f>
        <v>1589.00028</v>
      </c>
      <c r="E70" s="216" t="n">
        <f aca="false">D70/12</f>
        <v>132.41669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3094.41694666667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257.868078888889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10927.700336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77.1418942638161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11004.8422302638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917.070185855318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917.070185855318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917.070185855318</v>
      </c>
      <c r="B134" s="321" t="n">
        <f aca="false">IF(A111="YES", B95, 0)</f>
        <v>0</v>
      </c>
      <c r="C134" s="326"/>
      <c r="D134" s="321" t="n">
        <f aca="false">B97</f>
        <v>917.070185855318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917.070185855318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917.070185855318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917.070185855318</v>
      </c>
      <c r="B143" s="38" t="n">
        <f aca="false">IF(A111="YES", B95, 0)</f>
        <v>0</v>
      </c>
      <c r="C143" s="317"/>
      <c r="D143" s="38" t="n">
        <f aca="false">B97</f>
        <v>917.070185855318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227.00004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726.991706666667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917.070185855318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917.070185855318</v>
      </c>
      <c r="B177" s="355" t="n">
        <f aca="false">IF(A111="YES", B95, 0)</f>
        <v>0</v>
      </c>
      <c r="C177" s="358"/>
      <c r="D177" s="355" t="n">
        <f aca="false">B97</f>
        <v>917.070185855318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917.070185855318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917.070185855318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917.070185855318</v>
      </c>
      <c r="B186" s="103" t="n">
        <f aca="false">IF(A111="YES", B95, 0)</f>
        <v>0</v>
      </c>
      <c r="C186" s="353"/>
      <c r="D186" s="103" t="n">
        <f aca="false">B97</f>
        <v>917.070185855318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726.991706666667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1589.00028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1701.99190666667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1589.00028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1701.99190666667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77.1418942638161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401</v>
      </c>
      <c r="B41" s="241" t="n">
        <f aca="false">IF(B38="YES", D38+A41, D38)</f>
        <v>550</v>
      </c>
      <c r="C41" s="241"/>
      <c r="D41" s="104" t="s">
        <v>405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406</v>
      </c>
      <c r="C44" s="104"/>
      <c r="D44" s="104" t="s">
        <v>407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407</v>
      </c>
      <c r="C47" s="429"/>
      <c r="D47" s="104" t="s">
        <v>407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1589.00028</v>
      </c>
      <c r="C70" s="215" t="n">
        <v>10000.0</v>
      </c>
      <c r="D70" s="291" t="n">
        <f aca="false">B70-A149</f>
        <v>1589.00028</v>
      </c>
      <c r="E70" s="216" t="n">
        <f aca="false">D70/12</f>
        <v>132.41669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3094.41694666667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257.868078888889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9106.41694666667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77.1418942638161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9183.55884093048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765.29657007754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765.29657007754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765.29657007754</v>
      </c>
      <c r="B134" s="321" t="n">
        <f aca="false">IF(A111="YES", B95, 0)</f>
        <v>0</v>
      </c>
      <c r="C134" s="326"/>
      <c r="D134" s="321" t="n">
        <f aca="false">B97</f>
        <v>765.29657007754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765.29657007754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765.29657007754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765.29657007754</v>
      </c>
      <c r="B143" s="38" t="n">
        <f aca="false">IF(A111="YES", B95, 0)</f>
        <v>0</v>
      </c>
      <c r="C143" s="317"/>
      <c r="D143" s="38" t="n">
        <f aca="false">B97</f>
        <v>765.29657007754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227.00004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726.99004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765.29657007754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765.29657007754</v>
      </c>
      <c r="B177" s="355" t="n">
        <f aca="false">IF(A111="YES", B95, 0)</f>
        <v>0</v>
      </c>
      <c r="C177" s="358"/>
      <c r="D177" s="355" t="n">
        <f aca="false">B91</f>
        <v>9106.41694666667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765.29657007754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765.29657007754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765.29657007754</v>
      </c>
      <c r="B186" s="103" t="n">
        <f aca="false">IF(A111="YES", B95, 0)</f>
        <v>0</v>
      </c>
      <c r="C186" s="353"/>
      <c r="D186" s="103" t="n">
        <f aca="false">B97</f>
        <v>765.29657007754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726.99004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1589.00028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1701.99024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1589.00028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1701.99024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77.1418942638161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1589.00028</v>
      </c>
      <c r="C70" s="215" t="n">
        <v>10000.0</v>
      </c>
      <c r="D70" s="291" t="n">
        <f aca="false">B70-A149</f>
        <v>1589.00028</v>
      </c>
      <c r="E70" s="216" t="n">
        <f aca="false">D70/12</f>
        <v>132.41669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2915.66694666667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242.972245555556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8927.66694666667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75.6276748204921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9003.29462148716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750.274551790597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750.274551790597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750.274551790597</v>
      </c>
      <c r="B134" s="321" t="n">
        <f aca="false">IF(A111="YES", B95, 0)</f>
        <v>0</v>
      </c>
      <c r="C134" s="326"/>
      <c r="D134" s="321" t="n">
        <f aca="false">B97</f>
        <v>750.274551790597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750.274551790597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750.274551790597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750.274551790597</v>
      </c>
      <c r="B143" s="38" t="n">
        <f aca="false">IF(A111="YES", B95, 0)</f>
        <v>0</v>
      </c>
      <c r="C143" s="317"/>
      <c r="D143" s="38" t="n">
        <f aca="false">B97</f>
        <v>750.274551790597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227.00004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726.99004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750.274551790597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750.274551790597</v>
      </c>
      <c r="B177" s="355" t="n">
        <f aca="false">IF(A111="YES", B95, 0)</f>
        <v>0</v>
      </c>
      <c r="C177" s="358"/>
      <c r="D177" s="355" t="n">
        <f aca="false">B91</f>
        <v>8927.66694666667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750.274551790597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750.274551790597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750.274551790597</v>
      </c>
      <c r="B186" s="103" t="n">
        <f aca="false">IF(A111="YES", B95, 0)</f>
        <v>0</v>
      </c>
      <c r="C186" s="353"/>
      <c r="D186" s="103" t="n">
        <f aca="false">B97</f>
        <v>750.274551790597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726.99004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1589.00028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1701.99024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1589.00028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1701.99024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75.6276748204921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1589.00028</v>
      </c>
      <c r="C70" s="215" t="n">
        <v>10000.0</v>
      </c>
      <c r="D70" s="291" t="n">
        <f aca="false">B70-A149</f>
        <v>1589.00028</v>
      </c>
      <c r="E70" s="216" t="n">
        <f aca="false">D70/12</f>
        <v>132.41669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3094.41694666667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257.868078888889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10927.700336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77.1418942638161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11004.8422302638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917.070185855318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917.070185855318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917.070185855318</v>
      </c>
      <c r="B134" s="321" t="n">
        <f aca="false">IF(A111="YES", B95, 0)</f>
        <v>0</v>
      </c>
      <c r="C134" s="326"/>
      <c r="D134" s="321" t="n">
        <f aca="false">B97</f>
        <v>917.070185855318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917.070185855318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917.070185855318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917.070185855318</v>
      </c>
      <c r="B143" s="38" t="n">
        <f aca="false">IF(A111="YES", B95, 0)</f>
        <v>0</v>
      </c>
      <c r="C143" s="317"/>
      <c r="D143" s="38" t="n">
        <f aca="false">B97</f>
        <v>917.070185855318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227.00004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726.991706666667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917.070185855318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917.070185855318</v>
      </c>
      <c r="B177" s="355" t="n">
        <f aca="false">IF(A111="YES", B95, 0)</f>
        <v>0</v>
      </c>
      <c r="C177" s="358"/>
      <c r="D177" s="355" t="n">
        <f aca="false">B91</f>
        <v>10927.700336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917.070185855318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917.070185855318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917.070185855318</v>
      </c>
      <c r="B186" s="103" t="n">
        <f aca="false">IF(A111="YES", B95, 0)</f>
        <v>0</v>
      </c>
      <c r="C186" s="353"/>
      <c r="D186" s="103" t="n">
        <f aca="false">B97</f>
        <v>917.070185855318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726.991706666667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1589.00028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1701.99190666667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1589.00028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1701.99190666667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77.1418942638161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22700.004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1589.00028</v>
      </c>
      <c r="C70" s="215" t="n">
        <v>10000.0</v>
      </c>
      <c r="D70" s="291" t="n">
        <f aca="false">B70-A149</f>
        <v>1589.00028</v>
      </c>
      <c r="E70" s="216" t="n">
        <f aca="false">D70/12</f>
        <v>132.41669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227.00004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3094.41694666667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257.868078888889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9106.41694666667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77.1418942638161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9183.55884093048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765.29657007754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765.29657007754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765.29657007754</v>
      </c>
      <c r="B134" s="321" t="n">
        <f aca="false">IF(A111="YES", B95, 0)</f>
        <v>0</v>
      </c>
      <c r="C134" s="326"/>
      <c r="D134" s="321" t="n">
        <f aca="false">B97</f>
        <v>765.29657007754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6887.66913069786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6887.66913069786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765.29657007754</v>
      </c>
      <c r="B143" s="38" t="n">
        <f aca="false">IF(A111="YES", B95, 0)</f>
        <v>0</v>
      </c>
      <c r="C143" s="317"/>
      <c r="D143" s="38" t="n">
        <f aca="false">B97</f>
        <v>765.29657007754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227.00004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726.99004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765.29657007754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765.29657007754</v>
      </c>
      <c r="B177" s="355" t="n">
        <f aca="false">IF(A111="YES", B95, 0)</f>
        <v>0</v>
      </c>
      <c r="C177" s="358"/>
      <c r="D177" s="355" t="n">
        <f aca="false">B91</f>
        <v>9106.41694666667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6887.66913069786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6887.66913069786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765.29657007754</v>
      </c>
      <c r="B186" s="103" t="n">
        <f aca="false">IF(A111="YES", B95, 0)</f>
        <v>0</v>
      </c>
      <c r="C186" s="353"/>
      <c r="D186" s="103" t="n">
        <f aca="false">B97</f>
        <v>765.29657007754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227.00004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726.99004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1589.00028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227.00004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1701.99024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1589.00028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227.00004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1701.99024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77.1418942638161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E186" activeCellId="0" sqref="E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594.7848854461</v>
      </c>
      <c r="F33" s="232"/>
      <c r="G33" s="232"/>
      <c r="H33" s="47"/>
      <c r="I33" s="2"/>
      <c r="J33" s="34" t="s">
        <v>355</v>
      </c>
      <c r="K33" s="48" t="n">
        <f aca="false">E21</f>
        <v>18916.67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594.7848854461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18916.67</v>
      </c>
      <c r="L39" s="2" t="n">
        <f aca="false">(L47*K46)+K44</f>
        <v>25443.3768750692</v>
      </c>
      <c r="N39" s="1" t="n">
        <f aca="false">K39-L39</f>
        <v>-6526.70687506925</v>
      </c>
      <c r="P39" s="212"/>
    </row>
    <row r="40" customFormat="false" ht="17.35" hidden="false" customHeight="false" outlineLevel="0" collapsed="false">
      <c r="A40" s="107" t="n">
        <f aca="false">E36*A45/100</f>
        <v>16050.0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-6526.70687506925</v>
      </c>
      <c r="N40" s="1" t="n">
        <f aca="false">N38-N39</f>
        <v>9438.38687506925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18916.67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594.7848854461</v>
      </c>
      <c r="L47" s="2" t="n">
        <f aca="false">L49-K42</f>
        <v>800</v>
      </c>
      <c r="M47" s="1" t="n">
        <f aca="false">K47-L47</f>
        <v>-205.215114553901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594.7848854461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594.7848854461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5653.56006810889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183.593717361111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594.7848854461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594.7848854461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594.7848854461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594.7848854461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22499.996</v>
      </c>
      <c r="C81" s="93"/>
      <c r="D81" s="93"/>
      <c r="E81" s="113"/>
      <c r="F81" s="25" t="s">
        <v>106</v>
      </c>
      <c r="G81" s="27" t="n">
        <f aca="false">G158</f>
        <v>22499.996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22499.996</v>
      </c>
      <c r="C88" s="93"/>
      <c r="D88" s="93"/>
      <c r="E88" s="113"/>
      <c r="F88" s="31" t="s">
        <v>113</v>
      </c>
      <c r="G88" s="33" t="n">
        <f aca="false">G81-G86</f>
        <v>22499.996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778.559737021246</v>
      </c>
      <c r="C89" s="93"/>
      <c r="D89" s="93"/>
      <c r="E89" s="113"/>
      <c r="F89" s="31" t="s">
        <v>114</v>
      </c>
      <c r="G89" s="33" t="n">
        <f aca="false">(G88/G87)</f>
        <v>707.4531375447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26471.0310587224</v>
      </c>
      <c r="C90" s="93"/>
      <c r="D90" s="93"/>
      <c r="E90" s="113"/>
      <c r="F90" s="31" t="s">
        <v>115</v>
      </c>
      <c r="G90" s="33" t="n">
        <f aca="false">((G89*(G85))+G77)</f>
        <v>24760.8598140645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26471.0310587224</v>
      </c>
      <c r="C92" s="93"/>
      <c r="D92" s="93"/>
      <c r="E92" s="113"/>
      <c r="F92" s="56" t="s">
        <v>117</v>
      </c>
      <c r="G92" s="65" t="n">
        <f aca="false">(G90+G91)</f>
        <v>24760.8598140645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778.559737021246</v>
      </c>
      <c r="C95" s="93"/>
      <c r="D95" s="93"/>
      <c r="E95" s="113"/>
      <c r="F95" s="95" t="s">
        <v>119</v>
      </c>
      <c r="G95" s="96" t="n">
        <f aca="false">G92/(G85)</f>
        <v>707.4531375447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778.559737021246</v>
      </c>
      <c r="C96" s="93"/>
      <c r="D96" s="93"/>
      <c r="E96" s="113"/>
      <c r="F96" s="97" t="s">
        <v>120</v>
      </c>
      <c r="G96" s="98" t="n">
        <f aca="false">G94+G95</f>
        <v>707.4531375447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387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18916.67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22700.004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22700.004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22700.004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18916.67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18916.67</v>
      </c>
      <c r="H135" s="153" t="n">
        <f aca="false">C125+E125+G125+H128</f>
        <v>20833.33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-17152.78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22499.996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778.559737021246</v>
      </c>
      <c r="B167" s="177" t="str">
        <f aca="false">B94</f>
        <v>0</v>
      </c>
      <c r="C167" s="174"/>
      <c r="D167" s="174"/>
      <c r="E167" s="177" t="n">
        <f aca="false">B96</f>
        <v>778.559737021246</v>
      </c>
      <c r="F167" s="23"/>
      <c r="G167" s="23" t="n">
        <f aca="false">ROUND(G95, 2)</f>
        <v>707.45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22499.996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4749.59479574362</v>
      </c>
      <c r="B182" s="103" t="str">
        <f aca="false">B114</f>
        <v>239.99</v>
      </c>
      <c r="C182" s="103"/>
      <c r="D182" s="23"/>
      <c r="E182" s="103" t="n">
        <f aca="false">E179+A182+B182+A185</f>
        <v>27499.5807957436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IF(A40=0,(E167+A185),(E170+A185))</f>
        <v>788.559737021246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183.593717361111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283.585384027778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778.559737021246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2331.86373702125</v>
      </c>
      <c r="B201" s="186" t="n">
        <f aca="false">E179+A201+B182+A185</f>
        <v>25081.8497370213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778.559737021246</v>
      </c>
      <c r="B212" s="177" t="str">
        <f aca="false">B167</f>
        <v>0</v>
      </c>
      <c r="C212" s="174"/>
      <c r="D212" s="174"/>
      <c r="E212" s="177" t="n">
        <f aca="false">E167</f>
        <v>778.559737021246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22499.996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4749.59479574362</v>
      </c>
      <c r="B224" s="103" t="str">
        <f aca="false">B182</f>
        <v>239.99</v>
      </c>
      <c r="C224" s="103"/>
      <c r="D224" s="113"/>
      <c r="E224" s="103" t="n">
        <f aca="false">E182</f>
        <v>27499.5807957436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778.559737021246</v>
      </c>
      <c r="B230" s="103" t="str">
        <f aca="false">B167</f>
        <v>0</v>
      </c>
      <c r="C230" s="186"/>
      <c r="D230" s="186"/>
      <c r="E230" s="103" t="n">
        <f aca="false">E167</f>
        <v>778.559737021246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788.559737021246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B68</f>
        <v>183.593717361111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2200.24538402778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2427.73105872237</v>
      </c>
      <c r="C254" s="197"/>
      <c r="D254" s="198" t="s">
        <v>218</v>
      </c>
      <c r="E254" s="198"/>
      <c r="F254" s="200" t="n">
        <f aca="false">F261+F267+F269+B270+B271</f>
        <v>220.312460833333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2307.4102645557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2427.73105872237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220.312460833333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2307.4102645557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16050.0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251.074118166389</v>
      </c>
      <c r="F33" s="232"/>
      <c r="G33" s="232"/>
      <c r="H33" s="47"/>
      <c r="I33" s="2"/>
      <c r="J33" s="34" t="s">
        <v>355</v>
      </c>
      <c r="K33" s="48" t="n">
        <f aca="false">E21</f>
        <v>18916.67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251.074118166389</v>
      </c>
      <c r="B36" s="232" t="str">
        <f aca="false">IF(B26="YES", K42, "0.00")</f>
        <v>0.00</v>
      </c>
      <c r="C36" s="232"/>
      <c r="D36" s="232"/>
      <c r="E36" s="232" t="n">
        <f aca="false">K31</f>
        <v>16050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18916.67</v>
      </c>
      <c r="L39" s="2" t="n">
        <f aca="false">(L47*K46)+K44</f>
        <v>36694.4385585856</v>
      </c>
      <c r="N39" s="1" t="n">
        <f aca="false">K39-L39</f>
        <v>-17777.7685585856</v>
      </c>
      <c r="P39" s="212"/>
    </row>
    <row r="40" customFormat="false" ht="17.35" hidden="false" customHeight="false" outlineLevel="0" collapsed="false">
      <c r="A40" s="107" t="n">
        <f aca="false">E36*A45/100</f>
        <v>16050.0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13375</v>
      </c>
      <c r="L40" s="2" t="n">
        <f aca="false">K39-L39</f>
        <v>-17777.7685585856</v>
      </c>
      <c r="N40" s="1" t="n">
        <f aca="false">N38-N39</f>
        <v>20689.4485585856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10785.2669972791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8131.40300272092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251.074118166389</v>
      </c>
      <c r="L47" s="2" t="n">
        <f aca="false">L49-K42</f>
        <v>800</v>
      </c>
      <c r="M47" s="1" t="n">
        <f aca="false">K47-L47</f>
        <v>-548.925881833611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251.074118166389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251.074118166389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4388.66378210366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187.499966666667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251.074118166389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251.074118166389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251.074118166389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251.074118166389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22499.996</v>
      </c>
      <c r="C81" s="93"/>
      <c r="D81" s="93"/>
      <c r="E81" s="113"/>
      <c r="F81" s="25" t="s">
        <v>106</v>
      </c>
      <c r="G81" s="27" t="n">
        <f aca="false">G158</f>
        <v>22499.996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16050</v>
      </c>
      <c r="C82" s="93"/>
      <c r="D82" s="93"/>
      <c r="E82" s="113"/>
      <c r="F82" s="31" t="s">
        <v>107</v>
      </c>
      <c r="G82" s="33" t="n">
        <f aca="false">IF(A111="YES",A40,0)</f>
        <v>16050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16050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16050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11217.7454415175</v>
      </c>
      <c r="C86" s="93"/>
      <c r="D86" s="93"/>
      <c r="E86" s="113"/>
      <c r="F86" s="31" t="s">
        <v>111</v>
      </c>
      <c r="G86" s="33" t="n">
        <f aca="false">(G82/((1+G84)^(G85+1)))</f>
        <v>13017.8172657158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10857.3089544249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10857.3089544249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11282.2505584825</v>
      </c>
      <c r="C88" s="93"/>
      <c r="D88" s="93"/>
      <c r="E88" s="113"/>
      <c r="F88" s="31" t="s">
        <v>113</v>
      </c>
      <c r="G88" s="33" t="n">
        <f aca="false">G81-G86</f>
        <v>9482.17873428416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383.638058174105</v>
      </c>
      <c r="C89" s="93"/>
      <c r="D89" s="93"/>
      <c r="E89" s="113"/>
      <c r="F89" s="31" t="s">
        <v>114</v>
      </c>
      <c r="G89" s="33" t="n">
        <f aca="false">(G88/G87)</f>
        <v>300.302865217768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13427.3320360937</v>
      </c>
      <c r="C90" s="93"/>
      <c r="D90" s="93"/>
      <c r="E90" s="113"/>
      <c r="F90" s="31" t="s">
        <v>115</v>
      </c>
      <c r="G90" s="33" t="n">
        <f aca="false">((G89*(G85))+G77)</f>
        <v>10510.6002826219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13427.3320360937</v>
      </c>
      <c r="C92" s="93"/>
      <c r="D92" s="93"/>
      <c r="E92" s="113"/>
      <c r="F92" s="56" t="s">
        <v>117</v>
      </c>
      <c r="G92" s="65" t="n">
        <f aca="false">(G90+G91)</f>
        <v>10510.6002826219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383.638058174105</v>
      </c>
      <c r="C95" s="93"/>
      <c r="D95" s="93"/>
      <c r="E95" s="113"/>
      <c r="F95" s="95" t="s">
        <v>119</v>
      </c>
      <c r="G95" s="96" t="n">
        <f aca="false">G92/(G85)</f>
        <v>300.302865217768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383.638058174105</v>
      </c>
      <c r="C96" s="93"/>
      <c r="D96" s="93"/>
      <c r="E96" s="113"/>
      <c r="F96" s="97" t="s">
        <v>120</v>
      </c>
      <c r="G96" s="98" t="n">
        <f aca="false">G94+G95</f>
        <v>300.302865217768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387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18916.67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22700.004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22700.004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22700.004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18916.67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18916.67</v>
      </c>
      <c r="H135" s="153" t="n">
        <f aca="false">C125+E125+G125+H128</f>
        <v>20833.33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-17152.78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22499.996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383.638058174105</v>
      </c>
      <c r="B167" s="177" t="str">
        <f aca="false">B94</f>
        <v>0</v>
      </c>
      <c r="C167" s="174"/>
      <c r="D167" s="174"/>
      <c r="E167" s="177" t="n">
        <f aca="false">B96</f>
        <v>383.638058174105</v>
      </c>
      <c r="F167" s="23"/>
      <c r="G167" s="23" t="n">
        <f aca="false">ROUND(G95, 2)</f>
        <v>300.3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16050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16050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16050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16050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22499.996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6977.33603609368</v>
      </c>
      <c r="B182" s="103" t="str">
        <f aca="false">B114</f>
        <v>199.99</v>
      </c>
      <c r="C182" s="103"/>
      <c r="D182" s="23"/>
      <c r="E182" s="103" t="n">
        <f aca="false">E179+A182+(B182*1.2)+A185</f>
        <v>29727.3200360937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16060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16070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16060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16060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187.499966666667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287.489966666667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383.638058174105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4060.504</v>
      </c>
      <c r="B201" s="186" t="n">
        <f aca="false">E179+A201+(B182*1.2)+A185</f>
        <v>26810.488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383.638058174105</v>
      </c>
      <c r="B212" s="177" t="str">
        <f aca="false">B167</f>
        <v>0</v>
      </c>
      <c r="C212" s="174"/>
      <c r="D212" s="174"/>
      <c r="E212" s="177" t="n">
        <f aca="false">E167</f>
        <v>383.638058174105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22499.996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6977.33603609368</v>
      </c>
      <c r="B224" s="103" t="str">
        <f aca="false">B182</f>
        <v>199.99</v>
      </c>
      <c r="C224" s="103"/>
      <c r="D224" s="113"/>
      <c r="E224" s="103" t="n">
        <f aca="false">E182</f>
        <v>29727.3200360937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383.638058174105</v>
      </c>
      <c r="B230" s="103" t="str">
        <f aca="false">B167</f>
        <v>0</v>
      </c>
      <c r="C230" s="186"/>
      <c r="D230" s="186"/>
      <c r="E230" s="103" t="n">
        <f aca="false">E167</f>
        <v>383.638058174105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16050</v>
      </c>
      <c r="B233" s="103" t="n">
        <f aca="false">E185</f>
        <v>16060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B68</f>
        <v>187.499966666667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2204.14996666667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2926.83203609368</v>
      </c>
      <c r="C254" s="197"/>
      <c r="D254" s="198" t="s">
        <v>218</v>
      </c>
      <c r="E254" s="198"/>
      <c r="F254" s="200" t="n">
        <f aca="false">F261+F267+F269+B270+B271</f>
        <v>224.99996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2801.82207609368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2926.83203609368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224.99996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2801.82207609368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16050.0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251.074118166389</v>
      </c>
      <c r="F33" s="232"/>
      <c r="G33" s="232"/>
      <c r="H33" s="47"/>
      <c r="I33" s="2"/>
      <c r="J33" s="34" t="s">
        <v>355</v>
      </c>
      <c r="K33" s="48" t="n">
        <f aca="false">E21</f>
        <v>18916.67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251.074118166389</v>
      </c>
      <c r="B36" s="232" t="str">
        <f aca="false">IF(B26="YES", K42, "0.00")</f>
        <v>0.00</v>
      </c>
      <c r="C36" s="232"/>
      <c r="D36" s="232"/>
      <c r="E36" s="232" t="n">
        <f aca="false">K31</f>
        <v>16050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18916.67</v>
      </c>
      <c r="L39" s="2" t="n">
        <f aca="false">(L47*K46)+K44</f>
        <v>36694.4385585856</v>
      </c>
      <c r="N39" s="1" t="n">
        <f aca="false">K39-L39</f>
        <v>-17777.7685585856</v>
      </c>
      <c r="P39" s="212"/>
    </row>
    <row r="40" customFormat="false" ht="17.35" hidden="false" customHeight="false" outlineLevel="0" collapsed="false">
      <c r="A40" s="107" t="n">
        <f aca="false">E36*A45/100</f>
        <v>16050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13375</v>
      </c>
      <c r="L40" s="2" t="n">
        <f aca="false">K39-L39</f>
        <v>-17777.7685585856</v>
      </c>
      <c r="N40" s="1" t="n">
        <f aca="false">N38-N39</f>
        <v>20689.4485585856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10785.2669972791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8131.40300272092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251.074118166389</v>
      </c>
      <c r="L47" s="2" t="n">
        <f aca="false">L49-K42</f>
        <v>800</v>
      </c>
      <c r="M47" s="1" t="n">
        <f aca="false">K47-L47</f>
        <v>-548.925881833611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251.074118166389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251.074118166389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4388.66378210366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187.499966666667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251.074118166389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251.074118166389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251.074118166389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251.074118166389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22499.996</v>
      </c>
      <c r="C81" s="93"/>
      <c r="D81" s="93"/>
      <c r="E81" s="113"/>
      <c r="F81" s="25" t="s">
        <v>106</v>
      </c>
      <c r="G81" s="27" t="n">
        <f aca="false">G158</f>
        <v>22499.996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16050</v>
      </c>
      <c r="C82" s="93"/>
      <c r="D82" s="93"/>
      <c r="E82" s="113"/>
      <c r="F82" s="31" t="s">
        <v>107</v>
      </c>
      <c r="G82" s="33" t="n">
        <f aca="false">IF(A111="YES",A40,0)</f>
        <v>16050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16050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16050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11217.7454415175</v>
      </c>
      <c r="C86" s="93"/>
      <c r="D86" s="93"/>
      <c r="E86" s="113"/>
      <c r="F86" s="31" t="s">
        <v>111</v>
      </c>
      <c r="G86" s="33" t="n">
        <f aca="false">(G82/((1+G84)^(G85+1)))</f>
        <v>13017.8172657158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10857.3089544249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10857.3089544249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11282.2505584825</v>
      </c>
      <c r="C88" s="93"/>
      <c r="D88" s="93"/>
      <c r="E88" s="113"/>
      <c r="F88" s="31" t="s">
        <v>113</v>
      </c>
      <c r="G88" s="33" t="n">
        <f aca="false">G81-G86</f>
        <v>9482.17873428416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383.638058174105</v>
      </c>
      <c r="C89" s="93"/>
      <c r="D89" s="93"/>
      <c r="E89" s="113"/>
      <c r="F89" s="31" t="s">
        <v>114</v>
      </c>
      <c r="G89" s="33" t="n">
        <f aca="false">(G88/G87)</f>
        <v>300.302865217768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13427.3320360937</v>
      </c>
      <c r="C90" s="93"/>
      <c r="D90" s="93"/>
      <c r="E90" s="113"/>
      <c r="F90" s="31" t="s">
        <v>115</v>
      </c>
      <c r="G90" s="33" t="n">
        <f aca="false">((G89*(G85))+G77)</f>
        <v>10510.6002826219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13427.3320360937</v>
      </c>
      <c r="C92" s="93"/>
      <c r="D92" s="93"/>
      <c r="E92" s="113"/>
      <c r="F92" s="56" t="s">
        <v>117</v>
      </c>
      <c r="G92" s="65" t="n">
        <f aca="false">(G90+G91)</f>
        <v>10510.6002826219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383.638058174105</v>
      </c>
      <c r="C95" s="93"/>
      <c r="D95" s="93"/>
      <c r="E95" s="113"/>
      <c r="F95" s="95" t="s">
        <v>119</v>
      </c>
      <c r="G95" s="96" t="n">
        <f aca="false">G92/(G85)</f>
        <v>300.302865217768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383.638058174105</v>
      </c>
      <c r="C96" s="93"/>
      <c r="D96" s="93"/>
      <c r="E96" s="113"/>
      <c r="F96" s="97" t="s">
        <v>120</v>
      </c>
      <c r="G96" s="98" t="n">
        <f aca="false">G94+G95</f>
        <v>300.302865217768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387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18916.67</v>
      </c>
      <c r="C121" s="121" t="n">
        <v>20833.33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22700.004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22700.004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22700.004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18916.67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18916.67</v>
      </c>
      <c r="H135" s="153" t="n">
        <f aca="false">C125+E125+G125+H128</f>
        <v>20833.33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3783.334</v>
      </c>
      <c r="H137" s="33" t="n">
        <f aca="false">(H135+H136)*20%</f>
        <v>4166.666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22700.004</v>
      </c>
      <c r="H141" s="157" t="n">
        <f aca="false">(H135+H136+H139+H140+H137)-H138</f>
        <v>24999.996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22700.004</v>
      </c>
      <c r="H147" s="164" t="n">
        <f aca="false">H141-((H144*1.2)+(H145*1.2)+(H146*1.2)+(H142*1.2))</f>
        <v>24999.996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1916.66000000001</v>
      </c>
      <c r="I148" s="1" t="n">
        <f aca="false">(H148-G81)/1.2</f>
        <v>-17152.78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22499.996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383.638058174105</v>
      </c>
      <c r="B167" s="177" t="str">
        <f aca="false">B94</f>
        <v>0</v>
      </c>
      <c r="C167" s="174"/>
      <c r="D167" s="174"/>
      <c r="E167" s="177" t="n">
        <f aca="false">B96</f>
        <v>383.638058174105</v>
      </c>
      <c r="F167" s="23"/>
      <c r="G167" s="23" t="n">
        <f aca="false">ROUND(G95, 2)</f>
        <v>300.3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16050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16050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16050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16050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22499.996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6977.33603609368</v>
      </c>
      <c r="B182" s="103" t="str">
        <f aca="false">B114</f>
        <v>239.99</v>
      </c>
      <c r="C182" s="103"/>
      <c r="D182" s="23"/>
      <c r="E182" s="103" t="n">
        <f aca="false">E179+A182+B182+A185</f>
        <v>29727.3220360937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16060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16070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16060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16060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187.499966666667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287.491633333333</v>
      </c>
      <c r="C191" s="93"/>
      <c r="D191" s="93"/>
      <c r="E191" s="103" t="n">
        <f aca="false">H148</f>
        <v>1916.66000000001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383.638058174105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4060.504</v>
      </c>
      <c r="B201" s="186" t="n">
        <f aca="false">E179+A201+B182+A185</f>
        <v>26810.49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383.638058174105</v>
      </c>
      <c r="B212" s="177" t="str">
        <f aca="false">B167</f>
        <v>0</v>
      </c>
      <c r="C212" s="174"/>
      <c r="D212" s="174"/>
      <c r="E212" s="177" t="n">
        <f aca="false">E167</f>
        <v>383.638058174105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22499.996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6977.33603609368</v>
      </c>
      <c r="B224" s="103" t="str">
        <f aca="false">B182</f>
        <v>239.99</v>
      </c>
      <c r="C224" s="103"/>
      <c r="D224" s="113"/>
      <c r="E224" s="103" t="n">
        <f aca="false">E182</f>
        <v>29727.3220360937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383.638058174105</v>
      </c>
      <c r="B230" s="103" t="str">
        <f aca="false">B167</f>
        <v>0</v>
      </c>
      <c r="C230" s="186"/>
      <c r="D230" s="186"/>
      <c r="E230" s="103" t="n">
        <f aca="false">E167</f>
        <v>383.638058174105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16050</v>
      </c>
      <c r="B233" s="103" t="n">
        <f aca="false">E185</f>
        <v>16060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1916.66000000001</v>
      </c>
      <c r="B240" s="103" t="n">
        <f aca="false">B68</f>
        <v>187.499966666667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2204.15163333334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2926.83203609368</v>
      </c>
      <c r="C254" s="197"/>
      <c r="D254" s="198" t="s">
        <v>218</v>
      </c>
      <c r="E254" s="198"/>
      <c r="F254" s="200" t="n">
        <f aca="false">F261+F267+F269+B270+B271</f>
        <v>224.99996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2801.82374276035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2926.83203609368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224.99996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2801.82374276035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19291.67</v>
      </c>
      <c r="C9" s="14" t="n">
        <f aca="false">B9*0.2</f>
        <v>3433.334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16050.0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197.039198651989</v>
      </c>
      <c r="F33" s="232"/>
      <c r="G33" s="232"/>
      <c r="H33" s="47"/>
      <c r="I33" s="2"/>
      <c r="J33" s="34" t="s">
        <v>355</v>
      </c>
      <c r="K33" s="48" t="n">
        <f aca="false">E21</f>
        <v>17166.67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197.039198651989</v>
      </c>
      <c r="B36" s="232" t="str">
        <f aca="false">IF(B26="YES", K42, "0.00")</f>
        <v>0.00</v>
      </c>
      <c r="C36" s="232"/>
      <c r="D36" s="232"/>
      <c r="E36" s="232" t="n">
        <f aca="false">K31</f>
        <v>16050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17166.67</v>
      </c>
      <c r="L39" s="2" t="n">
        <f aca="false">(L47*K46)+K44</f>
        <v>36694.4385585856</v>
      </c>
      <c r="N39" s="1" t="n">
        <f aca="false">K39-L39</f>
        <v>-19527.7685585856</v>
      </c>
      <c r="P39" s="212"/>
    </row>
    <row r="40" customFormat="false" ht="17.35" hidden="false" customHeight="false" outlineLevel="0" collapsed="false">
      <c r="A40" s="107" t="n">
        <f aca="false">E36*A45/100</f>
        <v>16050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13375</v>
      </c>
      <c r="L40" s="2" t="n">
        <f aca="false">K39-L39</f>
        <v>-19527.7685585856</v>
      </c>
      <c r="N40" s="1" t="n">
        <f aca="false">N38-N39</f>
        <v>22439.4485585856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10785.2669972791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6381.40300272092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197.039198651989</v>
      </c>
      <c r="L47" s="2" t="n">
        <f aca="false">L49-K42</f>
        <v>800</v>
      </c>
      <c r="M47" s="1" t="n">
        <f aca="false">K47-L47</f>
        <v>-602.960801348011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197.039198651989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197.039198651989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6333.92088462209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187.499966666667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197.039198651989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197.039198651989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197.039198651989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197.039198651989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22499.996</v>
      </c>
      <c r="C81" s="93"/>
      <c r="D81" s="93"/>
      <c r="E81" s="113"/>
      <c r="F81" s="25" t="s">
        <v>106</v>
      </c>
      <c r="G81" s="27" t="n">
        <f aca="false">G158</f>
        <v>22499.996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16050</v>
      </c>
      <c r="C82" s="93"/>
      <c r="D82" s="93"/>
      <c r="E82" s="113"/>
      <c r="F82" s="31" t="s">
        <v>107</v>
      </c>
      <c r="G82" s="33" t="n">
        <f aca="false">IF(A111="YES",A40,0)</f>
        <v>16050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16050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16050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11217.7454415175</v>
      </c>
      <c r="C86" s="93"/>
      <c r="D86" s="93"/>
      <c r="E86" s="113"/>
      <c r="F86" s="31" t="s">
        <v>111</v>
      </c>
      <c r="G86" s="33" t="n">
        <f aca="false">(G82/((1+G84)^(G85+1)))</f>
        <v>13017.8172657158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10857.3089544249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10857.3089544249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11282.2505584825</v>
      </c>
      <c r="C88" s="93"/>
      <c r="D88" s="93"/>
      <c r="E88" s="113"/>
      <c r="F88" s="31" t="s">
        <v>113</v>
      </c>
      <c r="G88" s="33" t="n">
        <f aca="false">G81-G86</f>
        <v>9482.17873428416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383.638058174105</v>
      </c>
      <c r="C89" s="93"/>
      <c r="D89" s="93"/>
      <c r="E89" s="113"/>
      <c r="F89" s="31" t="s">
        <v>114</v>
      </c>
      <c r="G89" s="33" t="n">
        <f aca="false">(G88/G87)</f>
        <v>300.302865217768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13427.3320360937</v>
      </c>
      <c r="C90" s="93"/>
      <c r="D90" s="93"/>
      <c r="E90" s="113"/>
      <c r="F90" s="31" t="s">
        <v>115</v>
      </c>
      <c r="G90" s="33" t="n">
        <f aca="false">((G89*(G85))+G77)</f>
        <v>10510.6002826219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13427.3320360937</v>
      </c>
      <c r="C92" s="93"/>
      <c r="D92" s="93"/>
      <c r="E92" s="113"/>
      <c r="F92" s="56" t="s">
        <v>117</v>
      </c>
      <c r="G92" s="65" t="n">
        <f aca="false">(G90+G91)</f>
        <v>10510.6002826219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383.638058174105</v>
      </c>
      <c r="C95" s="93"/>
      <c r="D95" s="93"/>
      <c r="E95" s="113"/>
      <c r="F95" s="95" t="s">
        <v>119</v>
      </c>
      <c r="G95" s="96" t="n">
        <f aca="false">G92/(G85)</f>
        <v>300.302865217768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383.638058174105</v>
      </c>
      <c r="C96" s="93"/>
      <c r="D96" s="93"/>
      <c r="E96" s="113"/>
      <c r="F96" s="97" t="s">
        <v>120</v>
      </c>
      <c r="G96" s="98" t="n">
        <f aca="false">G94+G95</f>
        <v>300.302865217768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387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17166.67</v>
      </c>
      <c r="C121" s="121" t="n">
        <v>20833.33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20600.004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20600.004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20600.004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17166.67</v>
      </c>
      <c r="C125" s="133" t="n">
        <f aca="false">C121-C124</f>
        <v>20833.33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17166.67</v>
      </c>
      <c r="H135" s="153" t="n">
        <f aca="false">C125+E125+G125+H128</f>
        <v>20833.33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3433.334</v>
      </c>
      <c r="H137" s="33" t="n">
        <f aca="false">(H135+H136)*20%</f>
        <v>4166.666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20600.004</v>
      </c>
      <c r="H141" s="157" t="n">
        <f aca="false">(H135+H136+H139+H140+H137)-H138</f>
        <v>24999.996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20600.004</v>
      </c>
      <c r="H147" s="164" t="n">
        <f aca="false">H141-((H144*1.2)+(H145*1.2)+(H146*1.2)+(H142*1.2))</f>
        <v>24999.996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3666.66000000001</v>
      </c>
      <c r="I148" s="1" t="n">
        <f aca="false">(H148-G81)/1.2</f>
        <v>-15694.4466666667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22499.996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383.638058174105</v>
      </c>
      <c r="B167" s="177" t="str">
        <f aca="false">B94</f>
        <v>0</v>
      </c>
      <c r="C167" s="174"/>
      <c r="D167" s="174"/>
      <c r="E167" s="177" t="n">
        <f aca="false">B96</f>
        <v>383.638058174105</v>
      </c>
      <c r="F167" s="23"/>
      <c r="G167" s="23" t="n">
        <f aca="false">ROUND(G95, 2)</f>
        <v>300.3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16050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16050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16050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16050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20833.33</v>
      </c>
      <c r="B173" s="103" t="n">
        <f aca="false">H137</f>
        <v>4166.666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22499.996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6977.33603609368</v>
      </c>
      <c r="B182" s="103" t="str">
        <f aca="false">B114</f>
        <v>199.99</v>
      </c>
      <c r="C182" s="103"/>
      <c r="D182" s="23"/>
      <c r="E182" s="103" t="n">
        <f aca="false">E179+A182+(B182*1.2)+A185</f>
        <v>29727.3200360937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16060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16070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16060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16060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187.499966666667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287.489966666667</v>
      </c>
      <c r="C191" s="93"/>
      <c r="D191" s="93"/>
      <c r="E191" s="103" t="n">
        <f aca="false">H148</f>
        <v>3666.66000000001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383.638058174105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4060.504</v>
      </c>
      <c r="B201" s="186" t="n">
        <f aca="false">E179+A201+(B182*1.2)+A185</f>
        <v>26810.488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383.638058174105</v>
      </c>
      <c r="B212" s="177" t="str">
        <f aca="false">B167</f>
        <v>0</v>
      </c>
      <c r="C212" s="174"/>
      <c r="D212" s="174"/>
      <c r="E212" s="177" t="n">
        <f aca="false">E167</f>
        <v>383.638058174105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20833.33</v>
      </c>
      <c r="B215" s="103" t="n">
        <f aca="false">B173</f>
        <v>4166.666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22499.996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6977.33603609368</v>
      </c>
      <c r="B224" s="103" t="str">
        <f aca="false">B182</f>
        <v>199.99</v>
      </c>
      <c r="C224" s="103"/>
      <c r="D224" s="113"/>
      <c r="E224" s="103" t="n">
        <f aca="false">E182</f>
        <v>29727.3200360937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383.638058174105</v>
      </c>
      <c r="B230" s="103" t="str">
        <f aca="false">B167</f>
        <v>0</v>
      </c>
      <c r="C230" s="186"/>
      <c r="D230" s="186"/>
      <c r="E230" s="103" t="n">
        <f aca="false">E167</f>
        <v>383.638058174105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16050</v>
      </c>
      <c r="B233" s="103" t="n">
        <f aca="false">E185</f>
        <v>16060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3666.66000000001</v>
      </c>
      <c r="B240" s="103" t="n">
        <f aca="false">B68</f>
        <v>187.499966666667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3954.14996666667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2926.83203609368</v>
      </c>
      <c r="C254" s="197"/>
      <c r="D254" s="198" t="s">
        <v>218</v>
      </c>
      <c r="E254" s="198"/>
      <c r="F254" s="200" t="n">
        <f aca="false">F261+F267+F269+B270+B271</f>
        <v>224.99996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2801.82207609368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2926.83203609368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224.99996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2801.82207609368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22700.004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1589.00028</v>
      </c>
      <c r="C64" s="215" t="n">
        <v>10000.0</v>
      </c>
      <c r="D64" s="291" t="n">
        <f aca="false">B64</f>
        <v>1589.00028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227.00004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2915.66694666667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242.972245555556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10713.200336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75.6276748204921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10788.8280108205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899.069000901708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899.069000901708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387</v>
      </c>
      <c r="B105" s="312" t="n">
        <v>0.0</v>
      </c>
      <c r="C105" s="312"/>
      <c r="D105" s="107" t="s">
        <v>399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899.069000901708</v>
      </c>
      <c r="B128" s="321" t="n">
        <f aca="false">IF(A105="YES", B89, 0)</f>
        <v>0</v>
      </c>
      <c r="C128" s="326"/>
      <c r="D128" s="321" t="n">
        <f aca="false">B91</f>
        <v>899.069000901708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899.069000901708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899.069000901708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899.069000901708</v>
      </c>
      <c r="B137" s="38" t="n">
        <f aca="false">IF(A105="YES", B89, 0)</f>
        <v>0</v>
      </c>
      <c r="C137" s="317"/>
      <c r="D137" s="38" t="n">
        <f aca="false">B91</f>
        <v>899.069000901708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227.00004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726.99004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899.069000901708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899.069000901708</v>
      </c>
      <c r="B171" s="355" t="n">
        <f aca="false">IF(A105="YES", B89, 0)</f>
        <v>0</v>
      </c>
      <c r="C171" s="358"/>
      <c r="D171" s="355" t="n">
        <f aca="false">B91</f>
        <v>899.069000901708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899.069000901708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899.069000901708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899.069000901708</v>
      </c>
      <c r="B180" s="103" t="n">
        <f aca="false">IF(A105="YES", B89, 0)</f>
        <v>0</v>
      </c>
      <c r="C180" s="353"/>
      <c r="D180" s="103" t="n">
        <f aca="false">B91</f>
        <v>899.069000901708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227.00004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726.99004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1589.00028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227.00004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1701.99024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1589.00028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227.00004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1701.99024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75.6276748204921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22700.004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1589.00028</v>
      </c>
      <c r="C64" s="215" t="n">
        <v>10000.0</v>
      </c>
      <c r="D64" s="291" t="n">
        <f aca="false">B64</f>
        <v>1589.00028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227.00004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2915.66694666667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242.972245555556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8927.66694666667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75.6276748204921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9003.29462148716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750.274551790597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815.274551790597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384</v>
      </c>
      <c r="B105" s="312" t="n">
        <v>30.0</v>
      </c>
      <c r="C105" s="312"/>
      <c r="D105" s="107" t="s">
        <v>399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750.274551790597</v>
      </c>
      <c r="B128" s="321" t="n">
        <f aca="false">IF(A105="YES", B89, 0)</f>
        <v>65</v>
      </c>
      <c r="C128" s="326"/>
      <c r="D128" s="321" t="n">
        <f aca="false">B91</f>
        <v>815.274551790597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6752.47096611537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7337.47096611537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750.274551790597</v>
      </c>
      <c r="B137" s="38" t="n">
        <f aca="false">IF(A105="YES", B89, 0)</f>
        <v>65</v>
      </c>
      <c r="C137" s="317"/>
      <c r="D137" s="38" t="n">
        <f aca="false">B91</f>
        <v>815.274551790597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227.00004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744.99004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815.274551790597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750.274551790597</v>
      </c>
      <c r="B171" s="355" t="n">
        <f aca="false">IF(A105="YES", B89, 0)</f>
        <v>65</v>
      </c>
      <c r="C171" s="358"/>
      <c r="D171" s="355" t="n">
        <f aca="false">B91</f>
        <v>815.274551790597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6752.47096611537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7337.47096611537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750.274551790597</v>
      </c>
      <c r="B180" s="103" t="n">
        <f aca="false">IF(A105="YES", B89, 0)</f>
        <v>65</v>
      </c>
      <c r="C180" s="353"/>
      <c r="D180" s="103" t="n">
        <f aca="false">B91</f>
        <v>815.274551790597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227.00004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744.99004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1589.00028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227.00004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1881.99024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1589.00028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227.00004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1881.99024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75.6276748204921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177.946814412236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127.946814412236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-39577.9820530432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4143.74495666159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127.946814412236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177.946814412236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177.946814412236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421.99992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10780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299.444444444444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127.946814412236</v>
      </c>
      <c r="C83" s="473"/>
      <c r="D83" s="215"/>
      <c r="E83" s="466" t="n">
        <f aca="false">B83+E80+E77+E64</f>
        <v>427.39125885668</v>
      </c>
      <c r="F83" s="63"/>
      <c r="G83" s="305" t="s">
        <v>105</v>
      </c>
      <c r="H83" s="306" t="n">
        <f aca="false">H47</f>
        <v>127.946814412236</v>
      </c>
      <c r="I83" s="215"/>
      <c r="J83" s="215"/>
      <c r="K83" s="216"/>
      <c r="L83" s="63"/>
      <c r="M83" s="305" t="s">
        <v>105</v>
      </c>
      <c r="N83" s="306" t="n">
        <f aca="false">H47</f>
        <v>127.946814412236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15386.0853188405</v>
      </c>
      <c r="C85" s="473"/>
      <c r="D85" s="473"/>
      <c r="E85" s="466" t="n">
        <f aca="false">B85/(B58+B57)</f>
        <v>427.39125885668</v>
      </c>
      <c r="F85" s="63"/>
      <c r="G85" s="288" t="s">
        <v>115</v>
      </c>
      <c r="H85" s="131" t="n">
        <f aca="false">((H83*H29)+H81)*1.2</f>
        <v>6806.20238260859</v>
      </c>
      <c r="I85" s="215"/>
      <c r="J85" s="215"/>
      <c r="K85" s="216"/>
      <c r="L85" s="63"/>
      <c r="M85" s="288" t="s">
        <v>115</v>
      </c>
      <c r="N85" s="131" t="n">
        <f aca="false">((N83*H29)+N81)</f>
        <v>5328.08531884049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130.337955504498</v>
      </c>
      <c r="C86" s="473" t="s">
        <v>232</v>
      </c>
      <c r="D86" s="215"/>
      <c r="E86" s="466" t="n">
        <f aca="false">B86/(B58+B57)</f>
        <v>3.62049876401383</v>
      </c>
      <c r="F86" s="63"/>
      <c r="G86" s="214" t="s">
        <v>116</v>
      </c>
      <c r="H86" s="300" t="n">
        <f aca="false">((((H83*H29)+H81))/(1-H70))*H70</f>
        <v>48.0470115754943</v>
      </c>
      <c r="I86" s="215"/>
      <c r="J86" s="215"/>
      <c r="K86" s="216"/>
      <c r="L86" s="63"/>
      <c r="M86" s="214" t="s">
        <v>116</v>
      </c>
      <c r="N86" s="300" t="n">
        <f aca="false">(N85/(1-N70))*N70</f>
        <v>45.1350511075636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15516.423274345</v>
      </c>
      <c r="C87" s="473"/>
      <c r="D87" s="475"/>
      <c r="E87" s="466" t="n">
        <f aca="false">E86+E85</f>
        <v>431.011757620694</v>
      </c>
      <c r="F87" s="63"/>
      <c r="G87" s="285" t="s">
        <v>117</v>
      </c>
      <c r="H87" s="133" t="n">
        <f aca="false">IF(H110="YES",((H85+H86)-K114),(H85+H86))</f>
        <v>6854.24939418408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5373.22036994805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431.011757620694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167.176814492295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131.054155364587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496.011757620694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377.908521809368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306.663911462148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167.176814492295</v>
      </c>
      <c r="H127" s="177" t="n">
        <f aca="false">IF(G105="YES", H89*H57, 0)</f>
        <v>1264.39024390244</v>
      </c>
      <c r="I127" s="177"/>
      <c r="J127" s="334" t="n">
        <f aca="false">H91</f>
        <v>377.908521809368</v>
      </c>
      <c r="K127" s="216"/>
      <c r="L127" s="63"/>
      <c r="M127" s="333" t="n">
        <f aca="false">N90</f>
        <v>131.054155364587</v>
      </c>
      <c r="N127" s="177" t="n">
        <f aca="false">IF(M105="YES", N89*N57, 0)</f>
        <v>1053.65853658537</v>
      </c>
      <c r="O127" s="177"/>
      <c r="P127" s="177" t="n">
        <f aca="false">N91</f>
        <v>306.663911462148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431.011757620694</v>
      </c>
      <c r="B128" s="321" t="n">
        <f aca="false">IF(A105="YES", B89, 0)</f>
        <v>65</v>
      </c>
      <c r="C128" s="325"/>
      <c r="D128" s="321" t="n">
        <f aca="false">B91</f>
        <v>496.011757620694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431.011757620694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1003.06088695377</v>
      </c>
      <c r="H133" s="103" t="n">
        <f aca="false">IF(G105="YES", H89*H57, 0)</f>
        <v>1264.39024390244</v>
      </c>
      <c r="I133" s="221"/>
      <c r="J133" s="184" t="n">
        <f aca="false">H91*H57</f>
        <v>2267.45113085621</v>
      </c>
      <c r="K133" s="216"/>
      <c r="L133" s="63"/>
      <c r="M133" s="185" t="n">
        <f aca="false">N90*N57</f>
        <v>786.32493218752</v>
      </c>
      <c r="N133" s="103" t="n">
        <f aca="false">IF(M105="YES", N89*N57, 0)</f>
        <v>1053.65853658537</v>
      </c>
      <c r="O133" s="221"/>
      <c r="P133" s="184" t="n">
        <f aca="false">N91*N57</f>
        <v>1839.98346877289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496.011757620694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431.011757620694</v>
      </c>
      <c r="B137" s="38" t="n">
        <f aca="false">IF(A105="YES", B89, 0)</f>
        <v>65</v>
      </c>
      <c r="C137" s="317"/>
      <c r="D137" s="38" t="n">
        <f aca="false">B91</f>
        <v>496.011757620694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421.99992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575.98992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377.908521809368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306.663911462148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496.011757620694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431.011757620694</v>
      </c>
      <c r="B177" s="355" t="n">
        <f aca="false">IF(A105="YES", B89, 0)</f>
        <v>65</v>
      </c>
      <c r="C177" s="357"/>
      <c r="D177" s="355" t="n">
        <f aca="false">B91</f>
        <v>496.011757620694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431.011757620694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496.011757620694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431.011757620694</v>
      </c>
      <c r="B186" s="103" t="n">
        <f aca="false">IF(A105="YES", B89, 0)</f>
        <v>65</v>
      </c>
      <c r="C186" s="353"/>
      <c r="D186" s="103" t="n">
        <f aca="false">B91</f>
        <v>496.011757620694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421.99992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575.98992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0.07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421.99992</v>
      </c>
      <c r="C211" s="320" t="s">
        <v>219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10217.99008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421.99992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10217.99008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130.337955504498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594.7848854461</v>
      </c>
      <c r="E33" s="216"/>
      <c r="F33" s="63"/>
      <c r="G33" s="219" t="s">
        <v>355</v>
      </c>
      <c r="H33" s="460" t="n">
        <f aca="false">E21-E11</f>
        <v>18916.67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594.7848854461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18916.67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-25609.2395313712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18916.67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594.7848854461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594.7848854461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594.7848854461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22700.004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444.541745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341.047619047619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594.7848854461</v>
      </c>
      <c r="C83" s="473"/>
      <c r="D83" s="215"/>
      <c r="E83" s="466" t="n">
        <f aca="false">B83+E80+E77+E64</f>
        <v>929.483298144512</v>
      </c>
      <c r="F83" s="63"/>
      <c r="G83" s="305" t="s">
        <v>105</v>
      </c>
      <c r="H83" s="306" t="n">
        <f aca="false">H47</f>
        <v>594.7848854461</v>
      </c>
      <c r="I83" s="215"/>
      <c r="J83" s="215"/>
      <c r="K83" s="216"/>
      <c r="L83" s="63"/>
      <c r="M83" s="305" t="s">
        <v>105</v>
      </c>
      <c r="N83" s="306" t="n">
        <f aca="false">H47</f>
        <v>594.7848854461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39304.9651887362</v>
      </c>
      <c r="C85" s="473"/>
      <c r="D85" s="473"/>
      <c r="E85" s="466" t="n">
        <f aca="false">B85/(B58+B57)</f>
        <v>1122.99900539246</v>
      </c>
      <c r="F85" s="63"/>
      <c r="G85" s="288" t="s">
        <v>115</v>
      </c>
      <c r="H85" s="131" t="n">
        <f aca="false">((H83*H29)+H81)*1.2</f>
        <v>26237.9651887362</v>
      </c>
      <c r="I85" s="215"/>
      <c r="J85" s="215"/>
      <c r="K85" s="216"/>
      <c r="L85" s="63"/>
      <c r="M85" s="288" t="s">
        <v>115</v>
      </c>
      <c r="N85" s="131" t="n">
        <f aca="false">((N83*H29)+N81)</f>
        <v>21534.9709906135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277.465466237549</v>
      </c>
      <c r="C86" s="473" t="s">
        <v>232</v>
      </c>
      <c r="D86" s="215"/>
      <c r="E86" s="466" t="n">
        <f aca="false">B86/(B58+B57)</f>
        <v>7.92758474964425</v>
      </c>
      <c r="F86" s="63"/>
      <c r="G86" s="214" t="s">
        <v>116</v>
      </c>
      <c r="H86" s="300" t="n">
        <f aca="false">((((H83*H29)+H81))/(1-H70))*H70</f>
        <v>185.221617911611</v>
      </c>
      <c r="I86" s="215"/>
      <c r="J86" s="215"/>
      <c r="K86" s="216"/>
      <c r="L86" s="63"/>
      <c r="M86" s="214" t="s">
        <v>116</v>
      </c>
      <c r="N86" s="300" t="n">
        <f aca="false">(N85/(1-N70))*N70</f>
        <v>182.426135862397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39582.4306549737</v>
      </c>
      <c r="C87" s="473"/>
      <c r="D87" s="475"/>
      <c r="E87" s="466" t="n">
        <f aca="false">E86+E85</f>
        <v>1130.92659014211</v>
      </c>
      <c r="F87" s="63"/>
      <c r="G87" s="285" t="s">
        <v>117</v>
      </c>
      <c r="H87" s="133" t="n">
        <f aca="false">IF(H110="YES",((H85+H86)-K114),(H85+H86))</f>
        <v>26423.1868066478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21717.3971264759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1130.92659014211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660.579670166195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542.934928161897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1130.92659014211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660.579670166195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542.934928161897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660.579670166195</v>
      </c>
      <c r="H127" s="177" t="n">
        <f aca="false">IF(G105="YES", H89*H57, 0)</f>
        <v>0</v>
      </c>
      <c r="I127" s="177"/>
      <c r="J127" s="334" t="n">
        <f aca="false">H91</f>
        <v>660.579670166195</v>
      </c>
      <c r="K127" s="216"/>
      <c r="L127" s="63"/>
      <c r="M127" s="333" t="n">
        <f aca="false">N90</f>
        <v>542.934928161897</v>
      </c>
      <c r="N127" s="177" t="n">
        <f aca="false">IF(M105="YES", N89*N57, 0)</f>
        <v>0</v>
      </c>
      <c r="O127" s="177"/>
      <c r="P127" s="177" t="n">
        <f aca="false">N91</f>
        <v>542.934928161897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1130.92659014211</v>
      </c>
      <c r="B128" s="321" t="n">
        <f aca="false">IF(A105="YES", B89, 0)</f>
        <v>0</v>
      </c>
      <c r="C128" s="325"/>
      <c r="D128" s="321" t="n">
        <f aca="false">B91</f>
        <v>1130.92659014211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1130.92659014211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3963.47802099717</v>
      </c>
      <c r="H133" s="103" t="n">
        <f aca="false">IF(G105="YES", H89*H57, 0)</f>
        <v>0</v>
      </c>
      <c r="I133" s="221"/>
      <c r="J133" s="184" t="n">
        <f aca="false">H91*H57</f>
        <v>3963.47802099717</v>
      </c>
      <c r="K133" s="216"/>
      <c r="L133" s="63"/>
      <c r="M133" s="185" t="n">
        <f aca="false">N90*N57</f>
        <v>3257.60956897138</v>
      </c>
      <c r="N133" s="103" t="n">
        <f aca="false">IF(M105="YES", N89*N57, 0)</f>
        <v>0</v>
      </c>
      <c r="O133" s="221"/>
      <c r="P133" s="184" t="n">
        <f aca="false">N91*N57</f>
        <v>3257.60956897138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1130.92659014211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1130.92659014211</v>
      </c>
      <c r="B137" s="38" t="n">
        <f aca="false">IF(A105="YES", B89, 0)</f>
        <v>0</v>
      </c>
      <c r="C137" s="317"/>
      <c r="D137" s="38" t="n">
        <f aca="false">B91</f>
        <v>1130.92659014211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444.541745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944.533411666667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660.579670166195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542.934928161897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1130.92659014211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1130.92659014211</v>
      </c>
      <c r="B177" s="355" t="n">
        <f aca="false">IF(A105="YES", B89, 0)</f>
        <v>0</v>
      </c>
      <c r="C177" s="357"/>
      <c r="D177" s="355" t="n">
        <f aca="false">B91</f>
        <v>1130.92659014211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1130.92659014211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1130.92659014211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1130.92659014211</v>
      </c>
      <c r="B186" s="103" t="n">
        <f aca="false">IF(A105="YES", B89, 0)</f>
        <v>0</v>
      </c>
      <c r="C186" s="353"/>
      <c r="D186" s="103" t="n">
        <f aca="false">B91</f>
        <v>1130.92659014211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444.541745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944.533411666667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444.541745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9895.44992166667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444.541745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9895.44992166667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277.465466237549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45275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21268</v>
      </c>
      <c r="B35" s="223" t="s">
        <v>392</v>
      </c>
      <c r="C35" s="223"/>
      <c r="D35" s="279" t="n">
        <f aca="false">A35-B35</f>
        <v>20268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395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405</v>
      </c>
      <c r="B41" s="104" t="s">
        <v>408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406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91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91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209.28</v>
      </c>
      <c r="C73" s="317"/>
      <c r="D73" s="32"/>
      <c r="E73" s="318"/>
      <c r="F73" s="388"/>
      <c r="G73" s="366" t="s">
        <v>94</v>
      </c>
      <c r="H73" s="65" t="n">
        <f aca="false">H67*H72</f>
        <v>104.64</v>
      </c>
      <c r="I73" s="317"/>
      <c r="J73" s="32"/>
      <c r="K73" s="318"/>
      <c r="L73" s="388"/>
      <c r="M73" s="366" t="s">
        <v>94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103</v>
      </c>
      <c r="H87" s="413" t="n">
        <f aca="false">SUM(J70:J86)</f>
        <v>4591.46</v>
      </c>
      <c r="I87" s="317"/>
      <c r="J87" s="317"/>
      <c r="K87" s="318"/>
      <c r="L87" s="388"/>
      <c r="M87" s="412" t="s">
        <v>103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232.635555555556</v>
      </c>
      <c r="C88" s="317"/>
      <c r="D88" s="317"/>
      <c r="E88" s="318"/>
      <c r="F88" s="388"/>
      <c r="G88" s="316" t="s">
        <v>104</v>
      </c>
      <c r="H88" s="33" t="n">
        <f aca="false">H87/H29</f>
        <v>382.621666666667</v>
      </c>
      <c r="I88" s="317"/>
      <c r="J88" s="317"/>
      <c r="K88" s="318"/>
      <c r="L88" s="388"/>
      <c r="M88" s="316" t="s">
        <v>104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295.333333333333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115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115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116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387</v>
      </c>
      <c r="B111" s="312" t="n">
        <v>0.0</v>
      </c>
      <c r="C111" s="312"/>
      <c r="D111" s="107" t="s">
        <v>399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387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45275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21268</v>
      </c>
      <c r="B35" s="223" t="s">
        <v>392</v>
      </c>
      <c r="C35" s="223"/>
      <c r="D35" s="279" t="n">
        <f aca="false">A35-B35</f>
        <v>20268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395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405</v>
      </c>
      <c r="B41" s="104" t="s">
        <v>408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401</v>
      </c>
      <c r="B44" s="104" t="s">
        <v>406</v>
      </c>
      <c r="C44" s="104"/>
      <c r="D44" s="104" t="s">
        <v>406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91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91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209.28</v>
      </c>
      <c r="C73" s="317"/>
      <c r="D73" s="32"/>
      <c r="E73" s="318"/>
      <c r="F73" s="388"/>
      <c r="G73" s="366" t="s">
        <v>94</v>
      </c>
      <c r="H73" s="65" t="n">
        <f aca="false">H67*H72</f>
        <v>104.64</v>
      </c>
      <c r="I73" s="317"/>
      <c r="J73" s="32"/>
      <c r="K73" s="318"/>
      <c r="L73" s="388"/>
      <c r="M73" s="366" t="s">
        <v>94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103</v>
      </c>
      <c r="H87" s="413" t="n">
        <f aca="false">SUM(J70:J86)</f>
        <v>4591.46</v>
      </c>
      <c r="I87" s="317"/>
      <c r="J87" s="317"/>
      <c r="K87" s="318"/>
      <c r="L87" s="388"/>
      <c r="M87" s="412" t="s">
        <v>103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232.635555555556</v>
      </c>
      <c r="C88" s="317"/>
      <c r="D88" s="317"/>
      <c r="E88" s="318"/>
      <c r="F88" s="388"/>
      <c r="G88" s="316" t="s">
        <v>104</v>
      </c>
      <c r="H88" s="33" t="n">
        <f aca="false">H87/H29</f>
        <v>382.621666666667</v>
      </c>
      <c r="I88" s="317"/>
      <c r="J88" s="317"/>
      <c r="K88" s="318"/>
      <c r="L88" s="388"/>
      <c r="M88" s="316" t="s">
        <v>104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295.333333333333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115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116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384</v>
      </c>
      <c r="B111" s="312" t="n">
        <v>30.0</v>
      </c>
      <c r="C111" s="312"/>
      <c r="D111" s="107" t="s">
        <v>399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387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393</v>
      </c>
      <c r="B34" s="32"/>
      <c r="C34" s="41" t="s">
        <v>394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21268</v>
      </c>
      <c r="B37" s="32"/>
      <c r="C37" s="41" t="s">
        <v>392</v>
      </c>
      <c r="D37" s="41"/>
      <c r="E37" s="32"/>
      <c r="F37" s="43" t="n">
        <f aca="false">A37-C37</f>
        <v>20268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396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17490.7715151242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20268</v>
      </c>
      <c r="C90" s="32"/>
      <c r="D90" s="32"/>
      <c r="E90" s="23"/>
      <c r="F90" s="25" t="s">
        <v>106</v>
      </c>
      <c r="G90" s="27" t="n">
        <f aca="false">F37</f>
        <v>20268</v>
      </c>
      <c r="H90" s="33"/>
      <c r="J90" s="25" t="s">
        <v>106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7200</v>
      </c>
      <c r="C91" s="32"/>
      <c r="D91" s="32"/>
      <c r="E91" s="23"/>
      <c r="F91" s="31" t="s">
        <v>107</v>
      </c>
      <c r="G91" s="33" t="n">
        <f aca="false">IF(A111="YES",A43,0)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5255.82391109543</v>
      </c>
      <c r="C95" s="32"/>
      <c r="D95" s="32"/>
      <c r="E95" s="23"/>
      <c r="F95" s="31" t="s">
        <v>111</v>
      </c>
      <c r="G95" s="33" t="n">
        <f aca="false">(G91/((1+G93)^(G94+1)))</f>
        <v>6024.37295128565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15012.1760889046</v>
      </c>
      <c r="C97" s="32"/>
      <c r="D97" s="32"/>
      <c r="E97" s="23"/>
      <c r="F97" s="31" t="s">
        <v>113</v>
      </c>
      <c r="G97" s="33" t="n">
        <f aca="false">G90-G95</f>
        <v>14243.6270487143</v>
      </c>
      <c r="H97" s="33"/>
      <c r="J97" s="31" t="s">
        <v>113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546.961609847631</v>
      </c>
      <c r="C98" s="32"/>
      <c r="D98" s="32"/>
      <c r="E98" s="23"/>
      <c r="F98" s="31" t="s">
        <v>114</v>
      </c>
      <c r="G98" s="33" t="n">
        <f aca="false">(G97/G96)</f>
        <v>486.005136521857</v>
      </c>
      <c r="H98" s="33"/>
      <c r="J98" s="31" t="s">
        <v>114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17502.7715151242</v>
      </c>
      <c r="C99" s="32"/>
      <c r="D99" s="32"/>
      <c r="E99" s="23"/>
      <c r="F99" s="31" t="s">
        <v>115</v>
      </c>
      <c r="G99" s="33" t="n">
        <f aca="false">((G98*(G94))+G86)</f>
        <v>15552.1643686994</v>
      </c>
      <c r="H99" s="33"/>
      <c r="J99" s="31" t="s">
        <v>115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17502.7715151242</v>
      </c>
      <c r="C101" s="32"/>
      <c r="D101" s="32"/>
      <c r="E101" s="23"/>
      <c r="F101" s="56" t="s">
        <v>117</v>
      </c>
      <c r="G101" s="65" t="n">
        <f aca="false">(G99+G100)</f>
        <v>15552.1643686994</v>
      </c>
      <c r="H101" s="33"/>
      <c r="J101" s="56" t="s">
        <v>117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546.961609847631</v>
      </c>
      <c r="C104" s="32"/>
      <c r="D104" s="32"/>
      <c r="E104" s="23"/>
      <c r="F104" s="95" t="s">
        <v>119</v>
      </c>
      <c r="G104" s="96" t="n">
        <f aca="false">G101/(G94)</f>
        <v>486.005136521857</v>
      </c>
      <c r="H104" s="33"/>
      <c r="J104" s="95" t="s">
        <v>119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546.961609847631</v>
      </c>
      <c r="C105" s="32"/>
      <c r="D105" s="32"/>
      <c r="E105" s="23" t="s">
        <v>18</v>
      </c>
      <c r="F105" s="97" t="s">
        <v>120</v>
      </c>
      <c r="G105" s="98" t="n">
        <f aca="false">G103+G104</f>
        <v>486.005136521857</v>
      </c>
      <c r="H105" s="33"/>
      <c r="J105" s="97" t="s">
        <v>120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/>
      <c r="C114" s="103"/>
      <c r="D114" s="103"/>
      <c r="E114" s="104" t="s">
        <v>387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384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388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151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151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151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155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155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155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-16890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546.961609847631</v>
      </c>
      <c r="B176" s="177" t="n">
        <f aca="false">B103</f>
        <v>0</v>
      </c>
      <c r="C176" s="174"/>
      <c r="D176" s="174"/>
      <c r="E176" s="177" t="n">
        <f aca="false">B105</f>
        <v>546.961609847631</v>
      </c>
      <c r="F176" s="23"/>
      <c r="G176" s="23" t="n">
        <f aca="false">ROUND(G104, 2)</f>
        <v>486.01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3434.77151512419</v>
      </c>
      <c r="B191" s="103" t="str">
        <f aca="false">B123</f>
        <v>199.99</v>
      </c>
      <c r="C191" s="103"/>
      <c r="D191" s="23"/>
      <c r="E191" s="103" t="n">
        <f aca="false">E188+A191+(B191*1.2)+A194</f>
        <v>24952.7595151242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546.961609847631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1484.32</v>
      </c>
      <c r="B210" s="186" t="n">
        <f aca="false">ROUND((E188+A210+(B191*1.2)+A194),2)</f>
        <v>23002.31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546.961609847631</v>
      </c>
      <c r="B221" s="177" t="n">
        <f aca="false">B176</f>
        <v>0</v>
      </c>
      <c r="C221" s="174"/>
      <c r="D221" s="174"/>
      <c r="E221" s="177" t="n">
        <f aca="false">E176</f>
        <v>546.961609847631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3434.77151512419</v>
      </c>
      <c r="B233" s="103" t="str">
        <f aca="false">B191</f>
        <v>199.99</v>
      </c>
      <c r="C233" s="103"/>
      <c r="D233" s="113"/>
      <c r="E233" s="103" t="n">
        <f aca="false">E191</f>
        <v>24952.7595151242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546.961609847631</v>
      </c>
      <c r="B239" s="103" t="n">
        <f aca="false">B176</f>
        <v>0</v>
      </c>
      <c r="C239" s="186"/>
      <c r="D239" s="186"/>
      <c r="E239" s="103" t="n">
        <f aca="false">E176</f>
        <v>546.961609847631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1960.44951512419</v>
      </c>
      <c r="C263" s="197"/>
      <c r="D263" s="198" t="s">
        <v>218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1861.05201512419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1960.44951512419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1861.05201512419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393</v>
      </c>
      <c r="B34" s="32"/>
      <c r="C34" s="41" t="s">
        <v>394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21268</v>
      </c>
      <c r="B37" s="32"/>
      <c r="C37" s="41" t="s">
        <v>392</v>
      </c>
      <c r="D37" s="41"/>
      <c r="E37" s="32"/>
      <c r="F37" s="43" t="n">
        <f aca="false">A37-C37</f>
        <v>20268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396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17490.7715151242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20268</v>
      </c>
      <c r="C90" s="32"/>
      <c r="D90" s="32"/>
      <c r="E90" s="23"/>
      <c r="F90" s="25" t="s">
        <v>106</v>
      </c>
      <c r="G90" s="27" t="n">
        <f aca="false">F37</f>
        <v>20268</v>
      </c>
      <c r="H90" s="33"/>
      <c r="J90" s="25" t="s">
        <v>106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7200</v>
      </c>
      <c r="C91" s="32"/>
      <c r="D91" s="32"/>
      <c r="E91" s="23"/>
      <c r="F91" s="31" t="s">
        <v>107</v>
      </c>
      <c r="G91" s="33" t="n">
        <f aca="false">IF(A111="YES",A43,0)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5255.82391109543</v>
      </c>
      <c r="C95" s="32"/>
      <c r="D95" s="32"/>
      <c r="E95" s="23"/>
      <c r="F95" s="31" t="s">
        <v>111</v>
      </c>
      <c r="G95" s="33" t="n">
        <f aca="false">(G91/((1+G93)^(G94+1)))</f>
        <v>6024.37295128565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15012.1760889046</v>
      </c>
      <c r="C97" s="32"/>
      <c r="D97" s="32"/>
      <c r="E97" s="23"/>
      <c r="F97" s="31" t="s">
        <v>113</v>
      </c>
      <c r="G97" s="33" t="n">
        <f aca="false">G90-G95</f>
        <v>14243.6270487143</v>
      </c>
      <c r="H97" s="33"/>
      <c r="J97" s="31" t="s">
        <v>113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546.961609847631</v>
      </c>
      <c r="C98" s="32"/>
      <c r="D98" s="32"/>
      <c r="E98" s="23"/>
      <c r="F98" s="31" t="s">
        <v>114</v>
      </c>
      <c r="G98" s="33" t="n">
        <f aca="false">(G97/G96)</f>
        <v>486.005136521857</v>
      </c>
      <c r="H98" s="33"/>
      <c r="J98" s="31" t="s">
        <v>114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17502.7715151242</v>
      </c>
      <c r="C99" s="32"/>
      <c r="D99" s="32"/>
      <c r="E99" s="23"/>
      <c r="F99" s="31" t="s">
        <v>115</v>
      </c>
      <c r="G99" s="33" t="n">
        <f aca="false">((G98*(G94))+G86)</f>
        <v>15552.1643686994</v>
      </c>
      <c r="H99" s="33"/>
      <c r="J99" s="31" t="s">
        <v>115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17502.7715151242</v>
      </c>
      <c r="C101" s="32"/>
      <c r="D101" s="32"/>
      <c r="E101" s="23"/>
      <c r="F101" s="56" t="s">
        <v>117</v>
      </c>
      <c r="G101" s="65" t="n">
        <f aca="false">(G99+G100)</f>
        <v>15552.1643686994</v>
      </c>
      <c r="H101" s="33"/>
      <c r="J101" s="56" t="s">
        <v>117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546.961609847631</v>
      </c>
      <c r="C104" s="32"/>
      <c r="D104" s="32"/>
      <c r="E104" s="23"/>
      <c r="F104" s="95" t="s">
        <v>119</v>
      </c>
      <c r="G104" s="96" t="n">
        <f aca="false">G101/(G94)</f>
        <v>486.005136521857</v>
      </c>
      <c r="H104" s="33"/>
      <c r="J104" s="95" t="s">
        <v>119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627.399109847631</v>
      </c>
      <c r="C105" s="32"/>
      <c r="D105" s="32"/>
      <c r="E105" s="23" t="s">
        <v>19</v>
      </c>
      <c r="F105" s="97" t="s">
        <v>120</v>
      </c>
      <c r="G105" s="98" t="n">
        <f aca="false">G103+G104</f>
        <v>486.005136521857</v>
      </c>
      <c r="H105" s="33"/>
      <c r="J105" s="97" t="s">
        <v>120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387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384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398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151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151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151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155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155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155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-16890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546.961609847631</v>
      </c>
      <c r="B176" s="177" t="n">
        <f aca="false">B103</f>
        <v>80.4375</v>
      </c>
      <c r="C176" s="174"/>
      <c r="D176" s="174"/>
      <c r="E176" s="177" t="n">
        <f aca="false">B105</f>
        <v>627.399109847631</v>
      </c>
      <c r="F176" s="23"/>
      <c r="G176" s="23" t="n">
        <f aca="false">ROUND(G104, 2)</f>
        <v>486.01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3434.77151512419</v>
      </c>
      <c r="B191" s="103" t="str">
        <f aca="false">B123</f>
        <v>239.99</v>
      </c>
      <c r="C191" s="103"/>
      <c r="D191" s="23"/>
      <c r="E191" s="103" t="n">
        <f aca="false">E188+A191+B191+A194</f>
        <v>24952.7615151242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627.399109847631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1484.32</v>
      </c>
      <c r="B210" s="186" t="n">
        <f aca="false">E188+A210+B191+A194</f>
        <v>23002.31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546.961609847631</v>
      </c>
      <c r="B221" s="177" t="n">
        <f aca="false">B176</f>
        <v>80.4375</v>
      </c>
      <c r="C221" s="174"/>
      <c r="D221" s="174"/>
      <c r="E221" s="177" t="n">
        <f aca="false">E176</f>
        <v>627.399109847631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3434.77151512419</v>
      </c>
      <c r="B233" s="103" t="str">
        <f aca="false">B191</f>
        <v>239.99</v>
      </c>
      <c r="C233" s="103"/>
      <c r="D233" s="113"/>
      <c r="E233" s="103" t="n">
        <f aca="false">E191</f>
        <v>24952.7615151242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546.961609847631</v>
      </c>
      <c r="B239" s="103" t="n">
        <f aca="false">B176</f>
        <v>80.4375</v>
      </c>
      <c r="C239" s="186"/>
      <c r="D239" s="186"/>
      <c r="E239" s="103" t="n">
        <f aca="false">E176</f>
        <v>627.399109847631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1960.45151512419</v>
      </c>
      <c r="C263" s="197"/>
      <c r="D263" s="198" t="s">
        <v>218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594.991666666667</v>
      </c>
      <c r="C264" s="197"/>
      <c r="D264" s="198" t="s">
        <v>220</v>
      </c>
      <c r="E264" s="198"/>
      <c r="F264" s="200" t="n">
        <f aca="false">(B263-F263)+B264</f>
        <v>2356.05568179086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1960.45151512419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2356.05568179086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18916.67</v>
      </c>
      <c r="C2" s="4" t="s">
        <v>2</v>
      </c>
      <c r="D2" s="5" t="n">
        <f aca="false">C9</f>
        <v>3783.334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22700.004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18916.67</v>
      </c>
      <c r="C9" s="14" t="n">
        <f aca="false">B9*0.2</f>
        <v>3783.334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18916.67</v>
      </c>
      <c r="C15" s="14" t="n">
        <f aca="false">SUM(C9:C13)</f>
        <v>3783.334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22700.004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211.503783399923</v>
      </c>
      <c r="E33" s="216"/>
      <c r="F33" s="63"/>
      <c r="G33" s="219" t="s">
        <v>355</v>
      </c>
      <c r="H33" s="460" t="n">
        <f aca="false">E21-E11</f>
        <v>18916.67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161.503783399923</v>
      </c>
      <c r="B36" s="103" t="n">
        <f aca="false">IF(B26="YES", H42, "")</f>
        <v>50</v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18916.67</v>
      </c>
      <c r="I39" s="238" t="n">
        <f aca="false">(I48*H46)+H44</f>
        <v>57694.31707024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1800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-38777.64707024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5269.4628941323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161.503783399923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211.503783399923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211.503783399923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22700.004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454.00008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11288.75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313.576388888889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161.503783399923</v>
      </c>
      <c r="C83" s="473"/>
      <c r="D83" s="215"/>
      <c r="E83" s="466" t="n">
        <f aca="false">B83+E80+E77+E64</f>
        <v>475.080172288812</v>
      </c>
      <c r="F83" s="63"/>
      <c r="G83" s="305" t="s">
        <v>105</v>
      </c>
      <c r="H83" s="306" t="n">
        <f aca="false">H47</f>
        <v>161.503783399923</v>
      </c>
      <c r="I83" s="215"/>
      <c r="J83" s="215"/>
      <c r="K83" s="216"/>
      <c r="L83" s="63"/>
      <c r="M83" s="305" t="s">
        <v>105</v>
      </c>
      <c r="N83" s="306" t="n">
        <f aca="false">H47</f>
        <v>161.503783399923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17102.8862023972</v>
      </c>
      <c r="C85" s="473"/>
      <c r="D85" s="473"/>
      <c r="E85" s="466" t="n">
        <f aca="false">B85/(B58+B57)</f>
        <v>475.080172288812</v>
      </c>
      <c r="F85" s="63"/>
      <c r="G85" s="288" t="s">
        <v>115</v>
      </c>
      <c r="H85" s="131" t="n">
        <f aca="false">((H83*H29)+H81)*1.2</f>
        <v>8255.8634428767</v>
      </c>
      <c r="I85" s="215"/>
      <c r="J85" s="215"/>
      <c r="K85" s="216"/>
      <c r="L85" s="63"/>
      <c r="M85" s="288" t="s">
        <v>115</v>
      </c>
      <c r="N85" s="131" t="n">
        <f aca="false">((N83*H29)+N81)</f>
        <v>6536.13620239725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144.881246571336</v>
      </c>
      <c r="C86" s="473" t="s">
        <v>232</v>
      </c>
      <c r="D86" s="215"/>
      <c r="E86" s="466" t="n">
        <f aca="false">B86/(B58+B57)</f>
        <v>4.024479071426</v>
      </c>
      <c r="F86" s="63"/>
      <c r="G86" s="214" t="s">
        <v>116</v>
      </c>
      <c r="H86" s="300" t="n">
        <f aca="false">((((H83*H29)+H81))/(1-H70))*H70</f>
        <v>58.2806011497952</v>
      </c>
      <c r="I86" s="215"/>
      <c r="J86" s="215"/>
      <c r="K86" s="216"/>
      <c r="L86" s="63"/>
      <c r="M86" s="214" t="s">
        <v>116</v>
      </c>
      <c r="N86" s="300" t="n">
        <f aca="false">(N85/(1-N70))*N70</f>
        <v>55.3686406818645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17247.7674489686</v>
      </c>
      <c r="C87" s="473"/>
      <c r="D87" s="475"/>
      <c r="E87" s="466" t="n">
        <f aca="false">E86+E85</f>
        <v>479.104651360238</v>
      </c>
      <c r="F87" s="63"/>
      <c r="G87" s="285" t="s">
        <v>117</v>
      </c>
      <c r="H87" s="133" t="n">
        <f aca="false">IF(H110="YES",((H85+H86)-K114),(H85+H86))</f>
        <v>8314.14404402649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6591.50484307911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63.2195121951219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52.6829268292683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479.104651360238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202.784001073817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160.768410806808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544.104651360239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266.003513268939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213.451337636076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202.784001073817</v>
      </c>
      <c r="H127" s="177" t="n">
        <f aca="false">IF(G105="YES", H89*H57, 0)</f>
        <v>379.317073170732</v>
      </c>
      <c r="I127" s="177"/>
      <c r="J127" s="334" t="n">
        <f aca="false">H91</f>
        <v>266.003513268939</v>
      </c>
      <c r="K127" s="216"/>
      <c r="L127" s="63"/>
      <c r="M127" s="333" t="n">
        <f aca="false">N90</f>
        <v>160.768410806808</v>
      </c>
      <c r="N127" s="177" t="n">
        <f aca="false">IF(M105="YES", N89*N57, 0)</f>
        <v>316.09756097561</v>
      </c>
      <c r="O127" s="177"/>
      <c r="P127" s="177" t="n">
        <f aca="false">N91</f>
        <v>213.451337636076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479.104651360238</v>
      </c>
      <c r="B128" s="321" t="n">
        <f aca="false">IF(A105="YES", B89, 0)</f>
        <v>65</v>
      </c>
      <c r="C128" s="325"/>
      <c r="D128" s="321" t="n">
        <f aca="false">B91</f>
        <v>544.104651360239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479.104651360238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1216.7040064429</v>
      </c>
      <c r="H133" s="103" t="n">
        <f aca="false">IF(G105="YES", H89*H57, 0)</f>
        <v>379.317073170732</v>
      </c>
      <c r="I133" s="221"/>
      <c r="J133" s="184" t="n">
        <f aca="false">H91*H57</f>
        <v>1596.02107961363</v>
      </c>
      <c r="K133" s="216"/>
      <c r="L133" s="63"/>
      <c r="M133" s="185" t="n">
        <f aca="false">N90*N57</f>
        <v>964.610464840846</v>
      </c>
      <c r="N133" s="103" t="n">
        <f aca="false">IF(M105="YES", N89*N57, 0)</f>
        <v>316.09756097561</v>
      </c>
      <c r="O133" s="221"/>
      <c r="P133" s="184" t="n">
        <f aca="false">N91*N57</f>
        <v>1280.70802581646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544.104651360239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479.104651360238</v>
      </c>
      <c r="B137" s="38" t="n">
        <f aca="false">IF(A105="YES", B89, 0)</f>
        <v>65</v>
      </c>
      <c r="C137" s="317"/>
      <c r="D137" s="38" t="n">
        <f aca="false">B91</f>
        <v>544.104651360239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454.00008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607.99008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266.003513268939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213.451337636076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544.104651360239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479.104651360238</v>
      </c>
      <c r="B177" s="355" t="n">
        <f aca="false">IF(A105="YES", B89, 0)</f>
        <v>65</v>
      </c>
      <c r="C177" s="357"/>
      <c r="D177" s="355" t="n">
        <f aca="false">B91</f>
        <v>544.104651360239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479.104651360238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544.104651360239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479.104651360238</v>
      </c>
      <c r="B186" s="103" t="n">
        <f aca="false">IF(A105="YES", B89, 0)</f>
        <v>65</v>
      </c>
      <c r="C186" s="353"/>
      <c r="D186" s="103" t="n">
        <f aca="false">B91</f>
        <v>544.104651360239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454.00008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607.99008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454.00008</v>
      </c>
      <c r="C211" s="320" t="s">
        <v>219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10185.98992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454.00008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10185.98992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144.881246571336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243</v>
      </c>
      <c r="H32" s="225" t="n">
        <f aca="false">A41</f>
        <v>8.96969696969697</v>
      </c>
      <c r="I32" s="0"/>
      <c r="J32" s="44" t="s">
        <v>37</v>
      </c>
      <c r="K32" s="45" t="s">
        <v>391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393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20268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17862.6032059114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20268</v>
      </c>
      <c r="C81" s="93"/>
      <c r="D81" s="93"/>
      <c r="E81" s="113"/>
      <c r="F81" s="25" t="s">
        <v>106</v>
      </c>
      <c r="G81" s="27" t="n">
        <f aca="false">B81</f>
        <v>20268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7200</v>
      </c>
      <c r="C82" s="93"/>
      <c r="D82" s="93"/>
      <c r="E82" s="113"/>
      <c r="F82" s="31" t="s">
        <v>107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0.137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0.0114166666666667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15317.6147049928</v>
      </c>
      <c r="C88" s="93" t="n">
        <f aca="false">B81-B86</f>
        <v>15317.6147049928</v>
      </c>
      <c r="D88" s="93"/>
      <c r="E88" s="113"/>
      <c r="F88" s="31" t="s">
        <v>113</v>
      </c>
      <c r="G88" s="33" t="n">
        <f aca="false">G81-G86</f>
        <v>14243.6270487143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574.123016851398</v>
      </c>
      <c r="C89" s="93" t="n">
        <f aca="false">(B88/B87)</f>
        <v>574.123016851398</v>
      </c>
      <c r="D89" s="93"/>
      <c r="E89" s="113"/>
      <c r="F89" s="31" t="s">
        <v>114</v>
      </c>
      <c r="G89" s="33" t="n">
        <f aca="false">(G88/G87)</f>
        <v>486.005136521857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18371.9365392447</v>
      </c>
      <c r="C90" s="93"/>
      <c r="D90" s="93"/>
      <c r="E90" s="113"/>
      <c r="F90" s="31" t="s">
        <v>115</v>
      </c>
      <c r="G90" s="33" t="n">
        <f aca="false">((G89*(G85))+G77)</f>
        <v>15552.1643686994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18371.9365392447</v>
      </c>
      <c r="C92" s="93"/>
      <c r="D92" s="93"/>
      <c r="E92" s="113"/>
      <c r="F92" s="56" t="s">
        <v>117</v>
      </c>
      <c r="G92" s="65" t="n">
        <f aca="false">(G90+G91)</f>
        <v>15552.1643686994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13.32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574.123016851398</v>
      </c>
      <c r="C95" s="93"/>
      <c r="D95" s="93"/>
      <c r="E95" s="113"/>
      <c r="F95" s="95" t="s">
        <v>119</v>
      </c>
      <c r="G95" s="96" t="n">
        <f aca="false">G92/(G85)</f>
        <v>486.005136521857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587.443016851398</v>
      </c>
      <c r="C96" s="93"/>
      <c r="D96" s="93"/>
      <c r="E96" s="113"/>
      <c r="F96" s="97" t="s">
        <v>120</v>
      </c>
      <c r="G96" s="98" t="n">
        <f aca="false">G94+G95</f>
        <v>486.005136521857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-16890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574.123016851398</v>
      </c>
      <c r="B167" s="177" t="n">
        <f aca="false">B94</f>
        <v>13.32</v>
      </c>
      <c r="C167" s="174"/>
      <c r="D167" s="174"/>
      <c r="E167" s="177" t="n">
        <f aca="false">B96</f>
        <v>587.443016851398</v>
      </c>
      <c r="F167" s="23"/>
      <c r="G167" s="23" t="n">
        <f aca="false">ROUND(G95, 2)</f>
        <v>486.01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4303.93653924473</v>
      </c>
      <c r="B182" s="103" t="str">
        <f aca="false">B114</f>
        <v>239.99</v>
      </c>
      <c r="C182" s="103"/>
      <c r="D182" s="23"/>
      <c r="E182" s="103" t="n">
        <f aca="false">E179+A182+B182+A185</f>
        <v>25821.9265392447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587.443016851398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1484.32</v>
      </c>
      <c r="B201" s="186" t="n">
        <f aca="false">E179+A201+B182+A185</f>
        <v>23002.31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574.123016851398</v>
      </c>
      <c r="B212" s="177" t="n">
        <f aca="false">B167</f>
        <v>13.32</v>
      </c>
      <c r="C212" s="174"/>
      <c r="D212" s="174"/>
      <c r="E212" s="177" t="n">
        <f aca="false">E167</f>
        <v>587.443016851398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4303.93653924473</v>
      </c>
      <c r="B224" s="103" t="str">
        <f aca="false">B182</f>
        <v>239.99</v>
      </c>
      <c r="C224" s="103"/>
      <c r="D224" s="113"/>
      <c r="E224" s="103" t="n">
        <f aca="false">E182</f>
        <v>25821.9265392447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574.123016851398</v>
      </c>
      <c r="B230" s="103" t="n">
        <f aca="false">B167</f>
        <v>13.32</v>
      </c>
      <c r="C230" s="186"/>
      <c r="D230" s="186"/>
      <c r="E230" s="103" t="n">
        <f aca="false">E167</f>
        <v>587.443016851398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2829.61653924473</v>
      </c>
      <c r="C254" s="197"/>
      <c r="D254" s="198" t="s">
        <v>218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159.191666666667</v>
      </c>
      <c r="C255" s="197"/>
      <c r="D255" s="198" t="s">
        <v>220</v>
      </c>
      <c r="E255" s="198"/>
      <c r="F255" s="200" t="n">
        <f aca="false">(B254-F254)+B255</f>
        <v>2789.4207059114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0.137</v>
      </c>
      <c r="C260" s="43"/>
      <c r="D260" s="166" t="s">
        <v>217</v>
      </c>
      <c r="E260" s="166"/>
      <c r="F260" s="146" t="n">
        <f aca="false">B254</f>
        <v>2829.61653924473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2789.4207059114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391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393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20268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17002.4078787606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20268</v>
      </c>
      <c r="C81" s="93"/>
      <c r="D81" s="93"/>
      <c r="E81" s="113"/>
      <c r="F81" s="25" t="s">
        <v>106</v>
      </c>
      <c r="G81" s="27" t="n">
        <f aca="false">B81</f>
        <v>20268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7200</v>
      </c>
      <c r="C82" s="93"/>
      <c r="D82" s="93"/>
      <c r="E82" s="113"/>
      <c r="F82" s="31" t="s">
        <v>107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15012.1760889046</v>
      </c>
      <c r="C88" s="93" t="n">
        <f aca="false">B81-B86</f>
        <v>15012.1760889046</v>
      </c>
      <c r="D88" s="93"/>
      <c r="E88" s="113"/>
      <c r="F88" s="31" t="s">
        <v>113</v>
      </c>
      <c r="G88" s="33" t="n">
        <f aca="false">G81-G86</f>
        <v>14243.6270487143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546.961609847631</v>
      </c>
      <c r="C89" s="93" t="n">
        <f aca="false">(B88/B87)</f>
        <v>546.961609847631</v>
      </c>
      <c r="D89" s="93"/>
      <c r="E89" s="113"/>
      <c r="F89" s="31" t="s">
        <v>114</v>
      </c>
      <c r="G89" s="33" t="n">
        <f aca="false">(G88/G87)</f>
        <v>486.005136521857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17502.7715151242</v>
      </c>
      <c r="C90" s="93"/>
      <c r="D90" s="93"/>
      <c r="E90" s="113"/>
      <c r="F90" s="31" t="s">
        <v>115</v>
      </c>
      <c r="G90" s="33" t="n">
        <f aca="false">((G89*(G85))+G77)</f>
        <v>15552.1643686994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17502.7715151242</v>
      </c>
      <c r="C92" s="93"/>
      <c r="D92" s="93"/>
      <c r="E92" s="113"/>
      <c r="F92" s="56" t="s">
        <v>117</v>
      </c>
      <c r="G92" s="65" t="n">
        <f aca="false">(G90+G91)</f>
        <v>15552.1643686994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546.961609847631</v>
      </c>
      <c r="C95" s="93"/>
      <c r="D95" s="93"/>
      <c r="E95" s="113"/>
      <c r="F95" s="95" t="s">
        <v>119</v>
      </c>
      <c r="G95" s="96" t="n">
        <f aca="false">G92/(G85)</f>
        <v>486.005136521857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546.961609847631</v>
      </c>
      <c r="C96" s="93"/>
      <c r="D96" s="93"/>
      <c r="E96" s="113"/>
      <c r="F96" s="97" t="s">
        <v>120</v>
      </c>
      <c r="G96" s="98" t="n">
        <f aca="false">G94+G95</f>
        <v>486.005136521857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388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150</v>
      </c>
      <c r="D120" s="116" t="s">
        <v>149</v>
      </c>
      <c r="E120" s="118" t="n">
        <v>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-16890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546.961609847631</v>
      </c>
      <c r="B167" s="177" t="str">
        <f aca="false">B94</f>
        <v>0</v>
      </c>
      <c r="C167" s="174"/>
      <c r="D167" s="174"/>
      <c r="E167" s="177" t="n">
        <f aca="false">B96</f>
        <v>546.961609847631</v>
      </c>
      <c r="F167" s="23"/>
      <c r="G167" s="23" t="n">
        <f aca="false">ROUND(G95, 2)</f>
        <v>486.01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3434.77151512419</v>
      </c>
      <c r="B182" s="103" t="str">
        <f aca="false">B114</f>
        <v>199.99</v>
      </c>
      <c r="C182" s="103"/>
      <c r="D182" s="23"/>
      <c r="E182" s="103" t="n">
        <f aca="false">E179+A182+(B182*1.2)+A185</f>
        <v>24952.7595151242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546.961609847631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1484.32</v>
      </c>
      <c r="B201" s="186" t="n">
        <f aca="false">E179+A201+(B182*1.2)+A185</f>
        <v>23002.308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546.961609847631</v>
      </c>
      <c r="B212" s="177" t="str">
        <f aca="false">B167</f>
        <v>0</v>
      </c>
      <c r="C212" s="174"/>
      <c r="D212" s="174"/>
      <c r="E212" s="177" t="n">
        <f aca="false">E167</f>
        <v>546.961609847631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3434.77151512419</v>
      </c>
      <c r="B224" s="103" t="str">
        <f aca="false">B182</f>
        <v>199.99</v>
      </c>
      <c r="C224" s="103"/>
      <c r="D224" s="113"/>
      <c r="E224" s="103" t="n">
        <f aca="false">E182</f>
        <v>24952.7595151242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546.961609847631</v>
      </c>
      <c r="B230" s="103" t="str">
        <f aca="false">B167</f>
        <v>0</v>
      </c>
      <c r="C230" s="186"/>
      <c r="D230" s="186"/>
      <c r="E230" s="103" t="n">
        <f aca="false">E167</f>
        <v>546.961609847631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1960.45151512419</v>
      </c>
      <c r="C254" s="197"/>
      <c r="D254" s="198" t="s">
        <v>218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1861.05401512419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1960.45151512419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1861.05401512419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19837.5</v>
      </c>
      <c r="C3" s="441" t="n">
        <v>0</v>
      </c>
      <c r="D3" s="441" t="n">
        <v>479.17</v>
      </c>
      <c r="E3" s="441"/>
      <c r="F3" s="441" t="n">
        <v>500.0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180.0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243</v>
      </c>
      <c r="H32" s="225" t="n">
        <f aca="false">A41</f>
        <v>8.96969696969697</v>
      </c>
      <c r="I32" s="0"/>
      <c r="J32" s="44" t="s">
        <v>37</v>
      </c>
      <c r="K32" s="45" t="s">
        <v>414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393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20268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16993.4381817909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20268</v>
      </c>
      <c r="C81" s="93"/>
      <c r="D81" s="93"/>
      <c r="E81" s="113"/>
      <c r="F81" s="25" t="s">
        <v>106</v>
      </c>
      <c r="G81" s="27" t="n">
        <f aca="false">B81</f>
        <v>20268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7200</v>
      </c>
      <c r="C82" s="93"/>
      <c r="D82" s="93"/>
      <c r="E82" s="113"/>
      <c r="F82" s="31" t="s">
        <v>107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15012.1760889046</v>
      </c>
      <c r="C88" s="93" t="n">
        <f aca="false">B81-B86</f>
        <v>15012.1760889046</v>
      </c>
      <c r="D88" s="93"/>
      <c r="E88" s="113"/>
      <c r="F88" s="31" t="s">
        <v>113</v>
      </c>
      <c r="G88" s="33" t="n">
        <f aca="false">G81-G86</f>
        <v>14243.6270487143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546.961609847631</v>
      </c>
      <c r="C89" s="93" t="n">
        <f aca="false">(B88/B87)</f>
        <v>546.961609847631</v>
      </c>
      <c r="D89" s="93"/>
      <c r="E89" s="113"/>
      <c r="F89" s="31" t="s">
        <v>114</v>
      </c>
      <c r="G89" s="33" t="n">
        <f aca="false">(G88/G87)</f>
        <v>486.005136521857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17502.7715151242</v>
      </c>
      <c r="C90" s="93"/>
      <c r="D90" s="93"/>
      <c r="E90" s="113"/>
      <c r="F90" s="31" t="s">
        <v>115</v>
      </c>
      <c r="G90" s="33" t="n">
        <f aca="false">((G89*(G85))+G77)</f>
        <v>15552.1643686994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17502.7715151242</v>
      </c>
      <c r="C92" s="93"/>
      <c r="D92" s="93"/>
      <c r="E92" s="113"/>
      <c r="F92" s="56" t="s">
        <v>117</v>
      </c>
      <c r="G92" s="65" t="n">
        <f aca="false">(G90+G91)</f>
        <v>15552.1643686994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14.43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546.961609847631</v>
      </c>
      <c r="C95" s="93"/>
      <c r="D95" s="93"/>
      <c r="E95" s="113"/>
      <c r="F95" s="95" t="s">
        <v>119</v>
      </c>
      <c r="G95" s="96" t="n">
        <f aca="false">G92/(G85)</f>
        <v>486.005136521857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561.391609847631</v>
      </c>
      <c r="C96" s="93"/>
      <c r="D96" s="93"/>
      <c r="E96" s="113"/>
      <c r="F96" s="97" t="s">
        <v>120</v>
      </c>
      <c r="G96" s="98" t="n">
        <f aca="false">G94+G95</f>
        <v>486.005136521857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-16890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546.961609847631</v>
      </c>
      <c r="B167" s="177" t="n">
        <f aca="false">B94</f>
        <v>14.43</v>
      </c>
      <c r="C167" s="174"/>
      <c r="D167" s="174"/>
      <c r="E167" s="177" t="n">
        <f aca="false">B96</f>
        <v>561.391609847631</v>
      </c>
      <c r="F167" s="23"/>
      <c r="G167" s="23" t="n">
        <f aca="false">ROUND(G95, 2)</f>
        <v>486.01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3434.77151512419</v>
      </c>
      <c r="B182" s="103" t="str">
        <f aca="false">B114</f>
        <v>239.99</v>
      </c>
      <c r="C182" s="103"/>
      <c r="D182" s="23"/>
      <c r="E182" s="103" t="n">
        <f aca="false">E179+A182+B182+A185</f>
        <v>24952.7615151242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561.391609847631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1484.32</v>
      </c>
      <c r="B201" s="186" t="n">
        <f aca="false">E179+A201+B182+A185</f>
        <v>23002.31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546.961609847631</v>
      </c>
      <c r="B212" s="177" t="n">
        <f aca="false">B167</f>
        <v>14.43</v>
      </c>
      <c r="C212" s="174"/>
      <c r="D212" s="174"/>
      <c r="E212" s="177" t="n">
        <f aca="false">E167</f>
        <v>561.391609847631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3434.77151512419</v>
      </c>
      <c r="B224" s="103" t="str">
        <f aca="false">B182</f>
        <v>239.99</v>
      </c>
      <c r="C224" s="103"/>
      <c r="D224" s="113"/>
      <c r="E224" s="103" t="n">
        <f aca="false">E182</f>
        <v>24952.7615151242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546.961609847631</v>
      </c>
      <c r="B230" s="103" t="n">
        <f aca="false">B167</f>
        <v>14.43</v>
      </c>
      <c r="C230" s="186"/>
      <c r="D230" s="186"/>
      <c r="E230" s="103" t="n">
        <f aca="false">E167</f>
        <v>561.391609847631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1960.45151512419</v>
      </c>
      <c r="C254" s="197"/>
      <c r="D254" s="198" t="s">
        <v>218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188.791666666667</v>
      </c>
      <c r="C255" s="197"/>
      <c r="D255" s="198" t="s">
        <v>220</v>
      </c>
      <c r="E255" s="198"/>
      <c r="F255" s="200" t="n">
        <f aca="false">(B254-F254)+B255</f>
        <v>1949.85568179086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1960.45151512419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1949.85568179086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91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91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209.28</v>
      </c>
      <c r="C73" s="215"/>
      <c r="D73" s="291"/>
      <c r="E73" s="216"/>
      <c r="F73" s="63"/>
      <c r="G73" s="285" t="s">
        <v>94</v>
      </c>
      <c r="H73" s="133" t="n">
        <f aca="false">H67*H72</f>
        <v>104.64</v>
      </c>
      <c r="I73" s="215"/>
      <c r="J73" s="291"/>
      <c r="K73" s="216"/>
      <c r="L73" s="63"/>
      <c r="M73" s="285" t="s">
        <v>94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103</v>
      </c>
      <c r="H87" s="304" t="n">
        <f aca="false">SUM(J70:J86)</f>
        <v>4591.46</v>
      </c>
      <c r="I87" s="215"/>
      <c r="J87" s="215"/>
      <c r="K87" s="216"/>
      <c r="L87" s="63"/>
      <c r="M87" s="303" t="s">
        <v>103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232.635555555556</v>
      </c>
      <c r="C88" s="215"/>
      <c r="D88" s="215"/>
      <c r="E88" s="216"/>
      <c r="F88" s="63"/>
      <c r="G88" s="214" t="s">
        <v>104</v>
      </c>
      <c r="H88" s="300" t="n">
        <f aca="false">H87/H29</f>
        <v>382.621666666667</v>
      </c>
      <c r="I88" s="215"/>
      <c r="J88" s="215"/>
      <c r="K88" s="216"/>
      <c r="L88" s="63"/>
      <c r="M88" s="214" t="s">
        <v>104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115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116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384</v>
      </c>
      <c r="B111" s="312" t="n">
        <v>20.0</v>
      </c>
      <c r="C111" s="312"/>
      <c r="D111" s="107" t="s">
        <v>399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91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91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209.28</v>
      </c>
      <c r="C73" s="215"/>
      <c r="D73" s="291"/>
      <c r="E73" s="216"/>
      <c r="F73" s="63"/>
      <c r="G73" s="285" t="s">
        <v>94</v>
      </c>
      <c r="H73" s="133" t="n">
        <f aca="false">H67*H72</f>
        <v>104.64</v>
      </c>
      <c r="I73" s="215"/>
      <c r="J73" s="291"/>
      <c r="K73" s="216"/>
      <c r="L73" s="63"/>
      <c r="M73" s="285" t="s">
        <v>94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103</v>
      </c>
      <c r="H87" s="304" t="n">
        <f aca="false">SUM(J70:J86)</f>
        <v>4591.46</v>
      </c>
      <c r="I87" s="215"/>
      <c r="J87" s="215"/>
      <c r="K87" s="216"/>
      <c r="L87" s="63"/>
      <c r="M87" s="303" t="s">
        <v>103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232.635555555556</v>
      </c>
      <c r="C88" s="215"/>
      <c r="D88" s="215"/>
      <c r="E88" s="216"/>
      <c r="F88" s="63"/>
      <c r="G88" s="214" t="s">
        <v>104</v>
      </c>
      <c r="H88" s="300" t="n">
        <f aca="false">H87/H29</f>
        <v>382.621666666667</v>
      </c>
      <c r="I88" s="215"/>
      <c r="J88" s="215"/>
      <c r="K88" s="216"/>
      <c r="L88" s="63"/>
      <c r="M88" s="214" t="s">
        <v>104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115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115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116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384</v>
      </c>
      <c r="B111" s="312" t="n">
        <v>30.0</v>
      </c>
      <c r="C111" s="312"/>
      <c r="D111" s="107" t="s">
        <v>399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91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91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209.28</v>
      </c>
      <c r="C73" s="215"/>
      <c r="D73" s="291"/>
      <c r="E73" s="216"/>
      <c r="F73" s="63"/>
      <c r="G73" s="285" t="s">
        <v>94</v>
      </c>
      <c r="H73" s="133" t="n">
        <f aca="false">H67*H72</f>
        <v>104.64</v>
      </c>
      <c r="I73" s="215"/>
      <c r="J73" s="291"/>
      <c r="K73" s="216"/>
      <c r="L73" s="63"/>
      <c r="M73" s="285" t="s">
        <v>94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103</v>
      </c>
      <c r="H87" s="304" t="n">
        <f aca="false">SUM(J70:J86)</f>
        <v>4591.46</v>
      </c>
      <c r="I87" s="215"/>
      <c r="J87" s="215"/>
      <c r="K87" s="216"/>
      <c r="L87" s="63"/>
      <c r="M87" s="303" t="s">
        <v>103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232.635555555556</v>
      </c>
      <c r="C88" s="215"/>
      <c r="D88" s="215"/>
      <c r="E88" s="216"/>
      <c r="F88" s="63"/>
      <c r="G88" s="214" t="s">
        <v>104</v>
      </c>
      <c r="H88" s="300" t="n">
        <f aca="false">H87/H29</f>
        <v>382.621666666667</v>
      </c>
      <c r="I88" s="215"/>
      <c r="J88" s="215"/>
      <c r="K88" s="216"/>
      <c r="L88" s="63"/>
      <c r="M88" s="214" t="s">
        <v>104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115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116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0.0</v>
      </c>
      <c r="C111" s="312"/>
      <c r="D111" s="107" t="s">
        <v>399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str">
        <f aca="false">IF(B38="YES", D38+A41, D38)</f>
        <v>500</v>
      </c>
      <c r="C41" s="241"/>
      <c r="D41" s="104" t="s">
        <v>405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406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407</v>
      </c>
      <c r="C47" s="429"/>
      <c r="D47" s="104" t="s">
        <v>407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91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91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209.28</v>
      </c>
      <c r="C73" s="215"/>
      <c r="D73" s="291"/>
      <c r="E73" s="216"/>
      <c r="F73" s="63"/>
      <c r="G73" s="285" t="s">
        <v>94</v>
      </c>
      <c r="H73" s="133" t="n">
        <f aca="false">H67*H72</f>
        <v>104.64</v>
      </c>
      <c r="I73" s="215"/>
      <c r="J73" s="291"/>
      <c r="K73" s="216"/>
      <c r="L73" s="63"/>
      <c r="M73" s="285" t="s">
        <v>94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103</v>
      </c>
      <c r="H87" s="304" t="n">
        <f aca="false">SUM(J70:J86)</f>
        <v>4591.46</v>
      </c>
      <c r="I87" s="215"/>
      <c r="J87" s="215"/>
      <c r="K87" s="216"/>
      <c r="L87" s="63"/>
      <c r="M87" s="303" t="s">
        <v>103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232.635555555556</v>
      </c>
      <c r="C88" s="215"/>
      <c r="D88" s="215"/>
      <c r="E88" s="216"/>
      <c r="F88" s="63"/>
      <c r="G88" s="214" t="s">
        <v>104</v>
      </c>
      <c r="H88" s="300" t="n">
        <f aca="false">H87/H29</f>
        <v>382.621666666667</v>
      </c>
      <c r="I88" s="215"/>
      <c r="J88" s="215"/>
      <c r="K88" s="216"/>
      <c r="L88" s="63"/>
      <c r="M88" s="214" t="s">
        <v>104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115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116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384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550</v>
      </c>
      <c r="C41" s="241"/>
      <c r="D41" s="104" t="s">
        <v>405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406</v>
      </c>
      <c r="C44" s="104"/>
      <c r="D44" s="104" t="s">
        <v>385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407</v>
      </c>
      <c r="C47" s="429"/>
      <c r="D47" s="104" t="s">
        <v>407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91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91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209.28</v>
      </c>
      <c r="C73" s="215"/>
      <c r="D73" s="291"/>
      <c r="E73" s="216"/>
      <c r="F73" s="63"/>
      <c r="G73" s="285" t="s">
        <v>94</v>
      </c>
      <c r="H73" s="133" t="n">
        <f aca="false">H67*H72</f>
        <v>104.64</v>
      </c>
      <c r="I73" s="215"/>
      <c r="J73" s="291"/>
      <c r="K73" s="216"/>
      <c r="L73" s="63"/>
      <c r="M73" s="285" t="s">
        <v>94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103</v>
      </c>
      <c r="H87" s="304" t="n">
        <f aca="false">SUM(J70:J86)</f>
        <v>4591.46</v>
      </c>
      <c r="I87" s="215"/>
      <c r="J87" s="215"/>
      <c r="K87" s="216"/>
      <c r="L87" s="63"/>
      <c r="M87" s="303" t="s">
        <v>103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232.635555555556</v>
      </c>
      <c r="C88" s="215"/>
      <c r="D88" s="215"/>
      <c r="E88" s="216"/>
      <c r="F88" s="63"/>
      <c r="G88" s="214" t="s">
        <v>104</v>
      </c>
      <c r="H88" s="300" t="n">
        <f aca="false">H87/H29</f>
        <v>382.621666666667</v>
      </c>
      <c r="I88" s="215"/>
      <c r="J88" s="215"/>
      <c r="K88" s="216"/>
      <c r="L88" s="63"/>
      <c r="M88" s="214" t="s">
        <v>104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115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115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116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387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B97</f>
        <v>886.577409170364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395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401</v>
      </c>
      <c r="B41" s="241" t="n">
        <f aca="false">IF(B38="YES", D38+A41, D38)</f>
        <v>550</v>
      </c>
      <c r="C41" s="241"/>
      <c r="D41" s="104" t="s">
        <v>405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406</v>
      </c>
      <c r="C44" s="104"/>
      <c r="D44" s="104" t="s">
        <v>407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407</v>
      </c>
      <c r="C47" s="429"/>
      <c r="D47" s="104" t="s">
        <v>407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91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91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209.28</v>
      </c>
      <c r="C73" s="215"/>
      <c r="D73" s="291"/>
      <c r="E73" s="216"/>
      <c r="F73" s="63"/>
      <c r="G73" s="285" t="s">
        <v>94</v>
      </c>
      <c r="H73" s="133" t="n">
        <f aca="false">H67*H72</f>
        <v>104.64</v>
      </c>
      <c r="I73" s="215"/>
      <c r="J73" s="291"/>
      <c r="K73" s="216"/>
      <c r="L73" s="63"/>
      <c r="M73" s="285" t="s">
        <v>94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103</v>
      </c>
      <c r="H87" s="304" t="n">
        <f aca="false">SUM(J70:J86)</f>
        <v>4591.46</v>
      </c>
      <c r="I87" s="215"/>
      <c r="J87" s="215"/>
      <c r="K87" s="216"/>
      <c r="L87" s="63"/>
      <c r="M87" s="303" t="s">
        <v>103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232.635555555556</v>
      </c>
      <c r="C88" s="215"/>
      <c r="D88" s="215"/>
      <c r="E88" s="216"/>
      <c r="F88" s="63"/>
      <c r="G88" s="214" t="s">
        <v>104</v>
      </c>
      <c r="H88" s="300" t="n">
        <f aca="false">H87/H29</f>
        <v>382.621666666667</v>
      </c>
      <c r="I88" s="215"/>
      <c r="J88" s="215"/>
      <c r="K88" s="216"/>
      <c r="L88" s="63"/>
      <c r="M88" s="214" t="s">
        <v>104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115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116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384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387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209.28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1464.96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209.28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391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393</v>
      </c>
      <c r="C35" s="223"/>
      <c r="D35" s="223" t="s">
        <v>394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20268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387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17002.4078787606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20268</v>
      </c>
      <c r="C81" s="93"/>
      <c r="D81" s="93"/>
      <c r="E81" s="113"/>
      <c r="F81" s="25" t="s">
        <v>106</v>
      </c>
      <c r="G81" s="27" t="n">
        <f aca="false">B81</f>
        <v>20268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7200</v>
      </c>
      <c r="C82" s="93"/>
      <c r="D82" s="93"/>
      <c r="E82" s="113"/>
      <c r="F82" s="31" t="s">
        <v>107</v>
      </c>
      <c r="G82" s="33" t="n">
        <f aca="false">IF(A111="YES",D41,0)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15012.1760889046</v>
      </c>
      <c r="C88" s="93" t="n">
        <f aca="false">B81-B86</f>
        <v>15012.1760889046</v>
      </c>
      <c r="D88" s="93"/>
      <c r="E88" s="113"/>
      <c r="F88" s="31" t="s">
        <v>113</v>
      </c>
      <c r="G88" s="33" t="n">
        <f aca="false">G81-G86</f>
        <v>14243.6270487143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546.961609847631</v>
      </c>
      <c r="C89" s="93" t="n">
        <f aca="false">(B88/B87)</f>
        <v>546.961609847631</v>
      </c>
      <c r="D89" s="93"/>
      <c r="E89" s="113"/>
      <c r="F89" s="31" t="s">
        <v>114</v>
      </c>
      <c r="G89" s="33" t="n">
        <f aca="false">(G88/G87)</f>
        <v>486.005136521857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17502.7715151242</v>
      </c>
      <c r="C90" s="93"/>
      <c r="D90" s="93"/>
      <c r="E90" s="113"/>
      <c r="F90" s="31" t="s">
        <v>115</v>
      </c>
      <c r="G90" s="33" t="n">
        <f aca="false">((G89*(G85))+G77)</f>
        <v>15552.1643686994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17502.7715151242</v>
      </c>
      <c r="C92" s="93"/>
      <c r="D92" s="93"/>
      <c r="E92" s="113"/>
      <c r="F92" s="56" t="s">
        <v>117</v>
      </c>
      <c r="G92" s="65" t="n">
        <f aca="false">(G90+G91)</f>
        <v>15552.1643686994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546.961609847631</v>
      </c>
      <c r="C95" s="93"/>
      <c r="D95" s="93"/>
      <c r="E95" s="113"/>
      <c r="F95" s="95" t="s">
        <v>119</v>
      </c>
      <c r="G95" s="96" t="n">
        <f aca="false">G92/(G85)</f>
        <v>486.005136521857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546.961609847631</v>
      </c>
      <c r="C96" s="93"/>
      <c r="D96" s="93"/>
      <c r="E96" s="113"/>
      <c r="F96" s="97" t="s">
        <v>120</v>
      </c>
      <c r="G96" s="98" t="n">
        <f aca="false">G94+G95</f>
        <v>486.005136521857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-16890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546.961609847631</v>
      </c>
      <c r="B167" s="177" t="str">
        <f aca="false">B94</f>
        <v>0</v>
      </c>
      <c r="C167" s="174"/>
      <c r="D167" s="174"/>
      <c r="E167" s="177" t="n">
        <f aca="false">B96</f>
        <v>546.961609847631</v>
      </c>
      <c r="F167" s="23"/>
      <c r="G167" s="23" t="n">
        <f aca="false">ROUND(G95, 2)</f>
        <v>486.01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3434.77151512419</v>
      </c>
      <c r="B182" s="103" t="str">
        <f aca="false">B114</f>
        <v>199.99</v>
      </c>
      <c r="C182" s="103"/>
      <c r="D182" s="23"/>
      <c r="E182" s="103" t="n">
        <f aca="false">E179+A182+(B182*1.2)+A185</f>
        <v>24952.7595151242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546.961609847631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1484.32</v>
      </c>
      <c r="B201" s="186" t="n">
        <f aca="false">E179+A201+(B182*1.2)+A185</f>
        <v>23002.308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546.961609847631</v>
      </c>
      <c r="B212" s="177" t="str">
        <f aca="false">B167</f>
        <v>0</v>
      </c>
      <c r="C212" s="174"/>
      <c r="D212" s="174"/>
      <c r="E212" s="177" t="n">
        <f aca="false">E167</f>
        <v>546.961609847631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3434.77151512419</v>
      </c>
      <c r="B224" s="103" t="str">
        <f aca="false">B182</f>
        <v>199.99</v>
      </c>
      <c r="C224" s="103"/>
      <c r="D224" s="113"/>
      <c r="E224" s="103" t="n">
        <f aca="false">E182</f>
        <v>24952.7595151242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546.961609847631</v>
      </c>
      <c r="B230" s="103" t="str">
        <f aca="false">B167</f>
        <v>0</v>
      </c>
      <c r="C230" s="186"/>
      <c r="D230" s="186"/>
      <c r="E230" s="103" t="n">
        <f aca="false">E167</f>
        <v>546.961609847631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1960.45151512419</v>
      </c>
      <c r="C254" s="197"/>
      <c r="D254" s="198" t="s">
        <v>218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1861.05401512419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1960.45151512419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1861.05401512419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384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515.12625396364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515.12625396364</v>
      </c>
      <c r="B36" s="232" t="str">
        <f aca="false">IF(B26="YES", K42, "0.00")</f>
        <v>0.00</v>
      </c>
      <c r="C36" s="232"/>
      <c r="D36" s="232"/>
      <c r="E36" s="232" t="n">
        <f aca="false">K31</f>
        <v>2241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17780</v>
      </c>
      <c r="L39" s="2" t="n">
        <f aca="false">(L47*K46)+K44</f>
        <v>26774.9983482942</v>
      </c>
      <c r="N39" s="1" t="n">
        <f aca="false">K39-L39</f>
        <v>-8994.99834829419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1867.5</v>
      </c>
      <c r="L40" s="2" t="n">
        <f aca="false">K39-L39</f>
        <v>-8994.99834829419</v>
      </c>
      <c r="N40" s="1" t="n">
        <f aca="false">N38-N39</f>
        <v>11906.6783482942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1514.68995288002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16265.31004712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515.12625396364</v>
      </c>
      <c r="L47" s="2" t="n">
        <f aca="false">L49-K42</f>
        <v>800</v>
      </c>
      <c r="M47" s="1" t="n">
        <f aca="false">K47-L47</f>
        <v>-284.87374603636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515.12625396364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515.12625396364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7367.11090899601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31639.1695844312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851.028129382037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851.028129382037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515.12625396364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515.12625396364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515.12625396364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515.12625396364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23021.604</v>
      </c>
      <c r="C81" s="93"/>
      <c r="D81" s="93"/>
      <c r="E81" s="113"/>
      <c r="F81" s="25" t="s">
        <v>106</v>
      </c>
      <c r="G81" s="27" t="n">
        <f aca="false">G158</f>
        <v>23021.604</v>
      </c>
      <c r="H81" s="33"/>
      <c r="J81" s="25" t="s">
        <v>106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2241</v>
      </c>
      <c r="C82" s="93"/>
      <c r="D82" s="93"/>
      <c r="E82" s="113"/>
      <c r="F82" s="31" t="s">
        <v>107</v>
      </c>
      <c r="G82" s="33" t="n">
        <f aca="false">IF(A111="YES",A40,0)</f>
        <v>2241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2241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2241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1581.95372023583</v>
      </c>
      <c r="C86" s="93"/>
      <c r="D86" s="93"/>
      <c r="E86" s="113"/>
      <c r="F86" s="31" t="s">
        <v>111</v>
      </c>
      <c r="G86" s="33" t="n">
        <f aca="false">(G82/((1+G84)^(G85+1)))</f>
        <v>1828.23077312619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1532.51372507505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1532.51372507505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21439.6502797642</v>
      </c>
      <c r="C88" s="93"/>
      <c r="D88" s="93"/>
      <c r="E88" s="113"/>
      <c r="F88" s="31" t="s">
        <v>113</v>
      </c>
      <c r="G88" s="33" t="n">
        <f aca="false">G81-G86</f>
        <v>21193.3732268738</v>
      </c>
      <c r="H88" s="33"/>
      <c r="J88" s="31" t="s">
        <v>113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15701.986274925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15701.986274925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746.956758756571</v>
      </c>
      <c r="C89" s="93"/>
      <c r="D89" s="93"/>
      <c r="E89" s="113"/>
      <c r="F89" s="31" t="s">
        <v>114</v>
      </c>
      <c r="G89" s="33" t="n">
        <f aca="false">(G88/G87)</f>
        <v>689.000841508943</v>
      </c>
      <c r="H89" s="33"/>
      <c r="J89" s="31" t="s">
        <v>114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555.307265238513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555.307265238513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25396.5297977234</v>
      </c>
      <c r="C90" s="93"/>
      <c r="D90" s="93"/>
      <c r="E90" s="113"/>
      <c r="F90" s="31" t="s">
        <v>115</v>
      </c>
      <c r="G90" s="33" t="n">
        <f aca="false">((G89*(G85))+G77)</f>
        <v>23426.0286113041</v>
      </c>
      <c r="H90" s="33"/>
      <c r="J90" s="31" t="s">
        <v>115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18880.4470181094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18880.4470181094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25396.5297977234</v>
      </c>
      <c r="C92" s="93"/>
      <c r="D92" s="93"/>
      <c r="E92" s="113"/>
      <c r="F92" s="56" t="s">
        <v>117</v>
      </c>
      <c r="G92" s="65" t="n">
        <f aca="false">(G90+G91)</f>
        <v>23426.0286113041</v>
      </c>
      <c r="H92" s="33"/>
      <c r="J92" s="56" t="s">
        <v>117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18880.4470181094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18880.4470181094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746.956758756571</v>
      </c>
      <c r="C95" s="93"/>
      <c r="D95" s="93"/>
      <c r="E95" s="113"/>
      <c r="F95" s="95" t="s">
        <v>119</v>
      </c>
      <c r="G95" s="96" t="n">
        <f aca="false">G92/(G85)</f>
        <v>689.000841508943</v>
      </c>
      <c r="H95" s="33"/>
      <c r="J95" s="95" t="s">
        <v>119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555.307265238513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555.307265238513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746.956758756571</v>
      </c>
      <c r="C96" s="93"/>
      <c r="D96" s="93"/>
      <c r="E96" s="113"/>
      <c r="F96" s="97" t="s">
        <v>120</v>
      </c>
      <c r="G96" s="98" t="n">
        <f aca="false">G94+G95</f>
        <v>689.000841508943</v>
      </c>
      <c r="H96" s="33"/>
      <c r="J96" s="97" t="s">
        <v>120</v>
      </c>
      <c r="K96" s="98" t="n">
        <f aca="false">(K94+K95)</f>
        <v>1460.84083744584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555.307265238513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555.307265238513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384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402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151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151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155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155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746.956758756571</v>
      </c>
      <c r="B167" s="177" t="str">
        <f aca="false">B94</f>
        <v>0</v>
      </c>
      <c r="C167" s="174"/>
      <c r="D167" s="174"/>
      <c r="E167" s="177" t="n">
        <f aca="false">B96</f>
        <v>746.956758756571</v>
      </c>
      <c r="F167" s="23"/>
      <c r="G167" s="23" t="n">
        <f aca="false">ROUND(G95, 2)</f>
        <v>689</v>
      </c>
      <c r="H167" s="33"/>
      <c r="J167" s="176" t="n">
        <f aca="false">K95</f>
        <v>1460.84083744584</v>
      </c>
      <c r="K167" s="177" t="n">
        <f aca="false">K94</f>
        <v>0</v>
      </c>
      <c r="L167" s="174"/>
      <c r="M167" s="174"/>
      <c r="N167" s="177" t="n">
        <f aca="false">K96</f>
        <v>1460.84083744584</v>
      </c>
      <c r="O167" s="23"/>
      <c r="P167" s="23"/>
      <c r="Q167" s="33"/>
      <c r="S167" s="176" t="n">
        <f aca="false">T95</f>
        <v>555.307265238513</v>
      </c>
      <c r="T167" s="177" t="n">
        <f aca="false">T94</f>
        <v>0</v>
      </c>
      <c r="U167" s="174"/>
      <c r="V167" s="174"/>
      <c r="W167" s="177" t="n">
        <f aca="false">T96</f>
        <v>555.307265238513</v>
      </c>
      <c r="X167" s="23"/>
      <c r="Y167" s="23"/>
      <c r="Z167" s="33"/>
      <c r="AB167" s="176" t="n">
        <f aca="false">AC95</f>
        <v>555.307265238513</v>
      </c>
      <c r="AC167" s="177" t="n">
        <f aca="false">AC94</f>
        <v>0</v>
      </c>
      <c r="AD167" s="174"/>
      <c r="AE167" s="174"/>
      <c r="AF167" s="177" t="n">
        <f aca="false">AC96</f>
        <v>555.307265238513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2241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2241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2241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2241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4615.9257977234</v>
      </c>
      <c r="B182" s="103" t="str">
        <f aca="false">B114</f>
        <v>199.99</v>
      </c>
      <c r="C182" s="103"/>
      <c r="D182" s="23"/>
      <c r="E182" s="103" t="n">
        <f aca="false">E179+A182+(B182*1.2)+A185</f>
        <v>27887.5177977234</v>
      </c>
      <c r="F182" s="23"/>
      <c r="G182" s="23"/>
      <c r="H182" s="105"/>
      <c r="J182" s="111" t="n">
        <f aca="false">(J167*K59)+N185-N179-J185</f>
        <v>15390.5844731586</v>
      </c>
      <c r="K182" s="103" t="n">
        <f aca="false">K114</f>
        <v>239.99</v>
      </c>
      <c r="L182" s="103"/>
      <c r="M182" s="23"/>
      <c r="N182" s="103" t="n">
        <f aca="false">N179+J182+K182+J185</f>
        <v>52169.5784731586</v>
      </c>
      <c r="O182" s="23"/>
      <c r="P182" s="23"/>
      <c r="Q182" s="105"/>
      <c r="S182" s="111" t="n">
        <f aca="false">(S167*T59)+W185-W179-S185</f>
        <v>3886.94701810943</v>
      </c>
      <c r="T182" s="103" t="n">
        <f aca="false">T114</f>
        <v>199.99</v>
      </c>
      <c r="U182" s="103"/>
      <c r="V182" s="23"/>
      <c r="W182" s="103" t="n">
        <f aca="false">W179+S182+T182+S185</f>
        <v>21331.4370181094</v>
      </c>
      <c r="X182" s="23"/>
      <c r="Y182" s="23"/>
      <c r="Z182" s="105"/>
      <c r="AB182" s="111" t="n">
        <f aca="false">(AB167*AC59)+AF185-AF179-AB185</f>
        <v>3886.94701810943</v>
      </c>
      <c r="AC182" s="103" t="n">
        <f aca="false">AC114</f>
        <v>239.99</v>
      </c>
      <c r="AD182" s="103"/>
      <c r="AE182" s="23"/>
      <c r="AF182" s="103" t="n">
        <f aca="false">AF179+AB182+AC182+AB185</f>
        <v>21371.4370181094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2251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2261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2251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2251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140.628732638889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287.83989375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3390.72722569444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1240.61873263889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1280.61873263889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746.956758756571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555.307265238513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555.307265238513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2645.396</v>
      </c>
      <c r="B201" s="186" t="n">
        <f aca="false">E179+A201+(B182*1.2)+A185</f>
        <v>25916.988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746.956758756571</v>
      </c>
      <c r="B212" s="177" t="str">
        <f aca="false">B167</f>
        <v>0</v>
      </c>
      <c r="C212" s="174"/>
      <c r="D212" s="174"/>
      <c r="E212" s="177" t="n">
        <f aca="false">E167</f>
        <v>746.956758756571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4615.9257977234</v>
      </c>
      <c r="B224" s="103" t="str">
        <f aca="false">B182</f>
        <v>199.99</v>
      </c>
      <c r="C224" s="103"/>
      <c r="D224" s="113"/>
      <c r="E224" s="103" t="n">
        <f aca="false">E182</f>
        <v>27887.5177977234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746.956758756571</v>
      </c>
      <c r="B230" s="103" t="str">
        <f aca="false">B167</f>
        <v>0</v>
      </c>
      <c r="C230" s="186"/>
      <c r="D230" s="186"/>
      <c r="E230" s="103" t="n">
        <f aca="false">E167</f>
        <v>746.956758756571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2241</v>
      </c>
      <c r="B233" s="103" t="n">
        <f aca="false">E185</f>
        <v>2251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3832.50989375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1980.5297977234</v>
      </c>
      <c r="C254" s="197"/>
      <c r="D254" s="198" t="s">
        <v>218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1855.0999252234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1980.5297977234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1855.0999252234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533.275858914992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483.145858914992</v>
      </c>
      <c r="B36" s="232" t="n">
        <f aca="false">IF(B26="YES", K42, "0.00")</f>
        <v>50.13</v>
      </c>
      <c r="C36" s="232"/>
      <c r="D36" s="232"/>
      <c r="E36" s="232" t="n">
        <f aca="false">K31</f>
        <v>3735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17780</v>
      </c>
      <c r="L39" s="2" t="n">
        <f aca="false">(L47*K46)+K44</f>
        <v>26201.9175753866</v>
      </c>
      <c r="N39" s="1" t="n">
        <f aca="false">K39-L39</f>
        <v>-8421.91757538657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107</v>
      </c>
      <c r="K40" s="2" t="n">
        <f aca="false">(A40)/1.2</f>
        <v>3112.5</v>
      </c>
      <c r="L40" s="2" t="n">
        <f aca="false">K39-L39</f>
        <v>-8421.91757538657</v>
      </c>
      <c r="N40" s="1" t="n">
        <f aca="false">N38-N39</f>
        <v>11333.5975753866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2524.48325480003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15255.5167452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483.145858914992</v>
      </c>
      <c r="L47" s="2" t="n">
        <f aca="false">L49-K42</f>
        <v>749.87</v>
      </c>
      <c r="M47" s="1" t="n">
        <f aca="false">K47-L47</f>
        <v>-266.724141085008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533.275858914992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533.275858914992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7237.14643528071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32758.4834111338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6721.82809968542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741.85431194456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483.145858914992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483.145858914992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533.275858914992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533.275858914992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23021.604</v>
      </c>
      <c r="C81" s="93"/>
      <c r="D81" s="93"/>
      <c r="E81" s="113"/>
      <c r="F81" s="25" t="s">
        <v>106</v>
      </c>
      <c r="G81" s="27" t="n">
        <f aca="false">G158</f>
        <v>23021.604</v>
      </c>
      <c r="H81" s="33"/>
      <c r="J81" s="25" t="s">
        <v>106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3735</v>
      </c>
      <c r="C82" s="93"/>
      <c r="D82" s="93"/>
      <c r="E82" s="113"/>
      <c r="F82" s="31" t="s">
        <v>107</v>
      </c>
      <c r="G82" s="33" t="n">
        <f aca="false">IF(A111="YES",A40,0)</f>
        <v>3735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3735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3735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2636.58953372639</v>
      </c>
      <c r="C86" s="93"/>
      <c r="D86" s="93"/>
      <c r="E86" s="113"/>
      <c r="F86" s="31" t="s">
        <v>111</v>
      </c>
      <c r="G86" s="33" t="n">
        <f aca="false">(G82/((1+G84)^(G85+1)))</f>
        <v>3047.05128854364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2554.18954179175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2554.18954179175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20385.0144662736</v>
      </c>
      <c r="C88" s="93"/>
      <c r="D88" s="93"/>
      <c r="E88" s="113"/>
      <c r="F88" s="31" t="s">
        <v>113</v>
      </c>
      <c r="G88" s="33" t="n">
        <f aca="false">G81-G86</f>
        <v>19974.5527114564</v>
      </c>
      <c r="H88" s="33"/>
      <c r="J88" s="31" t="s">
        <v>113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19653.5754582083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14680.3104582083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710.213279332513</v>
      </c>
      <c r="C89" s="93"/>
      <c r="D89" s="93"/>
      <c r="E89" s="113"/>
      <c r="F89" s="31" t="s">
        <v>114</v>
      </c>
      <c r="G89" s="33" t="n">
        <f aca="false">(G88/G87)</f>
        <v>649.376740532599</v>
      </c>
      <c r="H89" s="33"/>
      <c r="J89" s="31" t="s">
        <v>114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695.056857697357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519.175275704979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24147.2514973054</v>
      </c>
      <c r="C90" s="93"/>
      <c r="D90" s="93"/>
      <c r="E90" s="113"/>
      <c r="F90" s="31" t="s">
        <v>115</v>
      </c>
      <c r="G90" s="33" t="n">
        <f aca="false">((G89*(G85))+G77)</f>
        <v>22078.8091781084</v>
      </c>
      <c r="H90" s="33"/>
      <c r="J90" s="31" t="s">
        <v>115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23631.9331617101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17651.9593739693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24147.2514973054</v>
      </c>
      <c r="C92" s="93"/>
      <c r="D92" s="93"/>
      <c r="E92" s="113"/>
      <c r="F92" s="56" t="s">
        <v>117</v>
      </c>
      <c r="G92" s="65" t="n">
        <f aca="false">(G90+G91)</f>
        <v>22078.8091781084</v>
      </c>
      <c r="H92" s="33"/>
      <c r="J92" s="56" t="s">
        <v>117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23631.9331617101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17651.9593739693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80.5028823529412</v>
      </c>
      <c r="C94" s="93"/>
      <c r="D94" s="93"/>
      <c r="E94" s="113"/>
      <c r="F94" s="88" t="s">
        <v>118</v>
      </c>
      <c r="G94" s="94" t="n">
        <f aca="false">IF(B26="YES",((E40/B85)*(1+A108)*(C45/100)),"0")</f>
        <v>67.0857352941176</v>
      </c>
      <c r="H94" s="33"/>
      <c r="J94" s="88" t="s">
        <v>118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710.213279332513</v>
      </c>
      <c r="C95" s="93"/>
      <c r="D95" s="93"/>
      <c r="E95" s="113"/>
      <c r="F95" s="95" t="s">
        <v>119</v>
      </c>
      <c r="G95" s="96" t="n">
        <f aca="false">G92/(G85)</f>
        <v>649.376740532599</v>
      </c>
      <c r="H95" s="33"/>
      <c r="J95" s="95" t="s">
        <v>119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695.056857697357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519.175275704979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790.716161685454</v>
      </c>
      <c r="C96" s="93"/>
      <c r="D96" s="93"/>
      <c r="E96" s="113"/>
      <c r="F96" s="97" t="s">
        <v>120</v>
      </c>
      <c r="G96" s="98" t="n">
        <f aca="false">G94+G95</f>
        <v>716.462475826717</v>
      </c>
      <c r="H96" s="33"/>
      <c r="J96" s="97" t="s">
        <v>120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756.982151815004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593.485628646156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151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151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155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155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710.213279332513</v>
      </c>
      <c r="B167" s="177" t="n">
        <f aca="false">B94</f>
        <v>80.5028823529412</v>
      </c>
      <c r="C167" s="174"/>
      <c r="D167" s="174"/>
      <c r="E167" s="177" t="n">
        <f aca="false">B96</f>
        <v>790.716161685454</v>
      </c>
      <c r="F167" s="23"/>
      <c r="G167" s="23" t="n">
        <f aca="false">ROUND(G95, 2)</f>
        <v>649.38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695.056857697357</v>
      </c>
      <c r="T167" s="177" t="n">
        <f aca="false">T94</f>
        <v>61.9252941176471</v>
      </c>
      <c r="U167" s="174"/>
      <c r="V167" s="174"/>
      <c r="W167" s="177" t="n">
        <f aca="false">T96</f>
        <v>756.982151815004</v>
      </c>
      <c r="X167" s="23"/>
      <c r="Y167" s="23"/>
      <c r="Z167" s="33"/>
      <c r="AB167" s="176" t="n">
        <f aca="false">AC95</f>
        <v>519.175275704979</v>
      </c>
      <c r="AC167" s="177" t="n">
        <f aca="false">AC94</f>
        <v>74.3103529411765</v>
      </c>
      <c r="AD167" s="174"/>
      <c r="AE167" s="174"/>
      <c r="AF167" s="177" t="n">
        <f aca="false">AC96</f>
        <v>593.485628646156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3735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3735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3735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3735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4860.64749730544</v>
      </c>
      <c r="B182" s="103" t="str">
        <f aca="false">B114</f>
        <v>239.99</v>
      </c>
      <c r="C182" s="103"/>
      <c r="D182" s="23"/>
      <c r="E182" s="103" t="n">
        <f aca="false">E179+A182+B182+A185</f>
        <v>28132.2414973054</v>
      </c>
      <c r="F182" s="23"/>
      <c r="G182" s="23"/>
      <c r="H182" s="105"/>
      <c r="J182" s="111" t="n">
        <f aca="false">(J167*K59)+N185-N179-J185</f>
        <v>16884.5844731586</v>
      </c>
      <c r="K182" s="103" t="n">
        <f aca="false">K114</f>
        <v>239.99</v>
      </c>
      <c r="L182" s="103"/>
      <c r="M182" s="23"/>
      <c r="N182" s="103" t="n">
        <f aca="false">N179+J182+K182+J185</f>
        <v>53663.5784731586</v>
      </c>
      <c r="O182" s="23"/>
      <c r="P182" s="23"/>
      <c r="Q182" s="105"/>
      <c r="S182" s="111" t="n">
        <f aca="false">(S167*T59)+W185-W179-S185</f>
        <v>5159.16816171015</v>
      </c>
      <c r="T182" s="103" t="n">
        <f aca="false">T114</f>
        <v>199.99</v>
      </c>
      <c r="U182" s="103"/>
      <c r="V182" s="23"/>
      <c r="W182" s="103" t="n">
        <f aca="false">W179+S182+T182+S185</f>
        <v>27576.9231617102</v>
      </c>
      <c r="X182" s="23"/>
      <c r="Y182" s="23"/>
      <c r="Z182" s="105"/>
      <c r="AB182" s="111" t="n">
        <f aca="false">(AB167*AC59)+AF185-AF179-AB185</f>
        <v>4152.45937396929</v>
      </c>
      <c r="AC182" s="103" t="n">
        <f aca="false">AC114</f>
        <v>239.99</v>
      </c>
      <c r="AD182" s="103"/>
      <c r="AE182" s="23"/>
      <c r="AF182" s="103" t="n">
        <f aca="false">AF179+AB182+AC182+AB185</f>
        <v>21636.9493739693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3745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3755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3745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3745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187.84989375</v>
      </c>
      <c r="C188" s="93"/>
      <c r="D188" s="93"/>
      <c r="E188" s="103" t="n">
        <f aca="false">(E40*A108)*0.1*(C45/100)</f>
        <v>52.6365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340.478060416667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790.716161685454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756.982151815004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593.485628646156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2792.316</v>
      </c>
      <c r="B201" s="186" t="n">
        <f aca="false">E179+A201+B182+A185</f>
        <v>26063.91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710.213279332513</v>
      </c>
      <c r="B212" s="177" t="n">
        <f aca="false">B167</f>
        <v>80.5028823529412</v>
      </c>
      <c r="C212" s="174"/>
      <c r="D212" s="174"/>
      <c r="E212" s="177" t="n">
        <f aca="false">E167</f>
        <v>790.716161685454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4860.64749730544</v>
      </c>
      <c r="B224" s="103" t="str">
        <f aca="false">B182</f>
        <v>239.99</v>
      </c>
      <c r="C224" s="103"/>
      <c r="D224" s="113"/>
      <c r="E224" s="103" t="n">
        <f aca="false">E182</f>
        <v>28132.2414973054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710.213279332513</v>
      </c>
      <c r="B230" s="103" t="n">
        <f aca="false">B167</f>
        <v>80.5028823529412</v>
      </c>
      <c r="C230" s="186"/>
      <c r="D230" s="186"/>
      <c r="E230" s="103" t="n">
        <f aca="false">E167</f>
        <v>790.716161685454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3735</v>
      </c>
      <c r="B233" s="103" t="n">
        <f aca="false">E185</f>
        <v>3745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52.6365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3885.14806041667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2078.33149730544</v>
      </c>
      <c r="C254" s="197"/>
      <c r="D254" s="198" t="s">
        <v>218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626.356666666667</v>
      </c>
      <c r="C255" s="197"/>
      <c r="D255" s="198" t="s">
        <v>220</v>
      </c>
      <c r="E255" s="198"/>
      <c r="F255" s="200" t="n">
        <f aca="false">(B254-F254)+B255</f>
        <v>2479.26829147211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2078.33149730544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2479.26829147211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128</v>
      </c>
      <c r="B26" s="40" t="s">
        <v>384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559.286056439316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499.136056439316</v>
      </c>
      <c r="B36" s="232" t="n">
        <f aca="false">IF(B26="YES", K42, "0.00")</f>
        <v>60.15</v>
      </c>
      <c r="C36" s="232"/>
      <c r="D36" s="232"/>
      <c r="E36" s="232" t="n">
        <f aca="false">K31</f>
        <v>2988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17780</v>
      </c>
      <c r="L39" s="2" t="n">
        <f aca="false">(L47*K46)+K44</f>
        <v>25380.635561774</v>
      </c>
      <c r="N39" s="1" t="n">
        <f aca="false">K39-L39</f>
        <v>-7600.635561774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60.15</v>
      </c>
      <c r="C40" s="107"/>
      <c r="D40" s="107"/>
      <c r="E40" s="182" t="n">
        <f aca="false">K32</f>
        <v>2105.25</v>
      </c>
      <c r="F40" s="186"/>
      <c r="G40" s="186"/>
      <c r="H40" s="47"/>
      <c r="J40" s="2" t="s">
        <v>107</v>
      </c>
      <c r="K40" s="2" t="n">
        <f aca="false">(A40)/1.2</f>
        <v>2490</v>
      </c>
      <c r="L40" s="2" t="n">
        <f aca="false">K39-L39</f>
        <v>-7600.635561774</v>
      </c>
      <c r="N40" s="1" t="n">
        <f aca="false">N38-N39</f>
        <v>10512.315561774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60.15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2019.58660384003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15760.41339616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499.136056439316</v>
      </c>
      <c r="L47" s="2" t="n">
        <f aca="false">L49-K42</f>
        <v>739.85</v>
      </c>
      <c r="M47" s="1" t="n">
        <f aca="false">K47-L47</f>
        <v>-240.713943560684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559.286056439316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559.286056439316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9197.42300512056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32198.8264977825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6776.41500840416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796.441220663299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200.905449305556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499.136056439316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499.136056439316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559.286056439316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559.286056439316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24621.604</v>
      </c>
      <c r="C81" s="93"/>
      <c r="D81" s="93"/>
      <c r="E81" s="113"/>
      <c r="F81" s="25" t="s">
        <v>106</v>
      </c>
      <c r="G81" s="27" t="n">
        <f aca="false">G158</f>
        <v>24621.604</v>
      </c>
      <c r="H81" s="33"/>
      <c r="J81" s="25" t="s">
        <v>106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2988</v>
      </c>
      <c r="C82" s="93"/>
      <c r="D82" s="93"/>
      <c r="E82" s="113"/>
      <c r="F82" s="31" t="s">
        <v>107</v>
      </c>
      <c r="G82" s="33" t="n">
        <f aca="false">IF(A111="YES",A40,0)</f>
        <v>2988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2988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2988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2109.27162698111</v>
      </c>
      <c r="C86" s="93"/>
      <c r="D86" s="93"/>
      <c r="E86" s="113"/>
      <c r="F86" s="31" t="s">
        <v>111</v>
      </c>
      <c r="G86" s="33" t="n">
        <f aca="false">(G82/((1+G84)^(G85+1)))</f>
        <v>2437.64103083491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2043.3516334334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2043.3516334334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22512.3323730189</v>
      </c>
      <c r="C88" s="93"/>
      <c r="D88" s="93"/>
      <c r="E88" s="113"/>
      <c r="F88" s="31" t="s">
        <v>113</v>
      </c>
      <c r="G88" s="33" t="n">
        <f aca="false">G81-G86</f>
        <v>22183.9629691651</v>
      </c>
      <c r="H88" s="33"/>
      <c r="J88" s="31" t="s">
        <v>113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20164.4133665666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15191.1483665666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784.328970014607</v>
      </c>
      <c r="C89" s="93"/>
      <c r="D89" s="93"/>
      <c r="E89" s="113"/>
      <c r="F89" s="31" t="s">
        <v>114</v>
      </c>
      <c r="G89" s="33" t="n">
        <f aca="false">(G88/G87)</f>
        <v>721.205113982348</v>
      </c>
      <c r="H89" s="33"/>
      <c r="J89" s="31" t="s">
        <v>114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713.122852464124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537.241270471746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26667.1849804966</v>
      </c>
      <c r="C90" s="93"/>
      <c r="D90" s="93"/>
      <c r="E90" s="113"/>
      <c r="F90" s="31" t="s">
        <v>115</v>
      </c>
      <c r="G90" s="33" t="n">
        <f aca="false">((G89*(G85))+G77)</f>
        <v>24520.9738753998</v>
      </c>
      <c r="H90" s="33"/>
      <c r="J90" s="31" t="s">
        <v>115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24246.1769837802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18266.2031960394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26667.1849804966</v>
      </c>
      <c r="C92" s="93"/>
      <c r="D92" s="93"/>
      <c r="E92" s="113"/>
      <c r="F92" s="56" t="s">
        <v>117</v>
      </c>
      <c r="G92" s="65" t="n">
        <f aca="false">(G90+G91)</f>
        <v>24520.9738753998</v>
      </c>
      <c r="H92" s="33"/>
      <c r="J92" s="56" t="s">
        <v>117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24246.1769837802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18266.2031960394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96.5938235294118</v>
      </c>
      <c r="C94" s="93"/>
      <c r="D94" s="93"/>
      <c r="E94" s="113"/>
      <c r="F94" s="88" t="s">
        <v>118</v>
      </c>
      <c r="G94" s="94" t="n">
        <f aca="false">IF(B26="YES",((E40/B85)*(1+A108)*(C45/100)),"0")</f>
        <v>80.4948529411765</v>
      </c>
      <c r="H94" s="33"/>
      <c r="J94" s="88" t="s">
        <v>118</v>
      </c>
      <c r="K94" s="89" t="n">
        <f aca="false">((E40/K85)*(1+J108))*1.2</f>
        <v>93.834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74.3029411764706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89.1635294117647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784.328970014607</v>
      </c>
      <c r="C95" s="93"/>
      <c r="D95" s="93"/>
      <c r="E95" s="113"/>
      <c r="F95" s="95" t="s">
        <v>119</v>
      </c>
      <c r="G95" s="96" t="n">
        <f aca="false">G92/(G85)</f>
        <v>721.205113982348</v>
      </c>
      <c r="H95" s="33"/>
      <c r="J95" s="95" t="s">
        <v>119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713.122852464124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537.241270471746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880.922793544018</v>
      </c>
      <c r="C96" s="93"/>
      <c r="D96" s="93"/>
      <c r="E96" s="113"/>
      <c r="F96" s="97" t="s">
        <v>120</v>
      </c>
      <c r="G96" s="98" t="n">
        <f aca="false">G94+G95</f>
        <v>801.699966923524</v>
      </c>
      <c r="H96" s="33"/>
      <c r="J96" s="97" t="s">
        <v>120</v>
      </c>
      <c r="K96" s="98" t="n">
        <f aca="false">(K94+K95)</f>
        <v>1554.67483744584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787.425793640595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626.404799883511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125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384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402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151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151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155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155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-17564.1116666667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24621.604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784.328970014607</v>
      </c>
      <c r="B167" s="177" t="n">
        <f aca="false">B94</f>
        <v>96.5938235294118</v>
      </c>
      <c r="C167" s="174"/>
      <c r="D167" s="174"/>
      <c r="E167" s="177" t="n">
        <f aca="false">B96</f>
        <v>880.922793544018</v>
      </c>
      <c r="F167" s="23"/>
      <c r="G167" s="23" t="n">
        <f aca="false">ROUND(G95, 2)</f>
        <v>721.21</v>
      </c>
      <c r="H167" s="33"/>
      <c r="J167" s="176" t="n">
        <f aca="false">K95</f>
        <v>1460.84083744584</v>
      </c>
      <c r="K167" s="177" t="n">
        <f aca="false">K94</f>
        <v>93.834</v>
      </c>
      <c r="L167" s="174"/>
      <c r="M167" s="174"/>
      <c r="N167" s="177" t="n">
        <f aca="false">K96</f>
        <v>1554.67483744584</v>
      </c>
      <c r="O167" s="23"/>
      <c r="P167" s="23"/>
      <c r="Q167" s="33"/>
      <c r="S167" s="176" t="n">
        <f aca="false">T95</f>
        <v>713.122852464124</v>
      </c>
      <c r="T167" s="177" t="n">
        <f aca="false">T94</f>
        <v>74.3029411764706</v>
      </c>
      <c r="U167" s="174"/>
      <c r="V167" s="174"/>
      <c r="W167" s="177" t="n">
        <f aca="false">T96</f>
        <v>787.425793640595</v>
      </c>
      <c r="X167" s="23"/>
      <c r="Y167" s="23"/>
      <c r="Z167" s="33"/>
      <c r="AB167" s="176" t="n">
        <f aca="false">AC95</f>
        <v>537.241270471746</v>
      </c>
      <c r="AC167" s="177" t="n">
        <f aca="false">AC94</f>
        <v>89.1635294117647</v>
      </c>
      <c r="AD167" s="174"/>
      <c r="AE167" s="174"/>
      <c r="AF167" s="177" t="n">
        <f aca="false">AC96</f>
        <v>626.404799883511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2988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2988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2988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2988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24621.604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5033.58098049663</v>
      </c>
      <c r="B182" s="103" t="str">
        <f aca="false">B114</f>
        <v>239.99</v>
      </c>
      <c r="C182" s="103"/>
      <c r="D182" s="23"/>
      <c r="E182" s="103" t="n">
        <f aca="false">E179+A182+B182+A185</f>
        <v>29905.1749804966</v>
      </c>
      <c r="F182" s="23"/>
      <c r="G182" s="23"/>
      <c r="H182" s="105"/>
      <c r="J182" s="111" t="n">
        <f aca="false">(J167*K59)+N185-N179-J185</f>
        <v>16137.5844731586</v>
      </c>
      <c r="K182" s="103" t="n">
        <f aca="false">K114</f>
        <v>239.99</v>
      </c>
      <c r="L182" s="103"/>
      <c r="M182" s="23"/>
      <c r="N182" s="103" t="n">
        <f aca="false">N179+J182+K182+J185</f>
        <v>52916.5784731586</v>
      </c>
      <c r="O182" s="23"/>
      <c r="P182" s="23"/>
      <c r="Q182" s="105"/>
      <c r="S182" s="111" t="n">
        <f aca="false">(S167*T59)+W185-W179-S185</f>
        <v>5026.41198378022</v>
      </c>
      <c r="T182" s="103" t="n">
        <f aca="false">T114</f>
        <v>199.99</v>
      </c>
      <c r="U182" s="103"/>
      <c r="V182" s="23"/>
      <c r="W182" s="103" t="n">
        <f aca="false">W179+S182+T182+S185</f>
        <v>27444.1669837802</v>
      </c>
      <c r="X182" s="23"/>
      <c r="Y182" s="23"/>
      <c r="Z182" s="105"/>
      <c r="AB182" s="111" t="n">
        <f aca="false">(AB167*AC59)+AF185-AF179-AB185</f>
        <v>4019.70319603936</v>
      </c>
      <c r="AC182" s="103" t="n">
        <f aca="false">AC114</f>
        <v>239.99</v>
      </c>
      <c r="AD182" s="103"/>
      <c r="AE182" s="23"/>
      <c r="AF182" s="103" t="n">
        <f aca="false">AF179+AB182+AC182+AB185</f>
        <v>21504.1931960394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2998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3008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2998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2998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0.041856</v>
      </c>
      <c r="B188" s="103" t="n">
        <f aca="false">(G158*B67)/1.2</f>
        <v>200.905449305556</v>
      </c>
      <c r="C188" s="93"/>
      <c r="D188" s="93"/>
      <c r="E188" s="103" t="n">
        <f aca="false">(E40*A108)*0.1*C45/100</f>
        <v>63.1575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63.1575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42.105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364.054615972222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3453.88472569444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1323.30419357639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1322.72373263889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880.922793544018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787.425793640595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626.404799883511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2887.536</v>
      </c>
      <c r="B201" s="186" t="n">
        <f aca="false">E179+A201+B182+A185</f>
        <v>27759.13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784.328970014607</v>
      </c>
      <c r="B212" s="177" t="n">
        <f aca="false">B167</f>
        <v>96.5938235294118</v>
      </c>
      <c r="C212" s="174"/>
      <c r="D212" s="174"/>
      <c r="E212" s="177" t="n">
        <f aca="false">E167</f>
        <v>880.922793544018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24621.604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5033.58098049663</v>
      </c>
      <c r="B224" s="103" t="str">
        <f aca="false">B182</f>
        <v>239.99</v>
      </c>
      <c r="C224" s="103"/>
      <c r="D224" s="113"/>
      <c r="E224" s="103" t="n">
        <f aca="false">E182</f>
        <v>29905.1749804966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784.328970014607</v>
      </c>
      <c r="B230" s="103" t="n">
        <f aca="false">B167</f>
        <v>96.5938235294118</v>
      </c>
      <c r="C230" s="186"/>
      <c r="D230" s="186"/>
      <c r="E230" s="103" t="n">
        <f aca="false">E167</f>
        <v>880.922793544018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2988</v>
      </c>
      <c r="B233" s="103" t="n">
        <f aca="false">E185</f>
        <v>2998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200.905449305556</v>
      </c>
      <c r="C240" s="93"/>
      <c r="D240" s="93"/>
      <c r="E240" s="103" t="n">
        <f aca="false">E188</f>
        <v>63.1575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3908.72461597222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2156.04498049663</v>
      </c>
      <c r="C254" s="197"/>
      <c r="D254" s="198" t="s">
        <v>218</v>
      </c>
      <c r="E254" s="198"/>
      <c r="F254" s="200" t="n">
        <f aca="false">F261+F267+F269+B270+B271</f>
        <v>241.086539166667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731.566666666667</v>
      </c>
      <c r="C255" s="197"/>
      <c r="D255" s="198" t="s">
        <v>220</v>
      </c>
      <c r="E255" s="198"/>
      <c r="F255" s="200" t="n">
        <f aca="false">(B254-F254)+B255</f>
        <v>2646.52510799663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2156.04498049663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241.086539166667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2646.52510799663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385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453.324871293374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403.194871293374</v>
      </c>
      <c r="B36" s="232" t="n">
        <f aca="false">IF(B26="YES", K42, "0.00")</f>
        <v>50.13</v>
      </c>
      <c r="C36" s="232"/>
      <c r="D36" s="232"/>
      <c r="E36" s="232" t="n">
        <f aca="false">K31</f>
        <v>7470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17780</v>
      </c>
      <c r="L39" s="2" t="n">
        <f aca="false">(L47*K46)+K44</f>
        <v>28726.4008301866</v>
      </c>
      <c r="N39" s="1" t="n">
        <f aca="false">K39-L39</f>
        <v>-10946.4008301866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107</v>
      </c>
      <c r="K40" s="2" t="n">
        <f aca="false">(A40)/1.2</f>
        <v>6225</v>
      </c>
      <c r="L40" s="2" t="n">
        <f aca="false">K39-L39</f>
        <v>-10946.4008301866</v>
      </c>
      <c r="N40" s="1" t="n">
        <f aca="false">N38-N39</f>
        <v>13858.0808301866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5048.96650960007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12731.0334903999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403.194871293374</v>
      </c>
      <c r="L47" s="2" t="n">
        <f aca="false">L49-K42</f>
        <v>749.87</v>
      </c>
      <c r="M47" s="1" t="n">
        <f aca="false">K47-L47</f>
        <v>-346.675128706626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453.324871293374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453.324871293374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6912.23525099247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35556.7679778905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6448.89355609174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468.919768350874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403.194871293374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403.194871293374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453.324871293374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453.324871293374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23021.604</v>
      </c>
      <c r="C81" s="93"/>
      <c r="D81" s="93"/>
      <c r="E81" s="113"/>
      <c r="F81" s="25" t="s">
        <v>106</v>
      </c>
      <c r="G81" s="27" t="n">
        <f aca="false">G158</f>
        <v>23021.604</v>
      </c>
      <c r="H81" s="33"/>
      <c r="J81" s="25" t="s">
        <v>106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7470</v>
      </c>
      <c r="C82" s="93"/>
      <c r="D82" s="93"/>
      <c r="E82" s="113"/>
      <c r="F82" s="31" t="s">
        <v>107</v>
      </c>
      <c r="G82" s="33" t="n">
        <f aca="false">IF(A111="YES",A40,0)</f>
        <v>7470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7470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7470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5273.17906745278</v>
      </c>
      <c r="C86" s="93"/>
      <c r="D86" s="93"/>
      <c r="E86" s="113"/>
      <c r="F86" s="31" t="s">
        <v>111</v>
      </c>
      <c r="G86" s="33" t="n">
        <f aca="false">(G82/((1+G84)^(G85+1)))</f>
        <v>6094.10257708728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5108.37908358349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5108.37908358349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17748.4249325472</v>
      </c>
      <c r="C88" s="93"/>
      <c r="D88" s="93"/>
      <c r="E88" s="113"/>
      <c r="F88" s="31" t="s">
        <v>113</v>
      </c>
      <c r="G88" s="33" t="n">
        <f aca="false">G81-G86</f>
        <v>16927.5014229127</v>
      </c>
      <c r="H88" s="33"/>
      <c r="J88" s="31" t="s">
        <v>113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17099.3859164165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12126.1209164165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618.354580772369</v>
      </c>
      <c r="C89" s="93"/>
      <c r="D89" s="93"/>
      <c r="E89" s="113"/>
      <c r="F89" s="31" t="s">
        <v>114</v>
      </c>
      <c r="G89" s="33" t="n">
        <f aca="false">(G88/G87)</f>
        <v>550.316488091739</v>
      </c>
      <c r="H89" s="33"/>
      <c r="J89" s="31" t="s">
        <v>114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604.726883863524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428.845301871146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21024.0557462605</v>
      </c>
      <c r="C90" s="93"/>
      <c r="D90" s="93"/>
      <c r="E90" s="113"/>
      <c r="F90" s="31" t="s">
        <v>115</v>
      </c>
      <c r="G90" s="33" t="n">
        <f aca="false">((G89*(G85))+G77)</f>
        <v>18710.7605951191</v>
      </c>
      <c r="H90" s="33"/>
      <c r="J90" s="31" t="s">
        <v>115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20560.7140513598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14580.740263619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21024.0557462605</v>
      </c>
      <c r="C92" s="93"/>
      <c r="D92" s="93"/>
      <c r="E92" s="113"/>
      <c r="F92" s="56" t="s">
        <v>117</v>
      </c>
      <c r="G92" s="65" t="n">
        <f aca="false">(G90+G91)</f>
        <v>18710.7605951191</v>
      </c>
      <c r="H92" s="33"/>
      <c r="J92" s="56" t="s">
        <v>117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20560.7140513598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14580.740263619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118</v>
      </c>
      <c r="G94" s="94" t="n">
        <f aca="false">IF(B26="YES",((E40/B85)*(1+A108)*(C45/100)),"0")</f>
        <v>61.9252941176471</v>
      </c>
      <c r="H94" s="33"/>
      <c r="J94" s="88" t="s">
        <v>118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618.354580772369</v>
      </c>
      <c r="C95" s="93"/>
      <c r="D95" s="93"/>
      <c r="E95" s="113"/>
      <c r="F95" s="95" t="s">
        <v>119</v>
      </c>
      <c r="G95" s="96" t="n">
        <f aca="false">G92/(G85)</f>
        <v>550.316488091739</v>
      </c>
      <c r="H95" s="33"/>
      <c r="J95" s="95" t="s">
        <v>119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604.726883863524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428.845301871146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680.279874890016</v>
      </c>
      <c r="C96" s="93"/>
      <c r="D96" s="93"/>
      <c r="E96" s="113"/>
      <c r="F96" s="97" t="s">
        <v>120</v>
      </c>
      <c r="G96" s="98" t="n">
        <f aca="false">G94+G95</f>
        <v>612.241782209386</v>
      </c>
      <c r="H96" s="33"/>
      <c r="J96" s="97" t="s">
        <v>120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666.652177981171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503.155654812322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387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384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151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151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155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155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618.354580772369</v>
      </c>
      <c r="B167" s="177" t="n">
        <f aca="false">B94</f>
        <v>61.9252941176471</v>
      </c>
      <c r="C167" s="174"/>
      <c r="D167" s="174"/>
      <c r="E167" s="177" t="n">
        <f aca="false">B96</f>
        <v>680.279874890016</v>
      </c>
      <c r="F167" s="23"/>
      <c r="G167" s="23" t="n">
        <f aca="false">ROUND(G95, 2)</f>
        <v>550.32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604.726883863524</v>
      </c>
      <c r="T167" s="177" t="n">
        <f aca="false">T94</f>
        <v>61.9252941176471</v>
      </c>
      <c r="U167" s="174"/>
      <c r="V167" s="174"/>
      <c r="W167" s="177" t="n">
        <f aca="false">T96</f>
        <v>666.652177981171</v>
      </c>
      <c r="X167" s="23"/>
      <c r="Y167" s="23"/>
      <c r="Z167" s="33"/>
      <c r="AB167" s="176" t="n">
        <f aca="false">AC95</f>
        <v>428.845301871146</v>
      </c>
      <c r="AC167" s="177" t="n">
        <f aca="false">AC94</f>
        <v>74.3103529411765</v>
      </c>
      <c r="AD167" s="174"/>
      <c r="AE167" s="174"/>
      <c r="AF167" s="177" t="n">
        <f aca="false">AC96</f>
        <v>503.155654812322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7470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7470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7470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7470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5472.45174626055</v>
      </c>
      <c r="B182" s="103" t="str">
        <f aca="false">B114</f>
        <v>199.99</v>
      </c>
      <c r="C182" s="103"/>
      <c r="D182" s="23"/>
      <c r="E182" s="103" t="n">
        <f aca="false">E179+A182+(B182*1.2)+A185</f>
        <v>28744.0437462605</v>
      </c>
      <c r="F182" s="23"/>
      <c r="G182" s="23"/>
      <c r="H182" s="105"/>
      <c r="J182" s="111" t="n">
        <f aca="false">(J167*K59)+N185-N179-J185</f>
        <v>20619.5844731586</v>
      </c>
      <c r="K182" s="103" t="n">
        <f aca="false">K114</f>
        <v>239.99</v>
      </c>
      <c r="L182" s="103"/>
      <c r="M182" s="23"/>
      <c r="N182" s="103" t="n">
        <f aca="false">N179+J182+K182+J185</f>
        <v>57398.5784731586</v>
      </c>
      <c r="O182" s="23"/>
      <c r="P182" s="23"/>
      <c r="Q182" s="105"/>
      <c r="S182" s="111" t="n">
        <f aca="false">(S167*T59)+W185-W179-S185</f>
        <v>5822.94905135982</v>
      </c>
      <c r="T182" s="103" t="n">
        <f aca="false">T114</f>
        <v>199.99</v>
      </c>
      <c r="U182" s="103"/>
      <c r="V182" s="23"/>
      <c r="W182" s="103" t="n">
        <f aca="false">W179+S182+T182+S185</f>
        <v>28240.7040513598</v>
      </c>
      <c r="X182" s="23"/>
      <c r="Y182" s="23"/>
      <c r="Z182" s="105"/>
      <c r="AB182" s="111" t="n">
        <f aca="false">(AB167*AC59)+AF185-AF179-AB185</f>
        <v>4816.24026361896</v>
      </c>
      <c r="AC182" s="103" t="n">
        <f aca="false">AC114</f>
        <v>239.99</v>
      </c>
      <c r="AD182" s="103"/>
      <c r="AE182" s="23"/>
      <c r="AF182" s="103" t="n">
        <f aca="false">AF179+AB182+AC182+AB185</f>
        <v>22300.730263619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7480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7490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7480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7480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322.93089375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680.279874890016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666.652177981171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503.155654812322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3159.276</v>
      </c>
      <c r="B201" s="186" t="n">
        <f aca="false">E179+A201+(B182*1.2)+A185</f>
        <v>26430.868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618.354580772369</v>
      </c>
      <c r="B212" s="177" t="n">
        <f aca="false">B167</f>
        <v>61.9252941176471</v>
      </c>
      <c r="C212" s="174"/>
      <c r="D212" s="174"/>
      <c r="E212" s="177" t="n">
        <f aca="false">E167</f>
        <v>680.279874890016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5472.45174626055</v>
      </c>
      <c r="B224" s="103" t="str">
        <f aca="false">B182</f>
        <v>199.99</v>
      </c>
      <c r="C224" s="103"/>
      <c r="D224" s="113"/>
      <c r="E224" s="103" t="n">
        <f aca="false">E182</f>
        <v>28744.0437462605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618.354580772369</v>
      </c>
      <c r="B230" s="103" t="n">
        <f aca="false">B167</f>
        <v>61.9252941176471</v>
      </c>
      <c r="C230" s="186"/>
      <c r="D230" s="186"/>
      <c r="E230" s="103" t="n">
        <f aca="false">E167</f>
        <v>680.279874890016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7470</v>
      </c>
      <c r="B233" s="103" t="n">
        <f aca="false">E185</f>
        <v>7480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3867.60089375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2323.17574626055</v>
      </c>
      <c r="C254" s="197"/>
      <c r="D254" s="198" t="s">
        <v>218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450.9</v>
      </c>
      <c r="C255" s="197"/>
      <c r="D255" s="198" t="s">
        <v>220</v>
      </c>
      <c r="E255" s="198"/>
      <c r="F255" s="200" t="n">
        <f aca="false">(B254-F254)+B255</f>
        <v>2548.65587376055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2323.17574626055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2548.65587376055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21088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238" t="n">
        <f aca="false">IF(C107="YES",H31,0)</f>
        <v>4365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696.934830837774</v>
      </c>
      <c r="E33" s="216"/>
      <c r="F33" s="63"/>
      <c r="G33" s="219" t="s">
        <v>355</v>
      </c>
      <c r="H33" s="460" t="n">
        <f aca="false">E21-E11+((E16*20%)+(E19*20%)+(E20*20%))</f>
        <v>17630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696.934830837774</v>
      </c>
      <c r="B36" s="103" t="str">
        <f aca="false">IF(B26="YES", H42, "")</f>
        <v/>
      </c>
      <c r="C36" s="221"/>
      <c r="D36" s="184" t="n">
        <f aca="false">I31</f>
        <v>4365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17630</v>
      </c>
      <c r="I39" s="238" t="n">
        <f aca="false">(I48*H46)+H44</f>
        <v>32174.3182318458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4365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3637.5</v>
      </c>
      <c r="I40" s="238" t="n">
        <f aca="false">H39-I39</f>
        <v>-14544.3182318458</v>
      </c>
      <c r="J40" s="63" t="n">
        <v>13854.16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3212.50015622193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14417.4998437781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696.934830837774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696.934830837774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696.934830837774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216"/>
      <c r="F64" s="63"/>
      <c r="G64" s="285" t="s">
        <v>91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91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296.48</v>
      </c>
      <c r="C67" s="215"/>
      <c r="D67" s="291"/>
      <c r="E67" s="216"/>
      <c r="F67" s="63"/>
      <c r="G67" s="285" t="s">
        <v>94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94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471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3146.82666666667</v>
      </c>
      <c r="C81" s="215"/>
      <c r="D81" s="215"/>
      <c r="E81" s="216"/>
      <c r="F81" s="63"/>
      <c r="G81" s="303" t="s">
        <v>103</v>
      </c>
      <c r="H81" s="304" t="n">
        <f aca="false">SUM(J64:J80)</f>
        <v>2580.41</v>
      </c>
      <c r="I81" s="215"/>
      <c r="J81" s="215"/>
      <c r="K81" s="216"/>
      <c r="L81" s="63"/>
      <c r="M81" s="303" t="s">
        <v>103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143.037575757576</v>
      </c>
      <c r="C82" s="215"/>
      <c r="D82" s="215"/>
      <c r="E82" s="216"/>
      <c r="F82" s="63"/>
      <c r="G82" s="214" t="s">
        <v>104</v>
      </c>
      <c r="H82" s="300" t="n">
        <f aca="false">H81/H29</f>
        <v>117.291363636364</v>
      </c>
      <c r="I82" s="215"/>
      <c r="J82" s="215"/>
      <c r="K82" s="216"/>
      <c r="L82" s="63"/>
      <c r="M82" s="214" t="s">
        <v>104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696.934830837774</v>
      </c>
      <c r="C83" s="215"/>
      <c r="D83" s="215"/>
      <c r="E83" s="216"/>
      <c r="F83" s="63"/>
      <c r="G83" s="305" t="s">
        <v>105</v>
      </c>
      <c r="H83" s="306" t="n">
        <f aca="false">H47</f>
        <v>696.934830837774</v>
      </c>
      <c r="I83" s="215"/>
      <c r="J83" s="215"/>
      <c r="K83" s="216"/>
      <c r="L83" s="63"/>
      <c r="M83" s="305" t="s">
        <v>105</v>
      </c>
      <c r="N83" s="306" t="n">
        <f aca="false">H47</f>
        <v>696.934830837774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18479.3929450977</v>
      </c>
      <c r="C85" s="215"/>
      <c r="D85" s="215"/>
      <c r="E85" s="216"/>
      <c r="F85" s="63"/>
      <c r="G85" s="288" t="s">
        <v>115</v>
      </c>
      <c r="H85" s="131" t="n">
        <f aca="false">((H83*H29)+H81)*1.2</f>
        <v>21495.5715341172</v>
      </c>
      <c r="I85" s="215"/>
      <c r="J85" s="215"/>
      <c r="K85" s="216"/>
      <c r="L85" s="63"/>
      <c r="M85" s="288" t="s">
        <v>115</v>
      </c>
      <c r="N85" s="131" t="n">
        <f aca="false">((N83*H29)+N81)</f>
        <v>17761.726278431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156.541852298125</v>
      </c>
      <c r="C86" s="215"/>
      <c r="D86" s="215"/>
      <c r="E86" s="216"/>
      <c r="F86" s="63"/>
      <c r="G86" s="214" t="s">
        <v>116</v>
      </c>
      <c r="H86" s="300" t="n">
        <f aca="false">((((H83*H29)+H81))/(1-H70))*H70</f>
        <v>151.743647376786</v>
      </c>
      <c r="I86" s="215"/>
      <c r="J86" s="215"/>
      <c r="K86" s="216"/>
      <c r="L86" s="63"/>
      <c r="M86" s="214" t="s">
        <v>116</v>
      </c>
      <c r="N86" s="300" t="n">
        <f aca="false">(N85/(1-N70))*N70</f>
        <v>150.462384770896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18635.9347973958</v>
      </c>
      <c r="C87" s="215"/>
      <c r="D87" s="215"/>
      <c r="E87" s="216"/>
      <c r="F87" s="63"/>
      <c r="G87" s="285" t="s">
        <v>117</v>
      </c>
      <c r="H87" s="133" t="n">
        <f aca="false">IF(H110="YES",((H85+H86)-K114),(H85+H86))</f>
        <v>21647.315181494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17912.1886632019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(D40+(D40*B105))/(B57+B58))*(C45/100)</f>
        <v>0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847.087945336173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801.752414129408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663.414394933404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847.087945336173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801.752414129408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663.414394933404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341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342</v>
      </c>
      <c r="C107" s="222" t="s">
        <v>384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801.752414129408</v>
      </c>
      <c r="H127" s="177" t="n">
        <f aca="false">IF(G105="YES", H89*H57, 0)</f>
        <v>0</v>
      </c>
      <c r="I127" s="177"/>
      <c r="J127" s="334" t="n">
        <f aca="false">H91</f>
        <v>801.752414129408</v>
      </c>
      <c r="K127" s="216"/>
      <c r="L127" s="63"/>
      <c r="M127" s="333" t="n">
        <f aca="false">N90</f>
        <v>663.414394933404</v>
      </c>
      <c r="N127" s="177" t="n">
        <f aca="false">IF(M105="YES", N89*N57, 0)</f>
        <v>0</v>
      </c>
      <c r="O127" s="177"/>
      <c r="P127" s="177" t="n">
        <f aca="false">N91</f>
        <v>663.414394933404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847.087945336173</v>
      </c>
      <c r="B128" s="321" t="n">
        <f aca="false">IF(A105="YES", B89, 0)</f>
        <v>0</v>
      </c>
      <c r="C128" s="325"/>
      <c r="D128" s="321" t="n">
        <f aca="false">B91</f>
        <v>847.087945336173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847.087945336173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4810.51448477645</v>
      </c>
      <c r="H133" s="103" t="n">
        <f aca="false">IF(G105="YES", H89*H57, 0)</f>
        <v>0</v>
      </c>
      <c r="I133" s="221"/>
      <c r="J133" s="184" t="n">
        <f aca="false">H91*H57</f>
        <v>4810.51448477645</v>
      </c>
      <c r="K133" s="216"/>
      <c r="L133" s="63"/>
      <c r="M133" s="185" t="n">
        <f aca="false">N90*N57</f>
        <v>3980.48636960042</v>
      </c>
      <c r="N133" s="103" t="n">
        <f aca="false">IF(M105="YES", N89*N57, 0)</f>
        <v>0</v>
      </c>
      <c r="O133" s="221"/>
      <c r="P133" s="184" t="n">
        <f aca="false">N91*N57</f>
        <v>3980.48636960042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847.087945336173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847.087945336173</v>
      </c>
      <c r="B137" s="38" t="n">
        <f aca="false">IF(A105="YES", B89, 0)</f>
        <v>0</v>
      </c>
      <c r="C137" s="317"/>
      <c r="D137" s="38" t="n">
        <f aca="false">B91</f>
        <v>847.087945336173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0</v>
      </c>
      <c r="C140" s="317"/>
      <c r="D140" s="343" t="n">
        <f aca="false">A140+B140</f>
        <v>15.06816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796.47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801.752414129408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663.414394933404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847.087945336173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847.087945336173</v>
      </c>
      <c r="B177" s="355" t="n">
        <f aca="false">IF(A105="YES", B89, 0)</f>
        <v>0</v>
      </c>
      <c r="C177" s="357"/>
      <c r="D177" s="355" t="n">
        <f aca="false">B91</f>
        <v>847.087945336173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847.087945336173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847.087945336173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847.087945336173</v>
      </c>
      <c r="B186" s="103" t="n">
        <f aca="false">IF(A105="YES", B89, 0)</f>
        <v>0</v>
      </c>
      <c r="C186" s="353"/>
      <c r="D186" s="103" t="n">
        <f aca="false">B91</f>
        <v>847.087945336173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0</v>
      </c>
      <c r="C189" s="353"/>
      <c r="D189" s="365" t="n">
        <f aca="false">A189+B189</f>
        <v>15.06816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796.47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296.48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1813.67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1770.16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296.48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1813.67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156.541852298125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4689.299999999999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107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91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91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296.48</v>
      </c>
      <c r="C67" s="215"/>
      <c r="D67" s="291"/>
      <c r="E67" s="216"/>
      <c r="F67" s="63"/>
      <c r="G67" s="285" t="s">
        <v>94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94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103</v>
      </c>
      <c r="H81" s="304" t="n">
        <f aca="false">SUM(J64:J80)</f>
        <v>2580.41</v>
      </c>
      <c r="I81" s="215"/>
      <c r="J81" s="215"/>
      <c r="K81" s="216"/>
      <c r="L81" s="63"/>
      <c r="M81" s="303" t="s">
        <v>103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143.037575757576</v>
      </c>
      <c r="C82" s="215"/>
      <c r="D82" s="215"/>
      <c r="E82" s="466"/>
      <c r="F82" s="63"/>
      <c r="G82" s="214" t="s">
        <v>104</v>
      </c>
      <c r="H82" s="300" t="n">
        <f aca="false">H81/H29</f>
        <v>117.291363636364</v>
      </c>
      <c r="I82" s="215"/>
      <c r="J82" s="215"/>
      <c r="K82" s="216"/>
      <c r="L82" s="63"/>
      <c r="M82" s="214" t="s">
        <v>104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105</v>
      </c>
      <c r="H83" s="306" t="n">
        <f aca="false">H47</f>
        <v>548.895083902158</v>
      </c>
      <c r="I83" s="215"/>
      <c r="J83" s="215"/>
      <c r="K83" s="216"/>
      <c r="L83" s="63"/>
      <c r="M83" s="305" t="s">
        <v>105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115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115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116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116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117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s">
        <v>399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296.48</v>
      </c>
      <c r="C211" s="320" t="s">
        <v>219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1770.16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296.48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385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1663.1999999999998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107</v>
      </c>
      <c r="H40" s="238" t="n">
        <f aca="false">A40/1.2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454.545454545455</v>
      </c>
      <c r="F64" s="63"/>
      <c r="G64" s="285" t="s">
        <v>91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91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296.48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94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229</v>
      </c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10710</v>
      </c>
      <c r="C81" s="473"/>
      <c r="D81" s="474"/>
      <c r="E81" s="466"/>
      <c r="F81" s="63"/>
      <c r="G81" s="303" t="s">
        <v>103</v>
      </c>
      <c r="H81" s="304" t="n">
        <f aca="false">SUM(J64:J80)</f>
        <v>2580.41</v>
      </c>
      <c r="I81" s="215"/>
      <c r="J81" s="215"/>
      <c r="K81" s="216"/>
      <c r="L81" s="63"/>
      <c r="M81" s="303" t="s">
        <v>103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486.818181818182</v>
      </c>
      <c r="C82" s="473"/>
      <c r="D82" s="215"/>
      <c r="E82" s="466"/>
      <c r="F82" s="63"/>
      <c r="G82" s="214" t="s">
        <v>104</v>
      </c>
      <c r="H82" s="300" t="n">
        <f aca="false">H81/H29</f>
        <v>117.291363636364</v>
      </c>
      <c r="I82" s="215"/>
      <c r="J82" s="215"/>
      <c r="K82" s="216"/>
      <c r="L82" s="63"/>
      <c r="M82" s="214" t="s">
        <v>104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548.895083902158</v>
      </c>
      <c r="C83" s="473"/>
      <c r="D83" s="215"/>
      <c r="E83" s="466" t="n">
        <f aca="false">B83+E80+E77+E64</f>
        <v>1035.71326572034</v>
      </c>
      <c r="F83" s="63"/>
      <c r="G83" s="305" t="s">
        <v>105</v>
      </c>
      <c r="H83" s="306" t="n">
        <f aca="false">H47</f>
        <v>548.895083902158</v>
      </c>
      <c r="I83" s="215"/>
      <c r="J83" s="215"/>
      <c r="K83" s="216"/>
      <c r="L83" s="63"/>
      <c r="M83" s="305" t="s">
        <v>105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22785.6918458475</v>
      </c>
      <c r="C85" s="473"/>
      <c r="D85" s="473"/>
      <c r="E85" s="466" t="n">
        <f aca="false">B85/(B58+B57)</f>
        <v>1035.71326572034</v>
      </c>
      <c r="F85" s="63"/>
      <c r="G85" s="288" t="s">
        <v>115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115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193.021189496893</v>
      </c>
      <c r="C86" s="473" t="s">
        <v>232</v>
      </c>
      <c r="D86" s="215"/>
      <c r="E86" s="466" t="n">
        <f aca="false">B86/(B58+B57)</f>
        <v>8.77369043167694</v>
      </c>
      <c r="F86" s="63"/>
      <c r="G86" s="214" t="s">
        <v>116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116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22978.7130353444</v>
      </c>
      <c r="C87" s="473"/>
      <c r="D87" s="475"/>
      <c r="E87" s="466" t="n">
        <f aca="false">E86+E85</f>
        <v>1044.48695615202</v>
      </c>
      <c r="F87" s="63"/>
      <c r="G87" s="285" t="s">
        <v>117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60.515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1044.48695615202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1105.00195615202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1044.48695615202</v>
      </c>
      <c r="B128" s="321" t="n">
        <f aca="false">IF(A105="YES", B89, 0)</f>
        <v>60.515</v>
      </c>
      <c r="C128" s="325"/>
      <c r="D128" s="321" t="n">
        <f aca="false">B91</f>
        <v>1105.00195615202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1044.48695615202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1105.00195615202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1044.48695615202</v>
      </c>
      <c r="B137" s="38" t="n">
        <f aca="false">IF(A105="YES", B89, 0)</f>
        <v>60.515</v>
      </c>
      <c r="C137" s="317"/>
      <c r="D137" s="38" t="n">
        <f aca="false">B91</f>
        <v>1105.00195615202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103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1105.00195615202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1044.48695615202</v>
      </c>
      <c r="B177" s="355" t="n">
        <f aca="false">IF(A105="YES", B89, 0)</f>
        <v>60.515</v>
      </c>
      <c r="C177" s="357"/>
      <c r="D177" s="355" t="n">
        <f aca="false">B91</f>
        <v>1105.00195615202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1044.48695615202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1105.00195615202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1044.48695615202</v>
      </c>
      <c r="B186" s="103" t="n">
        <f aca="false">IF(A105="YES", B89, 0)</f>
        <v>60.515</v>
      </c>
      <c r="C186" s="353"/>
      <c r="D186" s="103" t="n">
        <f aca="false">B91</f>
        <v>1105.00195615202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296.48</v>
      </c>
      <c r="C211" s="320" t="s">
        <v>219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10110.74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296.48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10110.74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193.021189496893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383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82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4711.95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392.6625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10723.95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183</v>
      </c>
      <c r="B130" s="172" t="n">
        <v>1200</v>
      </c>
      <c r="C130" s="172"/>
      <c r="D130" s="215"/>
      <c r="E130" s="216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83</v>
      </c>
      <c r="B132" s="215" t="s">
        <v>84</v>
      </c>
      <c r="C132" s="215"/>
      <c r="D132" s="215" t="s">
        <v>86</v>
      </c>
      <c r="E132" s="216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343</v>
      </c>
      <c r="B135" s="328" t="s">
        <v>252</v>
      </c>
      <c r="C135" s="328"/>
      <c r="D135" s="328" t="s">
        <v>120</v>
      </c>
      <c r="E135" s="216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344</v>
      </c>
      <c r="B138" s="215" t="s">
        <v>241</v>
      </c>
      <c r="C138" s="215"/>
      <c r="D138" s="215" t="s">
        <v>245</v>
      </c>
      <c r="E138" s="216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141</v>
      </c>
      <c r="B144" s="215" t="s">
        <v>310</v>
      </c>
      <c r="C144" s="215"/>
      <c r="D144" s="215" t="s">
        <v>311</v>
      </c>
      <c r="E144" s="216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313</v>
      </c>
      <c r="B147" s="215" t="s">
        <v>314</v>
      </c>
      <c r="C147" s="215"/>
      <c r="D147" s="215" t="s">
        <v>315</v>
      </c>
      <c r="E147" s="216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317</v>
      </c>
      <c r="B150" s="215" t="s">
        <v>318</v>
      </c>
      <c r="C150" s="215"/>
      <c r="D150" s="215"/>
      <c r="E150" s="216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323</v>
      </c>
      <c r="B154" s="215"/>
      <c r="C154" s="215"/>
      <c r="D154" s="282"/>
      <c r="E154" s="283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83</v>
      </c>
      <c r="B156" s="251" t="s">
        <v>84</v>
      </c>
      <c r="C156" s="251"/>
      <c r="D156" s="215"/>
      <c r="E156" s="216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91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209.28</v>
      </c>
      <c r="C67" s="215"/>
      <c r="D67" s="291"/>
      <c r="E67" s="216"/>
      <c r="F67" s="63"/>
      <c r="G67" s="285" t="s">
        <v>94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103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232.635555555556</v>
      </c>
      <c r="C82" s="215"/>
      <c r="D82" s="215"/>
      <c r="E82" s="216"/>
      <c r="F82" s="63"/>
      <c r="G82" s="214" t="s">
        <v>104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384</v>
      </c>
      <c r="B105" s="312" t="n">
        <v>30.0</v>
      </c>
      <c r="C105" s="312"/>
      <c r="D105" s="107" t="s">
        <v>399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209.28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1464.96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209.28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18341.67</v>
      </c>
      <c r="C7" s="291" t="n">
        <f aca="false">C3-C6</f>
        <v>479.17</v>
      </c>
      <c r="D7" s="291" t="n">
        <f aca="false">D3-D6</f>
        <v>500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19320.84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19870.84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3974.168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24090.008</v>
      </c>
      <c r="F15" s="63"/>
      <c r="G15" s="274" t="n">
        <f aca="false">E15</f>
        <v>24090.008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23845.008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24090.008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45275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23845.008</v>
      </c>
      <c r="C61" s="215"/>
      <c r="D61" s="215"/>
      <c r="E61" s="216"/>
      <c r="F61" s="63"/>
      <c r="G61" s="214" t="s">
        <v>14</v>
      </c>
      <c r="H61" s="291" t="n">
        <f aca="false">G18</f>
        <v>23845.008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1669.15056</v>
      </c>
      <c r="C64" s="215" t="n">
        <v>10000.0</v>
      </c>
      <c r="D64" s="291" t="n">
        <f aca="false">B64</f>
        <v>1669.15056</v>
      </c>
      <c r="E64" s="216"/>
      <c r="F64" s="63"/>
      <c r="G64" s="285" t="s">
        <v>91</v>
      </c>
      <c r="H64" s="133" t="n">
        <f aca="false">H61*H63</f>
        <v>1669.15056</v>
      </c>
      <c r="I64" s="215"/>
      <c r="J64" s="291" t="n">
        <f aca="false">H64</f>
        <v>1669.15056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238.45008</v>
      </c>
      <c r="C67" s="215"/>
      <c r="D67" s="291"/>
      <c r="E67" s="216"/>
      <c r="F67" s="63"/>
      <c r="G67" s="285" t="s">
        <v>94</v>
      </c>
      <c r="H67" s="133" t="n">
        <f aca="false">H61*H66</f>
        <v>119.22504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2995.81722666667</v>
      </c>
      <c r="C81" s="215"/>
      <c r="D81" s="215"/>
      <c r="E81" s="216"/>
      <c r="F81" s="63"/>
      <c r="G81" s="303" t="s">
        <v>103</v>
      </c>
      <c r="H81" s="304" t="n">
        <f aca="false">SUM(J64:J80)</f>
        <v>3295.65056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249.651435555556</v>
      </c>
      <c r="C82" s="215"/>
      <c r="D82" s="215"/>
      <c r="E82" s="216"/>
      <c r="F82" s="63"/>
      <c r="G82" s="214" t="s">
        <v>104</v>
      </c>
      <c r="H82" s="300" t="n">
        <f aca="false">H81/H29</f>
        <v>274.637546666667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9007.81722666667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11169.180672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76.3066404840662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78.8465759419121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9084.12386715073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11148.0372479419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757.010322262561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929.00310399516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757.010322262561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929.00310399516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384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387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757.010322262561</v>
      </c>
      <c r="B128" s="321" t="n">
        <f aca="false">IF(A105="YES", B89, 0)</f>
        <v>0</v>
      </c>
      <c r="C128" s="326"/>
      <c r="D128" s="321" t="n">
        <f aca="false">B91</f>
        <v>757.010322262561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929.00310399516</v>
      </c>
      <c r="H130" s="177" t="n">
        <f aca="false">IF(G105="YES", H89*H57, 0)</f>
        <v>0</v>
      </c>
      <c r="I130" s="177"/>
      <c r="J130" s="334" t="n">
        <f aca="false">H91</f>
        <v>929.00310399516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6813.09290036305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929.00310399516</v>
      </c>
      <c r="H133" s="103" t="n">
        <f aca="false">IF(G105="YES", H89*H57, 0)</f>
        <v>0</v>
      </c>
      <c r="I133" s="221"/>
      <c r="J133" s="184" t="n">
        <f aca="false">H91*H57</f>
        <v>929.00310399516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6813.09290036305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0.144540048</v>
      </c>
      <c r="H136" s="103" t="n">
        <f aca="false">IF(G105="YES", E15*0.000002, 0)</f>
        <v>0.048180016</v>
      </c>
      <c r="I136" s="103"/>
      <c r="J136" s="103" t="n">
        <f aca="false">G136+H136</f>
        <v>0.192720064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757.010322262561</v>
      </c>
      <c r="B137" s="38" t="n">
        <f aca="false">IF(A105="YES", B89, 0)</f>
        <v>0</v>
      </c>
      <c r="C137" s="317"/>
      <c r="D137" s="38" t="n">
        <f aca="false">B91</f>
        <v>757.010322262561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119.22504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17.16840576</v>
      </c>
      <c r="B140" s="343" t="n">
        <f aca="false">G18*0.000002 *1.2*100</f>
        <v>5.72280192</v>
      </c>
      <c r="C140" s="317"/>
      <c r="D140" s="343" t="n">
        <f aca="false">A140+B140</f>
        <v>22.89120768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1339.21304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238.45008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738.44008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929.00310399516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757.010322262561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757.010322262561</v>
      </c>
      <c r="B171" s="355" t="n">
        <f aca="false">IF(A105="YES", B89, 0)</f>
        <v>0</v>
      </c>
      <c r="C171" s="358"/>
      <c r="D171" s="355" t="n">
        <f aca="false">B91</f>
        <v>757.010322262561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6813.09290036305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6813.09290036305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757.010322262561</v>
      </c>
      <c r="B180" s="103" t="n">
        <f aca="false">IF(A105="YES", B89, 0)</f>
        <v>0</v>
      </c>
      <c r="C180" s="353"/>
      <c r="D180" s="103" t="n">
        <f aca="false">B91</f>
        <v>757.010322262561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17.16840576</v>
      </c>
      <c r="B183" s="365" t="n">
        <f aca="false">G18*0.000002 *1.2*100</f>
        <v>5.72280192</v>
      </c>
      <c r="C183" s="353"/>
      <c r="D183" s="365" t="n">
        <f aca="false">A183+B183</f>
        <v>22.89120768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238.45008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738.44008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1669.15056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238.45008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1770.69048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1669.15056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238.45008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1770.69048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76.3066404840662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2023-12-14T15:20:57Z</dcterms:modified>
  <cp:revision>907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