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4"/>
  </bookViews>
  <sheets>
    <sheet name="CP(F2)-PCP_Used_car" sheetId="1" state="visible" r:id="rId2"/>
    <sheet name="CP(F2)-CP_Used_car" sheetId="2" state="visible" r:id="rId3"/>
    <sheet name="HPNR(F3)-PCP_Used_car" sheetId="3" state="visible" r:id="rId4"/>
    <sheet name="HPNR(F3)-CP_Used_car" sheetId="4" state="visible" r:id="rId5"/>
    <sheet name="HPNR(F3)-HPR_Used_car" sheetId="5" state="visible" r:id="rId6"/>
    <sheet name="HPNR(F3)-HPNR_Used_car" sheetId="6" state="visible" r:id="rId7"/>
    <sheet name="CP(F3)-PCH_Used_car" sheetId="7" state="visible" r:id="rId8"/>
    <sheet name="CP(F3)-BCH_Used_car" sheetId="8" state="visible" r:id="rId9"/>
    <sheet name="FL(F3)-FL_Used_car" sheetId="9" state="visible" r:id="rId10"/>
    <sheet name="FL(F3)-PCH_Used_car" sheetId="10" state="visible" r:id="rId11"/>
    <sheet name="FL(F3)-BCH_Used_car" sheetId="11" state="visible" r:id="rId12"/>
    <sheet name="HPNR (F3)-FL_Used_car" sheetId="12" state="visible" r:id="rId13"/>
    <sheet name="HPNR (F3)-PCH_Used_car" sheetId="13" state="visible" r:id="rId14"/>
    <sheet name="HPNR (F3)-BCH_Used_car" sheetId="14" state="visible" r:id="rId15"/>
    <sheet name="PCP_used_car" sheetId="15" state="visible" r:id="rId16"/>
    <sheet name="CP_used_car" sheetId="16" state="visible" r:id="rId17"/>
    <sheet name="HPR_used_car" sheetId="17" state="visible" r:id="rId18"/>
    <sheet name="HPNR_used_car" sheetId="18" state="visible" r:id="rId19"/>
    <sheet name="BCH-F3-PCH_Used_car" sheetId="19" state="visible" r:id="rId20"/>
    <sheet name="BCH-F3-BCH_Used_car" sheetId="20" state="visible" r:id="rId21"/>
    <sheet name="Formula1-FL_Used_car" sheetId="21" state="visible" r:id="rId22"/>
    <sheet name="Formula1-PCH_Used_car" sheetId="22" state="visible" r:id="rId23"/>
    <sheet name="CP (Formula 3) - PCH" sheetId="23" state="visible" r:id="rId24"/>
    <sheet name="CP (Formula 3) - BCH" sheetId="24" state="visible" r:id="rId25"/>
    <sheet name="CP (Formula 2) - CP" sheetId="25" state="visible" r:id="rId26"/>
    <sheet name="CP (Formula 2) - PCP" sheetId="26" state="visible" r:id="rId27"/>
    <sheet name="Formula1-BCH_Used_car" sheetId="27" state="visible" r:id="rId28"/>
    <sheet name="HPNR (Formula 3) - PCP" sheetId="28" state="visible" r:id="rId29"/>
    <sheet name="HPNR (Formula 3) - CP" sheetId="29" state="visible" r:id="rId30"/>
    <sheet name="HPNR (Formula 3) - HPR" sheetId="30" state="visible" r:id="rId31"/>
    <sheet name="HPNR (Formula 3) - FL" sheetId="31" state="visible" r:id="rId32"/>
    <sheet name="HPNR (Formula 3) - PCH" sheetId="32" state="visible" r:id="rId33"/>
    <sheet name="HPNR (Formula 3) - BCH" sheetId="33" state="visible" r:id="rId34"/>
    <sheet name="HPNR (Formula 3) - HPNR" sheetId="34" state="visible" r:id="rId35"/>
    <sheet name="FL (Formula 3) - FL" sheetId="35" state="visible" r:id="rId36"/>
    <sheet name="FL (Formula 3) - PCH" sheetId="36" state="visible" r:id="rId37"/>
    <sheet name="FL (Formula 3) - BCH" sheetId="37" state="visible" r:id="rId38"/>
    <sheet name="HirePurchaseNonRegulated" sheetId="38" state="visible" r:id="rId39"/>
    <sheet name="HirePurchaseRegulated" sheetId="39" state="visible" r:id="rId40"/>
    <sheet name="PersonalContractPurchase" sheetId="40" state="visible" r:id="rId41"/>
    <sheet name="ContractPurchase" sheetId="41" state="visible" r:id="rId42"/>
    <sheet name="Formula1-FL" sheetId="42" state="visible" r:id="rId43"/>
    <sheet name="Formula1-PCH" sheetId="43" state="visible" r:id="rId44"/>
    <sheet name="Formula1-BCH" sheetId="44" state="visible" r:id="rId45"/>
    <sheet name="FL (Formula 3) - BCH, PCH, FL" sheetId="45" state="visible" r:id="rId46"/>
    <sheet name="BCH (Formula 3) - PCH" sheetId="46" state="visible" r:id="rId47"/>
    <sheet name="BCH (Formula 3) - BCH" sheetId="47" state="visible" r:id="rId4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<sst xmlns="http://schemas.openxmlformats.org/spreadsheetml/2006/main" count="21535" uniqueCount="386">
  <si>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</si>
  <si>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</si>
  <si>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</si>
  <si>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</si>
  <si>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</si>
  <si>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</si>
  <si>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</si>
  <si>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</si>
  <si>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</si>
  <si>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</si>
  <si>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</si>
  <si>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</si>
  <si>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</si>
  <si>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</si>
  <si>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</si>
  <si>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</si>
  <si>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</si>
  <si>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</si>
  <si>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</si>
  <si>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</si>
  <si>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</si>
  <si>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</si>
  <si>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</si>
  <si>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</si>
  <si>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</si>
  <si>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</si>
  <si>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</si>
  <si>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</si>
  <si>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</si>
  <si>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</si>
  <si>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</si>
  <si>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</si>
  <si>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</si>
  <si>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</si>
  <si>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</si>
  <si>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</si>
  <si>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</si>
  <si>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</si>
  <si>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</si>
  <si>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</si>
  <si>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</si>
  <si>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</si>
  <si>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</si>
  <si>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</si>
  <si>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</si>
  <si>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</si>
  <si>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</si>
  <si>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</si>
  <si>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</si>
  <si>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</si>
  <si>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</si>
  <si>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</si>
  <si>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</si>
  <si>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</si>
  <si>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</si>
  <si>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</si>
  <si>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</si>
  <si>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</si>
  <si>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</si>
  <si>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</si>
  <si>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</si>
  <si>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</si>
  <si>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</si>
  <si>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</si>
  <si>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6000</t>
  </si>
  <si>
    <t xml:space="preserve">20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</si>
  <si>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</si>
  <si>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</si>
  <si>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</si>
  <si>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</si>
  <si>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</si>
  <si>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</si>
  <si>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</si>
  <si>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</si>
  <si>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</si>
  <si>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</si>
  <si>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</si>
  <si>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</si>
  <si>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</si>
  <si>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</si>
  <si>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</si>
  <si>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</si>
  <si>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364.17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</si>
  <si>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</si>
  <si>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</si>
  <si>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</si>
  <si>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</si>
  <si>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</si>
  <si>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</si>
  <si>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</si>
  <si>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</si>
  <si>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</si>
  <si>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</si>
  <si>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</si>
  <si>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</si>
  <si>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</si>
  <si>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</si>
  <si>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</si>
  <si>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</si>
  <si>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</si>
  <si>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</si>
  <si>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</si>
  <si>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</si>
  <si>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</si>
  <si>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</si>
  <si>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</si>
  <si>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</si>
  <si>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</si>
  <si>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</si>
  <si>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</si>
  <si>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</si>
  <si>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</si>
  <si>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</si>
  <si>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</si>
  <si>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</si>
  <si>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</si>
  <si>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</si>
  <si>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</si>
  <si>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</si>
  <si>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</si>
  <si>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</si>
  <si>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</si>
  <si>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</si>
  <si>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</si>
  <si>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</si>
  <si>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</si>
  <si>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</si>
  <si>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</si>
  <si>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</si>
  <si>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</si>
  <si>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</si>
  <si>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</si>
  <si>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</si>
  <si>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</si>
  <si>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</si>
  <si>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</si>
  <si>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</si>
  <si>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</si>
  <si>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</si>
  <si>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</si>
  <si>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</si>
  <si>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</si>
  <si>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</si>
  <si>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</si>
  <si>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</si>
  <si>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</si>
  <si>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</si>
  <si>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</si>
  <si>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</si>
  <si>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</si>
  <si>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</si>
  <si>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</si>
  <si>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</si>
  <si>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</si>
  <si>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</si>
  <si>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</si>
  <si>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</si>
  <si>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</si>
  <si>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</si>
  <si>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</si>
  <si>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</si>
  <si>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</si>
  <si>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</si>
  <si>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</si>
  <si>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</si>
  <si>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</si>
  <si>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</si>
  <si>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</si>
  <si>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</si>
  <si>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</si>
  <si>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</si>
  <si>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</si>
  <si>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</si>
  <si>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</si>
  <si>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</si>
  <si>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</si>
  <si>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</si>
  <si>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</si>
  <si>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</si>
  <si>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</si>
  <si>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</si>
  <si>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</si>
  <si>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</si>
  <si>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</si>
  <si>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</si>
  <si>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</si>
  <si>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</si>
  <si>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</si>
  <si>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</si>
  <si>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</si>
  <si>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</si>
  <si>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</si>
  <si>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</si>
  <si>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</si>
  <si>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</si>
  <si>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</si>
  <si>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</si>
  <si>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</si>
  <si>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</si>
  <si>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</si>
  <si>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</si>
  <si>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</si>
  <si>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</si>
  <si>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</si>
  <si>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</si>
  <si>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</si>
  <si>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</si>
  <si>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</si>
  <si>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</si>
  <si>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</si>
  <si>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</si>
  <si>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</si>
  <si>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</si>
  <si>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</si>
  <si>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</si>
  <si>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</si>
  <si>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</si>
  <si>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</si>
  <si>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</si>
  <si>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</si>
  <si>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</si>
  <si>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</si>
  <si>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</si>
  <si>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</si>
  <si>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</si>
  <si>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</si>
  <si>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</si>
  <si>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</si>
  <si>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</si>
  <si>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</si>
  <si>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</si>
  <si>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</si>
  <si>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</si>
  <si>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</si>
  <si>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</si>
  <si>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</si>
  <si>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</si>
  <si>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</si>
  <si>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</si>
  <si>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</si>
  <si>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</si>
  <si>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</si>
  <si>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</si>
  <si>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</si>
  <si>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</si>
  <si>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</si>
  <si>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</si>
  <si>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</si>
  <si>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</si>
  <si>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</si>
  <si>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</si>
  <si>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</si>
  <si>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</si>
  <si>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</si>
  <si>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</si>
  <si>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</si>
  <si>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</si>
  <si>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</si>
  <si>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</si>
  <si>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</si>
  <si>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</si>
  <si>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</si>
  <si>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</si>
  <si>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</si>
  <si>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</si>
  <si>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</si>
  <si>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</si>
  <si>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</si>
  <si>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</si>
  <si>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</si>
  <si>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</si>
  <si>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</si>
  <si>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</si>
  <si>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</si>
  <si>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</si>
  <si>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</si>
  <si>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</si>
  <si>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</si>
  <si>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</si>
  <si>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</si>
  <si>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</si>
  <si>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</si>
  <si>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</si>
  <si>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</si>
  <si>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</si>
  <si>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</si>
  <si>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</si>
  <si>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</si>
  <si>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</si>
  <si>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</si>
  <si>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</si>
  <si>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</si>
  <si>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</si>
  <si>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</si>
  <si>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</si>
  <si>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</si>
  <si>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</si>
  <si>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</si>
  <si>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</si>
  <si>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</si>
  <si>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</si>
  <si>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</si>
  <si>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</si>
  <si>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</si>
  <si>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</si>
  <si>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</si>
  <si>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</si>
  <si>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</si>
  <si>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</si>
  <si>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</si>
  <si>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</si>
  <si>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</si>
  <si>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</si>
  <si>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</si>
  <si>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</si>
  <si>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</si>
  <si>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</si>
  <si>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</si>
  <si>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</si>
  <si>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</si>
  <si>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</si>
  <si>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</si>
  <si>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</si>
  <si>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</si>
  <si>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</si>
  <si>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</si>
  <si>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</si>
  <si>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</si>
  <si>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</si>
  <si>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</si>
  <si>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</si>
  <si>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</si>
  <si>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</si>
  <si>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</si>
  <si>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</si>
  <si>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</si>
  <si>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</si>
  <si>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</si>
  <si>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</si>
  <si>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</si>
  <si>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</si>
  <si>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</si>
  <si>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</si>
  <si>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</si>
  <si>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</si>
  <si>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</si>
  <si>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</si>
  <si>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</si>
  <si>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</si>
  <si>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</si>
  <si>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</si>
  <si>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</si>
  <si>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</si>
  <si>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</si>
  <si>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</si>
  <si>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</si>
  <si>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</si>
  <si>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</si>
  <si>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</si>
  <si>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</si>
  <si>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</si>
  <si>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</si>
  <si>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</si>
  <si>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</si>
  <si>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</si>
  <si>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</si>
  <si>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</si>
  <si>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</si>
  <si>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</si>
  <si>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</si>
  <si>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</si>
  <si>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</si>
  <si>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</si>
  <si>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</si>
  <si>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</si>
  <si>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</si>
  <si>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470.00</t>
  </si>
  <si>
    <t xml:space="preserve">48877.50</t>
  </si>
  <si>
    <t xml:space="preserve">5.28</t>
  </si>
  <si>
    <t xml:space="preserve">RFL included?</t>
  </si>
  <si>
    <t>YES</t>
  </si>
  <si>
    <t>0</t>
  </si>
  <si>
    <t>100</t>
  </si>
  <si>
    <t>NO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</si>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</sst>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8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8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sharedStrings.xml" Type="http://schemas.openxmlformats.org/officeDocument/2006/relationships/sharedStrings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75" zoomScaleNormal="75" zoomScalePageLayoutView="100" workbookViewId="0">
      <selection pane="topLeft" activeCell="A38" activeCellId="1" sqref="A37 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72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78.5454545454545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1734.74197357815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78.5454545454545</v>
      </c>
      <c r="C176" s="171"/>
      <c r="D176" s="171"/>
      <c r="E176" s="174" t="n">
        <f aca="false">B105</f>
        <v>1734.74197357815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239.99</v>
      </c>
      <c r="C191" s="99"/>
      <c r="D191" s="23"/>
      <c r="E191" s="99" t="n">
        <f aca="false">E188+A191+B191+A194</f>
        <v>24468.1517093596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1734.74197357815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78.5454545454545</v>
      </c>
      <c r="C221" s="171"/>
      <c r="D221" s="171"/>
      <c r="E221" s="174" t="n">
        <f aca="false">E176</f>
        <v>1734.74197357815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239.99</v>
      </c>
      <c r="C233" s="99"/>
      <c r="D233" s="109"/>
      <c r="E233" s="99" t="n">
        <f aca="false">E191</f>
        <v>24468.1517093596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78.5454545454545</v>
      </c>
      <c r="C239" s="183"/>
      <c r="D239" s="183"/>
      <c r="E239" s="99" t="n">
        <f aca="false">E176</f>
        <v>1734.74197357815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0.0105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18206.1617093596</v>
      </c>
      <c r="C74" s="32"/>
      <c r="D74" s="32"/>
      <c r="E74" s="23"/>
      <c r="F74" s="23"/>
      <c r="G74" s="23"/>
      <c r="H74" s="33"/>
      <c r="J74" s="56" t="s">
        <v>93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93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93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96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108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108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108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5181.83177930431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16943.1682206957</v>
      </c>
      <c r="C97" s="32"/>
      <c r="D97" s="32"/>
      <c r="E97" s="23"/>
      <c r="F97" s="23"/>
      <c r="G97" s="23"/>
      <c r="H97" s="33"/>
      <c r="J97" s="31" t="s">
        <v>115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115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115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1656.1965190327</v>
      </c>
      <c r="C98" s="32"/>
      <c r="D98" s="32"/>
      <c r="E98" s="23"/>
      <c r="F98" s="23"/>
      <c r="G98" s="23"/>
      <c r="H98" s="33"/>
      <c r="J98" s="31" t="s">
        <v>116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116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116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18218.1617093596</v>
      </c>
      <c r="C99" s="32"/>
      <c r="D99" s="32"/>
      <c r="E99" s="23"/>
      <c r="F99" s="23"/>
      <c r="G99" s="23"/>
      <c r="H99" s="33"/>
      <c r="J99" s="31" t="s">
        <v>117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117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117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118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118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18218.1617093596</v>
      </c>
      <c r="C101" s="32"/>
      <c r="D101" s="32"/>
      <c r="E101" s="23"/>
      <c r="F101" s="23"/>
      <c r="G101" s="23"/>
      <c r="H101" s="33"/>
      <c r="J101" s="56" t="s">
        <v>119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119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119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1656.1965190327</v>
      </c>
      <c r="C104" s="32"/>
      <c r="D104" s="32"/>
      <c r="E104" s="23"/>
      <c r="F104" s="23"/>
      <c r="G104" s="23"/>
      <c r="H104" s="33"/>
      <c r="J104" s="91" t="s">
        <v>121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121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121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1656.1965190327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122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122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152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152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152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153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153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153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154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155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156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156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156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156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175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175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182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182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182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1656.1965190327</v>
      </c>
      <c r="B176" s="174" t="n">
        <f aca="false">B103</f>
        <v>0</v>
      </c>
      <c r="C176" s="171"/>
      <c r="D176" s="171"/>
      <c r="E176" s="174" t="n">
        <f aca="false">B105</f>
        <v>1656.1965190327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-5781.83829064035</v>
      </c>
      <c r="B191" s="99" t="str">
        <f aca="false">B123</f>
        <v>199.99</v>
      </c>
      <c r="C191" s="99"/>
      <c r="D191" s="23"/>
      <c r="E191" s="99" t="n">
        <f aca="false">E188+A191+B191+A194</f>
        <v>24428.1517093596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1656.1965190327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1656.1965190327</v>
      </c>
      <c r="B221" s="174" t="n">
        <f aca="false">B176</f>
        <v>0</v>
      </c>
      <c r="C221" s="171"/>
      <c r="D221" s="171"/>
      <c r="E221" s="174" t="n">
        <f aca="false">E176</f>
        <v>1656.1965190327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-5781.83829064035</v>
      </c>
      <c r="B233" s="99" t="str">
        <f aca="false">B191</f>
        <v>199.99</v>
      </c>
      <c r="C233" s="99"/>
      <c r="D233" s="109"/>
      <c r="E233" s="99" t="n">
        <f aca="false">E191</f>
        <v>24428.1517093596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1656.1965190327</v>
      </c>
      <c r="B239" s="99" t="n">
        <f aca="false">B176</f>
        <v>0</v>
      </c>
      <c r="C239" s="183"/>
      <c r="D239" s="183"/>
      <c r="E239" s="99" t="n">
        <f aca="false">E176</f>
        <v>1656.1965190327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0.1475</v>
      </c>
      <c r="C269" s="43"/>
      <c r="D269" s="163" t="s">
        <v>215</v>
      </c>
      <c r="E269" s="163"/>
      <c r="F269" s="143" t="n">
        <f aca="false">(B98*B68)-(C98*B68)</f>
        <v>18218.1617093596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0.005</v>
      </c>
      <c r="C270" s="32"/>
      <c r="D270" s="163" t="s">
        <v>221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1" sqref="A37 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21520.7919667607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4009.26178718784</v>
      </c>
      <c r="C86" s="130" t="n">
        <f aca="false">(B82/((1+B84)^(B85+1)))</f>
        <v>4009.26178718784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26.3248502148426</v>
      </c>
      <c r="C87" s="130" t="n">
        <f aca="false">((1-(1/((1+B84)^B85)))/B84)</f>
        <v>26.3248502148426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18115.7382128122</v>
      </c>
      <c r="C88" s="130" t="n">
        <f aca="false">B81-B86</f>
        <v>18115.7382128122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688.161112597635</v>
      </c>
      <c r="C89" s="130" t="n">
        <f aca="false">(B88/B87)</f>
        <v>688.161112597635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22021.1556031243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22021.1556031243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688.161112597635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688.161112597635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688.161112597635</v>
      </c>
      <c r="B167" s="174" t="str">
        <f aca="false">B94</f>
        <v>0</v>
      </c>
      <c r="C167" s="171"/>
      <c r="D167" s="171"/>
      <c r="E167" s="174" t="n">
        <f aca="false">B96</f>
        <v>688.161112597635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-1978.84439687567</v>
      </c>
      <c r="B182" s="99" t="str">
        <f aca="false">B114</f>
        <v>239.99</v>
      </c>
      <c r="C182" s="99"/>
      <c r="D182" s="23"/>
      <c r="E182" s="99" t="n">
        <f aca="false">E179+A182+B182+A185</f>
        <v>28271.1456031243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688.161112597635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688.161112597635</v>
      </c>
      <c r="B212" s="174" t="str">
        <f aca="false">B167</f>
        <v>0</v>
      </c>
      <c r="C212" s="171"/>
      <c r="D212" s="171"/>
      <c r="E212" s="174" t="n">
        <f aca="false">E167</f>
        <v>688.161112597635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-1978.84439687567</v>
      </c>
      <c r="B224" s="99" t="str">
        <f aca="false">B182</f>
        <v>239.99</v>
      </c>
      <c r="C224" s="99"/>
      <c r="D224" s="109"/>
      <c r="E224" s="99" t="n">
        <f aca="false">E182</f>
        <v>28271.1456031243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688.161112597635</v>
      </c>
      <c r="B230" s="99" t="str">
        <f aca="false">B167</f>
        <v>0</v>
      </c>
      <c r="C230" s="183"/>
      <c r="D230" s="183"/>
      <c r="E230" s="99" t="n">
        <f aca="false">E167</f>
        <v>688.161112597635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75" zoomScaleNormal="75" zoomScalePageLayoutView="100" workbookViewId="0">
      <selection pane="topLeft" activeCell="A117" activeCellId="1" sqref="A37 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75" zoomScaleNormal="75" zoomScalePageLayoutView="100" workbookViewId="0">
      <selection pane="topLeft" activeCell="A117" activeCellId="1" sqref="A37 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17031.8367972182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5433.96849626786</v>
      </c>
      <c r="C86" s="130" t="n">
        <f aca="false">(B82/((1+B84)^(B85+1)))</f>
        <v>5433.96849626786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10.4718562469129</v>
      </c>
      <c r="C87" s="130" t="n">
        <f aca="false">((1-(1/((1+B84)^B85)))/B84)</f>
        <v>10.4718562469129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16691.0315037321</v>
      </c>
      <c r="C88" s="130" t="n">
        <f aca="false">B81-B86</f>
        <v>16691.0315037321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1593.89425429256</v>
      </c>
      <c r="C89" s="130" t="n">
        <f aca="false">(B88/B87)</f>
        <v>1593.89425429256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17532.8367972182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17532.8367972182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1593.89425429256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1593.89425429256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269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1593.89425429256</v>
      </c>
      <c r="B167" s="174" t="str">
        <f aca="false">B94</f>
        <v>0</v>
      </c>
      <c r="C167" s="171"/>
      <c r="D167" s="171"/>
      <c r="E167" s="174" t="n">
        <f aca="false">B96</f>
        <v>1593.89425429256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-6467.16320278182</v>
      </c>
      <c r="B182" s="99" t="str">
        <f aca="false">B114</f>
        <v>199.99</v>
      </c>
      <c r="C182" s="99"/>
      <c r="D182" s="23"/>
      <c r="E182" s="99" t="n">
        <f aca="false">E179+A182+B182+A185</f>
        <v>23742.8267972182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199.99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66.6583333333334</v>
      </c>
      <c r="B191" s="99" t="n">
        <f aca="false">B188+E188+A191</f>
        <v>191.658333333333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1593.89425429256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1593.89425429256</v>
      </c>
      <c r="B212" s="174" t="str">
        <f aca="false">B167</f>
        <v>0</v>
      </c>
      <c r="C212" s="171"/>
      <c r="D212" s="171"/>
      <c r="E212" s="174" t="n">
        <f aca="false">E167</f>
        <v>1593.89425429256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-6467.16320278182</v>
      </c>
      <c r="B224" s="99" t="str">
        <f aca="false">B182</f>
        <v>199.99</v>
      </c>
      <c r="C224" s="99"/>
      <c r="D224" s="109"/>
      <c r="E224" s="99" t="n">
        <f aca="false">E182</f>
        <v>23742.8267972182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199.99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1593.89425429256</v>
      </c>
      <c r="B230" s="99" t="str">
        <f aca="false">B167</f>
        <v>0</v>
      </c>
      <c r="C230" s="183"/>
      <c r="D230" s="183"/>
      <c r="E230" s="99" t="n">
        <f aca="false">E167</f>
        <v>1593.89425429256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66.6583333333334</v>
      </c>
      <c r="B243" s="99" t="n">
        <f aca="false">B240+E240+A243+A240</f>
        <v>2066.65833333333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66.6583333333334</v>
      </c>
      <c r="C255" s="194"/>
      <c r="D255" s="195" t="s">
        <v>218</v>
      </c>
      <c r="E255" s="195"/>
      <c r="F255" s="196" t="n">
        <f aca="false">(B254-F254)+B255</f>
        <v>-83.3416666666667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66.6583333333334</v>
      </c>
      <c r="C263" s="32"/>
      <c r="D263" s="39" t="s">
        <v>218</v>
      </c>
      <c r="E263" s="39"/>
      <c r="F263" s="143" t="n">
        <f aca="false">(B254-F254)+B255</f>
        <v>-83.3416666666667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75" zoomScaleNormal="75" zoomScalePageLayoutView="100" workbookViewId="0">
      <selection pane="topLeft" activeCell="B81" activeCellId="1" sqref="A37 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n">
        <v>0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17717.1617093596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16943.1682206957</v>
      </c>
      <c r="C88" s="130" t="n">
        <f aca="false">B81-B86</f>
        <v>16943.1682206957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1656.1965190327</v>
      </c>
      <c r="C89" s="130" t="n">
        <f aca="false">(B88/B87)</f>
        <v>1656.1965190327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18218.1617093596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18218.1617093596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1656.1965190327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1656.1965190327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263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1656.1965190327</v>
      </c>
      <c r="B167" s="174" t="str">
        <f aca="false">B94</f>
        <v>0</v>
      </c>
      <c r="C167" s="171"/>
      <c r="D167" s="171"/>
      <c r="E167" s="174" t="n">
        <f aca="false">B96</f>
        <v>1656.1965190327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-5781.83829064035</v>
      </c>
      <c r="B182" s="99" t="str">
        <f aca="false">B114</f>
        <v>199.99</v>
      </c>
      <c r="C182" s="99"/>
      <c r="D182" s="23"/>
      <c r="E182" s="99" t="n">
        <f aca="false">E179+A182+B182+A185</f>
        <v>24428.1517093596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1656.1965190327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1656.1965190327</v>
      </c>
      <c r="B212" s="174" t="str">
        <f aca="false">B167</f>
        <v>0</v>
      </c>
      <c r="C212" s="171"/>
      <c r="D212" s="171"/>
      <c r="E212" s="174" t="n">
        <f aca="false">E167</f>
        <v>1656.1965190327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-5781.83829064035</v>
      </c>
      <c r="B224" s="99" t="str">
        <f aca="false">B182</f>
        <v>199.99</v>
      </c>
      <c r="C224" s="99"/>
      <c r="D224" s="109"/>
      <c r="E224" s="99" t="n">
        <f aca="false">E182</f>
        <v>24428.1517093596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1656.1965190327</v>
      </c>
      <c r="B230" s="99" t="str">
        <f aca="false">B167</f>
        <v>0</v>
      </c>
      <c r="C230" s="183"/>
      <c r="D230" s="183"/>
      <c r="E230" s="99" t="n">
        <f aca="false">E167</f>
        <v>1656.1965190327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0.1475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1" sqref="A37 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247.916666666667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250.583333333333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1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11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7836.836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3892.15856151674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324.346546793062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402.346546793062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131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n">
        <v>200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11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11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324.346546793062</v>
      </c>
      <c r="B134" s="338" t="n">
        <f aca="false">IF(A111="YES", B95, 0)</f>
        <v>78</v>
      </c>
      <c r="C134" s="342"/>
      <c r="D134" s="338" t="n">
        <f aca="false">B97</f>
        <v>402.346546793062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324.346546793062</v>
      </c>
      <c r="C137" s="280"/>
      <c r="D137" s="38" t="n">
        <f aca="false">IF(A111="YES", B95*B63, 0)</f>
        <v>78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402.346546793062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324.346546793062</v>
      </c>
      <c r="B143" s="38" t="n">
        <f aca="false">IF(A111="YES", B95, 0)</f>
        <v>78</v>
      </c>
      <c r="C143" s="280"/>
      <c r="D143" s="38" t="n">
        <f aca="false">B97</f>
        <v>402.346546793062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402.346546793062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324.346546793062</v>
      </c>
      <c r="B177" s="367" t="n">
        <f aca="false">IF(A111="YES", B95, 0)</f>
        <v>78</v>
      </c>
      <c r="C177" s="369"/>
      <c r="D177" s="367" t="n">
        <f aca="false">A177+B177</f>
        <v>402.346546793062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324.346546793062</v>
      </c>
      <c r="C180" s="282"/>
      <c r="D180" s="99" t="n">
        <f aca="false">IF(A111="YES", B95*B63, 0)</f>
        <v>78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402.346546793062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324.346546793062</v>
      </c>
      <c r="B186" s="99" t="n">
        <f aca="false">IF(A111="YES", B95, 0)</f>
        <v>78</v>
      </c>
      <c r="C186" s="282"/>
      <c r="D186" s="99" t="n">
        <f aca="false">B97</f>
        <v>402.346546793062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2764.23166666667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2764.23166666667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1" sqref="A37 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265"/>
      <c r="I8" s="13" t="s">
        <v>3</v>
      </c>
      <c r="J8" s="14" t="n">
        <f aca="false">E13+E14</f>
        <v>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265"/>
      <c r="I10" s="16" t="s">
        <v>1</v>
      </c>
      <c r="J10" s="14" t="n">
        <f aca="false">E15-E11-J8</f>
        <v>0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90" t="n">
        <f aca="false">A35-B35</f>
        <v>-1000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C15</f>
        <v>4625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302.083333333333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197.916666666667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200.583333333333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200.583333333333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80"/>
      <c r="D67" s="280"/>
      <c r="E67" s="283"/>
      <c r="F67" s="265"/>
      <c r="G67" s="281" t="s">
        <v>14</v>
      </c>
      <c r="H67" s="32" t="n">
        <f aca="false">G18</f>
        <v>37404</v>
      </c>
      <c r="I67" s="280"/>
      <c r="J67" s="280"/>
      <c r="K67" s="283"/>
      <c r="L67" s="265"/>
      <c r="M67" s="281" t="s">
        <v>14</v>
      </c>
      <c r="N67" s="32" t="n">
        <f aca="false">G18</f>
        <v>37404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310" t="s">
        <v>93</v>
      </c>
      <c r="B70" s="129" t="n">
        <f aca="false">B67*B69</f>
        <v>2618.28</v>
      </c>
      <c r="C70" s="280" t="n">
        <v>10000</v>
      </c>
      <c r="D70" s="32" t="n">
        <f aca="false">B70-A149</f>
        <v>2618.28</v>
      </c>
      <c r="E70" s="283" t="n">
        <f aca="false">D70/12</f>
        <v>218.19</v>
      </c>
      <c r="F70" s="265"/>
      <c r="G70" s="298" t="s">
        <v>93</v>
      </c>
      <c r="H70" s="65" t="n">
        <f aca="false">H67*H69</f>
        <v>2618.28</v>
      </c>
      <c r="I70" s="280"/>
      <c r="J70" s="32" t="n">
        <f aca="false">H70-G151</f>
        <v>2618.28</v>
      </c>
      <c r="K70" s="283"/>
      <c r="L70" s="265"/>
      <c r="M70" s="298" t="s">
        <v>93</v>
      </c>
      <c r="N70" s="65" t="n">
        <f aca="false">N67*N69</f>
        <v>2618.28</v>
      </c>
      <c r="O70" s="280"/>
      <c r="P70" s="32" t="n">
        <f aca="false">N70-M151</f>
        <v>2618.28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4" t="s">
        <v>94</v>
      </c>
      <c r="B71" s="305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80"/>
      <c r="D73" s="32"/>
      <c r="E73" s="283"/>
      <c r="F73" s="265"/>
      <c r="G73" s="298" t="s">
        <v>96</v>
      </c>
      <c r="H73" s="65" t="n">
        <f aca="false">H67*H72</f>
        <v>187.02</v>
      </c>
      <c r="I73" s="280"/>
      <c r="J73" s="32"/>
      <c r="K73" s="283"/>
      <c r="L73" s="265"/>
      <c r="M73" s="298" t="s">
        <v>96</v>
      </c>
      <c r="N73" s="65" t="n">
        <f aca="false">N67*N72</f>
        <v>187.02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838.75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0</v>
      </c>
      <c r="C81" s="280"/>
      <c r="D81" s="280"/>
      <c r="E81" s="283" t="n">
        <f aca="false">E80/12</f>
        <v>69.8958333333333</v>
      </c>
      <c r="F81" s="265"/>
      <c r="G81" s="311" t="s">
        <v>279</v>
      </c>
      <c r="H81" s="77" t="n">
        <f aca="false">IF(G18&gt;40000, 325, 0)</f>
        <v>0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((B80+B81)/12)*(H29+1)</f>
        <v>178.75</v>
      </c>
      <c r="C82" s="280"/>
      <c r="D82" s="32" t="n">
        <f aca="false">IF(A50="YES", 0, B82)</f>
        <v>178.75</v>
      </c>
      <c r="E82" s="283"/>
      <c r="F82" s="265"/>
      <c r="G82" s="298" t="s">
        <v>280</v>
      </c>
      <c r="H82" s="65" t="n">
        <f aca="false">((H80+H81)/12)*(H29-11)</f>
        <v>12.5</v>
      </c>
      <c r="I82" s="280"/>
      <c r="J82" s="32" t="n">
        <f aca="false">IF(A50="YES", 0, H82)</f>
        <v>12.5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4123.69666666667</v>
      </c>
      <c r="C87" s="280"/>
      <c r="D87" s="280"/>
      <c r="E87" s="283"/>
      <c r="F87" s="265"/>
      <c r="G87" s="322" t="s">
        <v>105</v>
      </c>
      <c r="H87" s="323" t="n">
        <f aca="false">SUM(J70:J86)</f>
        <v>5744.78</v>
      </c>
      <c r="I87" s="280"/>
      <c r="J87" s="280"/>
      <c r="K87" s="283"/>
      <c r="L87" s="265"/>
      <c r="M87" s="322" t="s">
        <v>105</v>
      </c>
      <c r="N87" s="323" t="n">
        <f aca="false">SUM(P70:P86)</f>
        <v>5732.28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343.641388888889</v>
      </c>
      <c r="C88" s="280"/>
      <c r="D88" s="280"/>
      <c r="E88" s="283"/>
      <c r="F88" s="265"/>
      <c r="G88" s="281" t="s">
        <v>106</v>
      </c>
      <c r="H88" s="33" t="n">
        <f aca="false">H87/H29</f>
        <v>478.731666666667</v>
      </c>
      <c r="I88" s="280"/>
      <c r="J88" s="280"/>
      <c r="K88" s="283"/>
      <c r="L88" s="265"/>
      <c r="M88" s="281" t="s">
        <v>106</v>
      </c>
      <c r="N88" s="33" t="n">
        <f aca="false">N87/H29</f>
        <v>477.69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200.583333333333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6530.69666666667</v>
      </c>
      <c r="C91" s="280"/>
      <c r="D91" s="280"/>
      <c r="E91" s="283"/>
      <c r="F91" s="265"/>
      <c r="G91" s="301" t="s">
        <v>117</v>
      </c>
      <c r="H91" s="27" t="n">
        <f aca="false">((H89*H29)+H87)*1.2</f>
        <v>6893.736</v>
      </c>
      <c r="I91" s="280"/>
      <c r="J91" s="280"/>
      <c r="K91" s="283"/>
      <c r="L91" s="265"/>
      <c r="M91" s="301" t="s">
        <v>117</v>
      </c>
      <c r="N91" s="27" t="n">
        <f aca="false">((N89*H29)+N87)</f>
        <v>5732.28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55.3225615167406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48.6649374747882</v>
      </c>
      <c r="I92" s="280"/>
      <c r="J92" s="280"/>
      <c r="K92" s="283"/>
      <c r="L92" s="265"/>
      <c r="M92" s="281" t="s">
        <v>118</v>
      </c>
      <c r="N92" s="33" t="n">
        <f aca="false">(N91/(1-N76))*N76</f>
        <v>48.5590480032271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2586.01922818341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8942.40093747479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7780.83904800323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215.501602348617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215.501602348617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215.501602348617</v>
      </c>
      <c r="B134" s="338" t="n">
        <f aca="false">IF(A111="YES", B95, 0)</f>
        <v>0</v>
      </c>
      <c r="C134" s="394"/>
      <c r="D134" s="338" t="n">
        <f aca="false">B97</f>
        <v>215.501602348617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1939.51442113756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1939.51442113756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265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215.501602348617</v>
      </c>
      <c r="B143" s="38" t="n">
        <f aca="false">IF(A111="YES", B95, 0)</f>
        <v>0</v>
      </c>
      <c r="C143" s="280"/>
      <c r="D143" s="38" t="n">
        <f aca="false">B97</f>
        <v>215.501602348617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4625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215.501602348617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215.501602348617</v>
      </c>
      <c r="B177" s="367" t="n">
        <f aca="false">IF(A111="YES", B95, 0)</f>
        <v>0</v>
      </c>
      <c r="C177" s="395"/>
      <c r="D177" s="367" t="n">
        <f aca="false">B91</f>
        <v>6530.69666666667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1939.51442113756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1939.51442113756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215.501602348617</v>
      </c>
      <c r="B186" s="99" t="n">
        <f aca="false">IF(A111="YES", B95, 0)</f>
        <v>0</v>
      </c>
      <c r="C186" s="282"/>
      <c r="D186" s="99" t="n">
        <f aca="false">B97</f>
        <v>215.501602348617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2618.28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2584.23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2618.28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2584.23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55.3225615167406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1" sqref="A37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390.622899018421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468.622899018422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390.622899018421</v>
      </c>
      <c r="B134" s="338" t="n">
        <f aca="false">IF(A111="YES", B95, 0)</f>
        <v>78</v>
      </c>
      <c r="C134" s="394"/>
      <c r="D134" s="338" t="n">
        <f aca="false">B97</f>
        <v>468.622899018422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3515.60609116579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4217.60609116579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390.622899018421</v>
      </c>
      <c r="B143" s="38" t="n">
        <f aca="false">IF(A111="YES", B95, 0)</f>
        <v>78</v>
      </c>
      <c r="C143" s="280"/>
      <c r="D143" s="38" t="n">
        <f aca="false">B97</f>
        <v>468.622899018422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495.63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468.622899018422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390.622899018421</v>
      </c>
      <c r="B177" s="367" t="n">
        <f aca="false">IF(A111="YES", B95, 0)</f>
        <v>78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3515.60609116579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4217.60609116579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390.622899018421</v>
      </c>
      <c r="B186" s="99" t="n">
        <f aca="false">IF(A111="YES", B95, 0)</f>
        <v>78</v>
      </c>
      <c r="C186" s="282"/>
      <c r="D186" s="99" t="n">
        <f aca="false">B97</f>
        <v>468.622899018422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495.63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315.99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1884.45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1884.45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1" sqref="A37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3832.5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319.375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11813.4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83.3943122226704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7896.79431222267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658.066192685223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736.066192685223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658.066192685223</v>
      </c>
      <c r="B134" s="338" t="n">
        <f aca="false">IF(A111="YES", B95, 0)</f>
        <v>78</v>
      </c>
      <c r="C134" s="394"/>
      <c r="D134" s="338" t="n">
        <f aca="false">B97</f>
        <v>736.066192685223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5922.595734167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6624.595734167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658.066192685223</v>
      </c>
      <c r="B143" s="38" t="n">
        <f aca="false">IF(A111="YES", B95, 0)</f>
        <v>78</v>
      </c>
      <c r="C143" s="280"/>
      <c r="D143" s="38" t="n">
        <f aca="false">B97</f>
        <v>736.066192685223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736.066192685223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658.066192685223</v>
      </c>
      <c r="B177" s="367" t="n">
        <f aca="false">IF(A111="YES", B95, 0)</f>
        <v>78</v>
      </c>
      <c r="C177" s="395"/>
      <c r="D177" s="367" t="n">
        <f aca="false">B97</f>
        <v>736.066192685223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5922.595734167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6624.595734167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658.066192685223</v>
      </c>
      <c r="B186" s="99" t="n">
        <f aca="false">IF(A111="YES", B95, 0)</f>
        <v>78</v>
      </c>
      <c r="C186" s="282"/>
      <c r="D186" s="99" t="n">
        <f aca="false">B97</f>
        <v>736.066192685223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519.991666666667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2088.45166666667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2088.45166666667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83.3943122226704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1" sqref="A37 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1223.33333333333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101.944444444444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563.333333333333</v>
      </c>
      <c r="C82" s="211"/>
      <c r="D82" s="277" t="n">
        <f aca="false">IF(A50="YES", 0, B82)</f>
        <v>563.333333333333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3165.83333333333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263.819444444445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9177.83333333333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77.7468737394111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5255.58020707274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437.965017256062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502.965017256062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437.965017256062</v>
      </c>
      <c r="B134" s="338" t="n">
        <f aca="false">IF(A111="YES", B95, 0)</f>
        <v>65</v>
      </c>
      <c r="C134" s="394"/>
      <c r="D134" s="338" t="n">
        <f aca="false">B97</f>
        <v>502.965017256062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3941.68515530456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4526.68515530456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437.965017256062</v>
      </c>
      <c r="B143" s="38" t="n">
        <f aca="false">IF(A111="YES", B95, 0)</f>
        <v>65</v>
      </c>
      <c r="C143" s="280"/>
      <c r="D143" s="38" t="n">
        <f aca="false">B97</f>
        <v>502.965017256062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492.03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502.965017256062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437.965017256062</v>
      </c>
      <c r="B177" s="367" t="n">
        <f aca="false">IF(A111="YES", B95, 0)</f>
        <v>65</v>
      </c>
      <c r="C177" s="395"/>
      <c r="D177" s="367" t="n">
        <f aca="false">B91</f>
        <v>9177.83333333333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3941.68515530456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4526.68515530456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437.965017256062</v>
      </c>
      <c r="B186" s="99" t="n">
        <f aca="false">IF(A111="YES", B95, 0)</f>
        <v>65</v>
      </c>
      <c r="C186" s="282"/>
      <c r="D186" s="99" t="n">
        <f aca="false">B97</f>
        <v>502.965017256062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492.03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279.99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1848.45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1848.45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77.7468737394111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1" sqref="A37 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2602.5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216.875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8614.5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72.9747882210569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8687.47478822106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723.956232351755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723.956232351755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723.956232351755</v>
      </c>
      <c r="B134" s="338" t="n">
        <f aca="false">IF(A111="YES", B95, 0)</f>
        <v>0</v>
      </c>
      <c r="C134" s="394"/>
      <c r="D134" s="338" t="n">
        <f aca="false">B97</f>
        <v>723.956232351755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723.956232351755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723.956232351755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723.956232351755</v>
      </c>
      <c r="B143" s="38" t="n">
        <f aca="false">IF(A111="YES", B95, 0)</f>
        <v>0</v>
      </c>
      <c r="C143" s="280"/>
      <c r="D143" s="38" t="n">
        <f aca="false">B97</f>
        <v>723.956232351755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723.956232351755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723.956232351755</v>
      </c>
      <c r="B177" s="367" t="n">
        <f aca="false">IF(A111="YES", B95, 0)</f>
        <v>0</v>
      </c>
      <c r="C177" s="395"/>
      <c r="D177" s="367" t="n">
        <f aca="false">B91</f>
        <v>8614.5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723.956232351755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723.956232351755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723.956232351755</v>
      </c>
      <c r="B186" s="99" t="n">
        <f aca="false">IF(A111="YES", B95, 0)</f>
        <v>0</v>
      </c>
      <c r="C186" s="282"/>
      <c r="D186" s="99" t="n">
        <f aca="false">B97</f>
        <v>723.956232351755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72.9747882210569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1" sqref="A37 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30.35</v>
      </c>
      <c r="E32" s="222"/>
      <c r="F32" s="63"/>
      <c r="G32" s="223" t="s">
        <v>241</v>
      </c>
      <c r="H32" s="221" t="str">
        <f aca="false">A41</f>
        <v>30.35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530.35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345</v>
      </c>
      <c r="B41" s="237" t="n">
        <f aca="false">IF(B38="YES", D38+A41, D38)</f>
        <v>530.35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30.35</v>
      </c>
      <c r="I44" s="292" t="n">
        <f aca="false">((A41*(B35-1))+D32)/B35</f>
        <v>30.35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531.35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531.35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3447.91666666667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287.326388888889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11351.9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80.1364461476402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7432.03644614764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47.346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619.336370512303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666.682370512303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131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619.336370512303</v>
      </c>
      <c r="B134" s="338" t="n">
        <f aca="false">IF(A111="YES", B95, 0)</f>
        <v>47.346</v>
      </c>
      <c r="C134" s="394"/>
      <c r="D134" s="338" t="n">
        <f aca="false">B97</f>
        <v>666.682370512303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Monthly in advance </v>
      </c>
      <c r="B137" s="38" t="n">
        <f aca="false">B96*B63</f>
        <v>619.336370512303</v>
      </c>
      <c r="C137" s="280"/>
      <c r="D137" s="38" t="n">
        <f aca="false">IF(A111="YES", B95*B63, 0)</f>
        <v>47.346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666.682370512303</v>
      </c>
      <c r="B140" s="38" t="n">
        <f aca="false">E120</f>
        <v>4000</v>
      </c>
      <c r="C140" s="280"/>
      <c r="D140" s="352" t="n">
        <f aca="false">B64</f>
        <v>11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619.336370512303</v>
      </c>
      <c r="B143" s="38" t="n">
        <f aca="false">IF(A111="YES", B95, 0)</f>
        <v>47.346</v>
      </c>
      <c r="C143" s="280"/>
      <c r="D143" s="38" t="n">
        <f aca="false">B97</f>
        <v>666.682370512303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7.284</v>
      </c>
      <c r="H148" s="99" t="n">
        <f aca="false">G108-100</f>
        <v>139.988</v>
      </c>
      <c r="I148" s="99"/>
      <c r="J148" s="99" t="n">
        <f aca="false">(H145+J145+G148+H148)-H151</f>
        <v>1383.122</v>
      </c>
      <c r="K148" s="101"/>
      <c r="L148" s="63"/>
      <c r="M148" s="107" t="n">
        <f aca="false">IF(M111="YES", ((A41*N111)*0.1)*(M133), 0)</f>
        <v>7.284</v>
      </c>
      <c r="N148" s="99" t="n">
        <f aca="false">M108-100</f>
        <v>99.99</v>
      </c>
      <c r="O148" s="99"/>
      <c r="P148" s="99" t="n">
        <f aca="false">(N145+P145+M148+N148)-N151</f>
        <v>1343.124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10.926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884.957666666667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666.682370512303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619.336370512303</v>
      </c>
      <c r="B177" s="367" t="n">
        <f aca="false">IF(A111="YES", B95, 0)</f>
        <v>47.346</v>
      </c>
      <c r="C177" s="395"/>
      <c r="D177" s="367" t="n">
        <f aca="false">B91</f>
        <v>11351.9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Monthly in advance </v>
      </c>
      <c r="B180" s="99" t="n">
        <f aca="false">B96*B63</f>
        <v>619.336370512303</v>
      </c>
      <c r="C180" s="282"/>
      <c r="D180" s="99" t="n">
        <f aca="false">IF(A111="YES", B95*B63, 0)</f>
        <v>47.346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666.682370512303</v>
      </c>
      <c r="B183" s="99" t="n">
        <f aca="false">E120</f>
        <v>4000</v>
      </c>
      <c r="C183" s="282"/>
      <c r="D183" s="371" t="n">
        <f aca="false">B64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619.336370512303</v>
      </c>
      <c r="B186" s="99" t="n">
        <f aca="false">IF(A111="YES", B95, 0)</f>
        <v>47.346</v>
      </c>
      <c r="C186" s="282"/>
      <c r="D186" s="99" t="n">
        <f aca="false">B97</f>
        <v>666.682370512303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10.926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884.957666666667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449.251666666667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2017.71166666667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2017.71166666667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109.26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80.1364461476402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1" sqref="A37 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7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275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v>37404</v>
      </c>
      <c r="C67" s="211"/>
      <c r="D67" s="211"/>
      <c r="E67" s="212"/>
      <c r="F67" s="63"/>
      <c r="G67" s="210" t="s">
        <v>14</v>
      </c>
      <c r="H67" s="277" t="n">
        <f aca="false">G18</f>
        <v>37404</v>
      </c>
      <c r="I67" s="211"/>
      <c r="J67" s="211"/>
      <c r="K67" s="212"/>
      <c r="L67" s="63"/>
      <c r="M67" s="210" t="s">
        <v>14</v>
      </c>
      <c r="N67" s="277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B66*B69</f>
        <v>1942.5</v>
      </c>
      <c r="C70" s="211" t="n">
        <v>10000</v>
      </c>
      <c r="D70" s="277" t="n">
        <f aca="false">B70-A149</f>
        <v>1942.5</v>
      </c>
      <c r="E70" s="212" t="n">
        <f aca="false">D70/12</f>
        <v>161.875</v>
      </c>
      <c r="F70" s="63"/>
      <c r="G70" s="310" t="s">
        <v>93</v>
      </c>
      <c r="H70" s="129" t="n">
        <f aca="false">H67*H69</f>
        <v>2618.28</v>
      </c>
      <c r="I70" s="211"/>
      <c r="J70" s="277" t="n">
        <f aca="false">H70-G151</f>
        <v>2618.28</v>
      </c>
      <c r="K70" s="212"/>
      <c r="L70" s="63"/>
      <c r="M70" s="310" t="s">
        <v>93</v>
      </c>
      <c r="N70" s="129" t="n">
        <f aca="false">N67*N69</f>
        <v>2618.28</v>
      </c>
      <c r="O70" s="211"/>
      <c r="P70" s="277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374.04</v>
      </c>
      <c r="C73" s="211"/>
      <c r="D73" s="277"/>
      <c r="E73" s="212"/>
      <c r="F73" s="63"/>
      <c r="G73" s="310" t="s">
        <v>96</v>
      </c>
      <c r="H73" s="129" t="n">
        <f aca="false">H67*H72</f>
        <v>187.02</v>
      </c>
      <c r="I73" s="211"/>
      <c r="J73" s="277"/>
      <c r="K73" s="212"/>
      <c r="L73" s="63"/>
      <c r="M73" s="310" t="s">
        <v>96</v>
      </c>
      <c r="N73" s="129" t="n">
        <f aca="false">N67*N72</f>
        <v>187.02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838.75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69.8958333333333</v>
      </c>
      <c r="F81" s="63"/>
      <c r="G81" s="407" t="s">
        <v>279</v>
      </c>
      <c r="H81" s="411" t="n">
        <f aca="false">IF(G18&gt;40000, 325, 0)</f>
        <v>0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((B80+B81)/12)*(H29+1)</f>
        <v>178.75</v>
      </c>
      <c r="C82" s="211"/>
      <c r="D82" s="277" t="n">
        <f aca="false">IF(A50="YES", 0, B82)</f>
        <v>178.75</v>
      </c>
      <c r="E82" s="212"/>
      <c r="F82" s="63"/>
      <c r="G82" s="310" t="s">
        <v>280</v>
      </c>
      <c r="H82" s="129" t="n">
        <f aca="false">((H80+H81)/12)*(H29-11)</f>
        <v>12.5</v>
      </c>
      <c r="I82" s="211"/>
      <c r="J82" s="277" t="n">
        <f aca="false">IF(A50="YES", 0, H82)</f>
        <v>12.5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2781.25</v>
      </c>
      <c r="C87" s="211"/>
      <c r="D87" s="211"/>
      <c r="E87" s="212"/>
      <c r="F87" s="63"/>
      <c r="G87" s="422" t="s">
        <v>105</v>
      </c>
      <c r="H87" s="423" t="n">
        <f aca="false">SUM(J70:J86)</f>
        <v>5744.78</v>
      </c>
      <c r="I87" s="211"/>
      <c r="J87" s="211"/>
      <c r="K87" s="212"/>
      <c r="L87" s="63"/>
      <c r="M87" s="422" t="s">
        <v>105</v>
      </c>
      <c r="N87" s="42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231.770833333333</v>
      </c>
      <c r="C88" s="211"/>
      <c r="D88" s="211"/>
      <c r="E88" s="212"/>
      <c r="F88" s="63"/>
      <c r="G88" s="210" t="s">
        <v>106</v>
      </c>
      <c r="H88" s="419" t="n">
        <f aca="false">H87/H29</f>
        <v>478.731666666667</v>
      </c>
      <c r="I88" s="211"/>
      <c r="J88" s="211"/>
      <c r="K88" s="212"/>
      <c r="L88" s="63"/>
      <c r="M88" s="210" t="s">
        <v>106</v>
      </c>
      <c r="N88" s="41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8793.25</v>
      </c>
      <c r="C91" s="211"/>
      <c r="D91" s="211"/>
      <c r="E91" s="212"/>
      <c r="F91" s="63"/>
      <c r="G91" s="404" t="s">
        <v>117</v>
      </c>
      <c r="H91" s="127" t="n">
        <f aca="false">((H89*H29)+H87)*1.2</f>
        <v>14108.136</v>
      </c>
      <c r="I91" s="211"/>
      <c r="J91" s="211"/>
      <c r="K91" s="212"/>
      <c r="L91" s="63"/>
      <c r="M91" s="404" t="s">
        <v>117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74.4890076643808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99.5935377168213</v>
      </c>
      <c r="I92" s="211"/>
      <c r="J92" s="211"/>
      <c r="K92" s="212"/>
      <c r="L92" s="63"/>
      <c r="M92" s="210" t="s">
        <v>118</v>
      </c>
      <c r="N92" s="41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4867.73900766438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405.644917305365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405.644917305365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405.644917305365</v>
      </c>
      <c r="B134" s="338" t="n">
        <f aca="false">IF(A111="YES", B95, 0)</f>
        <v>0</v>
      </c>
      <c r="C134" s="394"/>
      <c r="D134" s="338" t="n">
        <f aca="false">B97</f>
        <v>405.644917305365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3650.80425574829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3650.80425574829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405.644917305365</v>
      </c>
      <c r="B143" s="38" t="n">
        <f aca="false">IF(A111="YES", B95, 0)</f>
        <v>0</v>
      </c>
      <c r="C143" s="280"/>
      <c r="D143" s="38" t="n">
        <f aca="false">B97</f>
        <v>405.644917305365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26.93088</v>
      </c>
      <c r="B146" s="358" t="n">
        <f aca="false">G18*0.000002 *1.2*100</f>
        <v>8.97696</v>
      </c>
      <c r="C146" s="280"/>
      <c r="D146" s="358" t="n">
        <f aca="false">A146+B146</f>
        <v>35.90784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405.644917305365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405.644917305365</v>
      </c>
      <c r="B177" s="367" t="n">
        <f aca="false">IF(A111="YES", B95, 0)</f>
        <v>0</v>
      </c>
      <c r="C177" s="395"/>
      <c r="D177" s="367" t="n">
        <f aca="false">B91</f>
        <v>8793.25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3650.80425574829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3650.80425574829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405.644917305365</v>
      </c>
      <c r="B186" s="99" t="n">
        <f aca="false">IF(A111="YES", B95, 0)</f>
        <v>0</v>
      </c>
      <c r="C186" s="282"/>
      <c r="D186" s="99" t="n">
        <f aca="false">B97</f>
        <v>405.644917305365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26.93088</v>
      </c>
      <c r="B189" s="375" t="n">
        <f aca="false">G18*0.000002 *1.2*100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1942.5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1668.45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1942.5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0</v>
      </c>
      <c r="C223" s="351" t="s">
        <v>218</v>
      </c>
      <c r="D223" s="280"/>
      <c r="E223" s="33" t="n">
        <f aca="false">(B217-B211+D211)</f>
        <v>1668.45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74.4890076643808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1" sqref="A37 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475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2035.18797553986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1995.60464220652</v>
      </c>
      <c r="B36" s="228" t="n">
        <f aca="false">IF(B26="YES", K42, "0.00")</f>
        <v>39.5833333333333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39.5833333333333</v>
      </c>
      <c r="C40" s="103"/>
      <c r="D40" s="103"/>
      <c r="E40" s="179" t="n">
        <f aca="false">K32</f>
        <v>475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39.5833333333333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2035.18797553986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2035.18797553986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7010.42567114101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121.25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1995.60464220652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1995.60464220652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2035.18797553986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2035.18797553986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10.3399216528992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29100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2814.33467069266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30957.6813776193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30957.6813776193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67.3636363636364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61.75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51.8181818181818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62.1818181818182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2814.33467069266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2881.6983070563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2814.33467069266</v>
      </c>
      <c r="B167" s="174" t="n">
        <f aca="false">B94</f>
        <v>67.3636363636364</v>
      </c>
      <c r="C167" s="171"/>
      <c r="D167" s="171"/>
      <c r="E167" s="174" t="n">
        <f aca="false">B96</f>
        <v>2881.6983070563</v>
      </c>
      <c r="F167" s="23"/>
      <c r="G167" s="23"/>
      <c r="H167" s="33"/>
      <c r="J167" s="173" t="e">
        <f aca="false">K95</f>
        <v>#VALUE!</v>
      </c>
      <c r="K167" s="174" t="n">
        <f aca="false">K94</f>
        <v>61.75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51.8181818181818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62.1818181818182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4739.37968467559</v>
      </c>
      <c r="B182" s="99" t="str">
        <f aca="false">B114</f>
        <v>239.99</v>
      </c>
      <c r="C182" s="99"/>
      <c r="D182" s="23"/>
      <c r="E182" s="99" t="n">
        <f aca="false">E179+A182+B182+A185</f>
        <v>34089.3696846756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B233</f>
        <v>2891.6983070563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121.25</v>
      </c>
      <c r="C188" s="130"/>
      <c r="D188" s="130"/>
      <c r="E188" s="99" t="n">
        <f aca="false">(E40*A108)*0.1</f>
        <v>14.25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14.25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9.5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9.5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235.491666666667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2881.6983070563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2814.33467069266</v>
      </c>
      <c r="B212" s="174" t="n">
        <f aca="false">B167</f>
        <v>67.3636363636364</v>
      </c>
      <c r="C212" s="171"/>
      <c r="D212" s="171"/>
      <c r="E212" s="174" t="n">
        <f aca="false">E167</f>
        <v>2881.6983070563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4739.37968467559</v>
      </c>
      <c r="B224" s="99" t="str">
        <f aca="false">B182</f>
        <v>239.99</v>
      </c>
      <c r="C224" s="99"/>
      <c r="D224" s="109"/>
      <c r="E224" s="99" t="n">
        <f aca="false">E182</f>
        <v>34089.3696846756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2814.33467069266</v>
      </c>
      <c r="B230" s="99" t="n">
        <f aca="false">B167</f>
        <v>67.3636363636364</v>
      </c>
      <c r="C230" s="183"/>
      <c r="D230" s="183"/>
      <c r="E230" s="99" t="n">
        <f aca="false">E167</f>
        <v>2881.6983070563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E212+A227</f>
        <v>2891.6983070563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121.25</v>
      </c>
      <c r="C240" s="130"/>
      <c r="D240" s="130"/>
      <c r="E240" s="99" t="n">
        <f aca="false">E188</f>
        <v>14.25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2110.49166666667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145.5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242.491666666667</v>
      </c>
      <c r="C255" s="194"/>
      <c r="D255" s="195" t="s">
        <v>218</v>
      </c>
      <c r="E255" s="195"/>
      <c r="F255" s="196" t="n">
        <f aca="false">(B254-F254)+B255</f>
        <v>96.9916666666667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30957.6813776193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145.5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96.9916666666667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1" sqref="A37 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36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714.032865011724</v>
      </c>
      <c r="F33" s="228"/>
      <c r="G33" s="228"/>
      <c r="H33" s="47"/>
      <c r="I33" s="2"/>
      <c r="J33" s="34" t="s">
        <v>349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714.032865011724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0.00583333333333333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23125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32.3864644516332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714.032865011724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714.032865011724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8041.68929665607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714.032865011724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714.032865011724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714.032865011724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714.032865011724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0.142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0.0118333333333333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28.5211615326607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27500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964.196355345089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33746.8724370781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33746.8724370781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(B92/B85)</f>
        <v>964.196355345089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964.196355345089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19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0.142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964.196355345089</v>
      </c>
      <c r="B167" s="174" t="str">
        <f aca="false">B94</f>
        <v>0</v>
      </c>
      <c r="C167" s="171"/>
      <c r="D167" s="171"/>
      <c r="E167" s="174" t="n">
        <f aca="false">B96</f>
        <v>964.196355345089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7211.06879242322</v>
      </c>
      <c r="B182" s="99" t="str">
        <f aca="false">B114</f>
        <v>199.99</v>
      </c>
      <c r="C182" s="99"/>
      <c r="D182" s="23"/>
      <c r="E182" s="99" t="n">
        <f aca="false">E179+A182+B182+A185</f>
        <v>34921.0587924232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974.196355345089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229.166666666667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964.196355345089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964.196355345089</v>
      </c>
      <c r="B212" s="174" t="str">
        <f aca="false">B167</f>
        <v>0</v>
      </c>
      <c r="C212" s="171"/>
      <c r="D212" s="171"/>
      <c r="E212" s="174" t="n">
        <f aca="false">E167</f>
        <v>964.196355345089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7211.06879242322</v>
      </c>
      <c r="B224" s="99" t="str">
        <f aca="false">B182</f>
        <v>199.99</v>
      </c>
      <c r="C224" s="99"/>
      <c r="D224" s="109"/>
      <c r="E224" s="99" t="n">
        <f aca="false">E182</f>
        <v>34921.0587924232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964.196355345089</v>
      </c>
      <c r="B230" s="99" t="str">
        <f aca="false">B167</f>
        <v>0</v>
      </c>
      <c r="C230" s="183"/>
      <c r="D230" s="183"/>
      <c r="E230" s="99" t="n">
        <f aca="false">E167</f>
        <v>964.196355345089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974.196355345089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0.07</v>
      </c>
      <c r="C253" s="194"/>
      <c r="D253" s="195" t="s">
        <v>214</v>
      </c>
      <c r="E253" s="195"/>
      <c r="F253" s="193" t="n">
        <f aca="false">B83</f>
        <v>0.142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0.072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0.142</v>
      </c>
      <c r="C260" s="43"/>
      <c r="D260" s="163" t="s">
        <v>215</v>
      </c>
      <c r="E260" s="163"/>
      <c r="F260" s="143" t="n">
        <f aca="false">(B89*B59)-(C89*B59)</f>
        <v>33746.8724370781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0.01</v>
      </c>
      <c r="C261" s="32"/>
      <c r="D261" s="163" t="s">
        <v>221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1" sqref="A37 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3124.60118175478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11.222552458438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2539.52887327084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30474.34647925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30474.34647925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IF(B26="YES",((E40/B85)*(1+A108)),"0")*1.2</f>
        <v>35.75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2539.52887327084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2575.27887327084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2539.52887327084</v>
      </c>
      <c r="B167" s="174" t="n">
        <f aca="false">B94</f>
        <v>35.75</v>
      </c>
      <c r="C167" s="171"/>
      <c r="D167" s="171"/>
      <c r="E167" s="174" t="n">
        <f aca="false">B96</f>
        <v>2575.27887327084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2010.10047925004</v>
      </c>
      <c r="B182" s="99" t="str">
        <f aca="false">B114</f>
        <v>239.99</v>
      </c>
      <c r="C182" s="99"/>
      <c r="D182" s="23"/>
      <c r="E182" s="99" t="n">
        <f aca="false">E179+A182+B182+A185</f>
        <v>30760.08647925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E167+A185</f>
        <v>2585.27887327084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226.99165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2575.27887327084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2539.52887327084</v>
      </c>
      <c r="B212" s="174" t="n">
        <f aca="false">B167</f>
        <v>35.75</v>
      </c>
      <c r="C212" s="171"/>
      <c r="D212" s="171"/>
      <c r="E212" s="174" t="n">
        <f aca="false">E167</f>
        <v>2575.27887327084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2010.10047925004</v>
      </c>
      <c r="B224" s="99" t="str">
        <f aca="false">B182</f>
        <v>239.99</v>
      </c>
      <c r="C224" s="99"/>
      <c r="D224" s="109"/>
      <c r="E224" s="99" t="n">
        <f aca="false">E182</f>
        <v>30760.08647925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2539.52887327084</v>
      </c>
      <c r="B230" s="99" t="n">
        <f aca="false">B167</f>
        <v>35.75</v>
      </c>
      <c r="C230" s="183"/>
      <c r="D230" s="183"/>
      <c r="E230" s="99" t="n">
        <f aca="false">E167</f>
        <v>2575.27887327084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2585.27887327084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2101.99165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182.491666666667</v>
      </c>
      <c r="C255" s="194"/>
      <c r="D255" s="195" t="s">
        <v>218</v>
      </c>
      <c r="E255" s="195"/>
      <c r="F255" s="196" t="n">
        <f aca="false">(B254-F254)+B255</f>
        <v>39.9916866666666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0.1255</v>
      </c>
      <c r="C260" s="43"/>
      <c r="D260" s="163" t="s">
        <v>215</v>
      </c>
      <c r="E260" s="163"/>
      <c r="F260" s="143" t="n">
        <f aca="false">(B89*B59)-(C89*B59)</f>
        <v>27934.8176059792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39.9916866666666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1" sqref="A37 B2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37"/>
      <c r="H3" s="438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37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133"/>
      <c r="H9" s="439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2"/>
      <c r="H10" s="438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2"/>
      <c r="H12" s="438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2"/>
      <c r="H13" s="438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2"/>
      <c r="H14" s="438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152"/>
      <c r="H15" s="440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2"/>
      <c r="H16" s="438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3"/>
      <c r="H18" s="441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163"/>
      <c r="H19" s="441"/>
      <c r="I19" s="2"/>
      <c r="J19" s="2"/>
      <c r="Z19" s="2" t="s">
        <v>18</v>
      </c>
    </row>
    <row r="20" customFormat="false" ht="17.35" hidden="false" customHeight="false" outlineLevel="0" collapsed="false">
      <c r="A20" s="278"/>
      <c r="B20" s="63"/>
      <c r="C20" s="63"/>
      <c r="D20" s="63"/>
      <c r="E20" s="279"/>
      <c r="F20" s="63"/>
      <c r="G20" s="163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442"/>
      <c r="H21" s="443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85</v>
      </c>
      <c r="K29" s="444" t="n">
        <v>12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275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2090.4347020187</v>
      </c>
      <c r="F33" s="228"/>
      <c r="G33" s="228"/>
      <c r="H33" s="47"/>
      <c r="I33" s="2"/>
      <c r="J33" s="34" t="s">
        <v>349</v>
      </c>
      <c r="K33" s="48" t="n">
        <f aca="false">E21</f>
        <v>23958.33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2067.51803535204</v>
      </c>
      <c r="B36" s="228" t="n">
        <f aca="false">IF(B26="YES", K42, "0.00")</f>
        <v>22.9166666666667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n">
        <f aca="false">IF(B26="YES", K42, "0.00")</f>
        <v>22.9166666666667</v>
      </c>
      <c r="C40" s="103"/>
      <c r="D40" s="103"/>
      <c r="E40" s="179" t="n">
        <f aca="false">K32</f>
        <v>275</v>
      </c>
      <c r="F40" s="183"/>
      <c r="G40" s="183"/>
      <c r="H40" s="47"/>
      <c r="J40" s="2" t="s">
        <v>109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22.9166666666667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23958.33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2090.4347020187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2090.4347020187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2744.12058381038</v>
      </c>
      <c r="C65" s="130"/>
      <c r="D65" s="130"/>
      <c r="E65" s="109"/>
      <c r="F65" s="109"/>
      <c r="G65" s="109"/>
      <c r="H65" s="33"/>
      <c r="J65" s="56" t="s">
        <v>93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93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93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118.749983333333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1870.25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187.025</v>
      </c>
      <c r="U68" s="130"/>
      <c r="V68" s="130"/>
      <c r="W68" s="109"/>
      <c r="X68" s="109"/>
      <c r="Y68" s="109"/>
      <c r="Z68" s="33"/>
      <c r="AB68" s="56" t="s">
        <v>96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2067.51803535204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2067.51803535204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2090.4347020187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2090.4347020187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28499.996</v>
      </c>
      <c r="C81" s="130"/>
      <c r="D81" s="130"/>
      <c r="E81" s="109"/>
      <c r="F81" s="109"/>
      <c r="G81" s="109"/>
      <c r="H81" s="33"/>
      <c r="J81" s="25" t="s">
        <v>108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108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108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0.0995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0.00829166666666667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12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0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11.3775176629575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28499.996</v>
      </c>
      <c r="C88" s="130"/>
      <c r="D88" s="130"/>
      <c r="E88" s="109"/>
      <c r="F88" s="109"/>
      <c r="G88" s="109"/>
      <c r="H88" s="33"/>
      <c r="J88" s="31" t="s">
        <v>115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115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115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2504.93972800316</v>
      </c>
      <c r="C89" s="130"/>
      <c r="D89" s="130"/>
      <c r="E89" s="109"/>
      <c r="F89" s="109"/>
      <c r="G89" s="109"/>
      <c r="H89" s="33"/>
      <c r="J89" s="31" t="s">
        <v>116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116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116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30059.276736038</v>
      </c>
      <c r="C90" s="130"/>
      <c r="D90" s="130"/>
      <c r="E90" s="109"/>
      <c r="F90" s="109"/>
      <c r="G90" s="109"/>
      <c r="H90" s="33"/>
      <c r="J90" s="31" t="s">
        <v>117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117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117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118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118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30059.276736038</v>
      </c>
      <c r="C92" s="130"/>
      <c r="D92" s="130"/>
      <c r="E92" s="109"/>
      <c r="F92" s="109"/>
      <c r="G92" s="109"/>
      <c r="H92" s="33"/>
      <c r="J92" s="56" t="s">
        <v>119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119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119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29.7916666666667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35.75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30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36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2504.93972800316</v>
      </c>
      <c r="C95" s="130"/>
      <c r="D95" s="130"/>
      <c r="E95" s="109"/>
      <c r="F95" s="109"/>
      <c r="G95" s="109"/>
      <c r="H95" s="33"/>
      <c r="J95" s="91" t="s">
        <v>121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121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121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2534.73139466983</v>
      </c>
      <c r="C96" s="130"/>
      <c r="D96" s="130"/>
      <c r="E96" s="109"/>
      <c r="F96" s="109"/>
      <c r="G96" s="109"/>
      <c r="H96" s="33"/>
      <c r="J96" s="93" t="s">
        <v>122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122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122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B9</f>
        <v>23958.33</v>
      </c>
      <c r="C121" s="117" t="n">
        <v>25833.33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152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152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152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48" t="n">
        <v>0</v>
      </c>
      <c r="H122" s="122"/>
      <c r="J122" s="31" t="s">
        <v>153</v>
      </c>
      <c r="K122" s="119" t="n">
        <f aca="false">B4</f>
        <v>28749.996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48" t="str">
        <f aca="false">O122</f>
        <v> </v>
      </c>
      <c r="Q122" s="122"/>
      <c r="S122" s="31" t="s">
        <v>153</v>
      </c>
      <c r="T122" s="119" t="n">
        <f aca="false">B4</f>
        <v>28749.996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48" t="str">
        <f aca="false">X122</f>
        <v> </v>
      </c>
      <c r="Z122" s="122"/>
      <c r="AB122" s="31" t="s">
        <v>153</v>
      </c>
      <c r="AC122" s="119" t="n">
        <f aca="false">B4</f>
        <v>28749.996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48" t="str">
        <f aca="false">AG122</f>
        <v> 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23958.33</v>
      </c>
      <c r="C125" s="129" t="n">
        <f aca="false">C121-C124</f>
        <v>25833.33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156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156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156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B121</f>
        <v>23958.33</v>
      </c>
      <c r="H135" s="150" t="n">
        <f aca="false">C125+E125+G125+H128</f>
        <v>25833.33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33" t="n">
        <f aca="false">(G135+G136)*20%</f>
        <v>4791.666</v>
      </c>
      <c r="H137" s="33" t="n">
        <f aca="false">(H135+H136)*20%</f>
        <v>5166.666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154" t="n">
        <f aca="false">(G135+G136+G139+G140+G137)-G138</f>
        <v>28749.996</v>
      </c>
      <c r="H141" s="154" t="n">
        <f aca="false">(H135+H136+H139+H140+H137)-H138</f>
        <v>30999.996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0</v>
      </c>
      <c r="Q141" s="154" t="e">
        <f aca="false">(Q135+Q136+Q139+Q140+Q137)-Q138</f>
        <v>#VALUE!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0</v>
      </c>
      <c r="Z141" s="154" t="e">
        <f aca="false">(Z135+Z136+Z139+Z140+Z137)-Z138</f>
        <v>#VALUE!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28749.996</v>
      </c>
      <c r="H147" s="161" t="n">
        <f aca="false">H141-((H144*1.2)+(H145*1.2)+(H146*1.2)+(H142*1.2))</f>
        <v>30999.996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175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175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28499.996</v>
      </c>
      <c r="H158" s="167"/>
      <c r="J158" s="166" t="s">
        <v>182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182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2504.93972800316</v>
      </c>
      <c r="B167" s="174" t="n">
        <f aca="false">B94</f>
        <v>29.7916666666667</v>
      </c>
      <c r="C167" s="171"/>
      <c r="D167" s="171"/>
      <c r="E167" s="174" t="n">
        <f aca="false">B96</f>
        <v>2534.73139466983</v>
      </c>
      <c r="F167" s="23"/>
      <c r="G167" s="23"/>
      <c r="H167" s="33"/>
      <c r="J167" s="173" t="e">
        <f aca="false">K95</f>
        <v>#VALUE!</v>
      </c>
      <c r="K167" s="174" t="n">
        <f aca="false">K94</f>
        <v>35.75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30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36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25833.33</v>
      </c>
      <c r="B173" s="99" t="n">
        <f aca="false">H137</f>
        <v>5166.666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30999.996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28499.996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1589.07240270463</v>
      </c>
      <c r="B182" s="99" t="str">
        <f aca="false">B114</f>
        <v>199.99</v>
      </c>
      <c r="C182" s="99"/>
      <c r="D182" s="23"/>
      <c r="E182" s="99" t="n">
        <f aca="false">E179+A182+B182+A185</f>
        <v>30299.0584027046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E167+A185</f>
        <v>2544.73139466983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118.749983333333</v>
      </c>
      <c r="C188" s="130"/>
      <c r="D188" s="130"/>
      <c r="E188" s="99" t="n">
        <f aca="false">(E40*A108)*0.1</f>
        <v>8.25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8.25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5.5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5.5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226.989983333333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2534.73139466983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2504.93972800316</v>
      </c>
      <c r="B212" s="174" t="n">
        <f aca="false">B167</f>
        <v>29.7916666666667</v>
      </c>
      <c r="C212" s="171"/>
      <c r="D212" s="171"/>
      <c r="E212" s="174" t="n">
        <f aca="false">E167</f>
        <v>2534.73139466983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25833.33</v>
      </c>
      <c r="B215" s="99" t="n">
        <f aca="false">B173</f>
        <v>5166.666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30999.996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28499.996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1589.07240270463</v>
      </c>
      <c r="B224" s="99" t="str">
        <f aca="false">B182</f>
        <v>199.99</v>
      </c>
      <c r="C224" s="99"/>
      <c r="D224" s="109"/>
      <c r="E224" s="99" t="n">
        <f aca="false">E182</f>
        <v>30299.0584027046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2504.93972800316</v>
      </c>
      <c r="B230" s="99" t="n">
        <f aca="false">B167</f>
        <v>29.7916666666667</v>
      </c>
      <c r="C230" s="183"/>
      <c r="D230" s="183"/>
      <c r="E230" s="99" t="n">
        <f aca="false">E167</f>
        <v>2534.73139466983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2544.73139466983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118.749983333333</v>
      </c>
      <c r="C240" s="130"/>
      <c r="D240" s="130"/>
      <c r="E240" s="99" t="n">
        <f aca="false">E188</f>
        <v>8.25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2101.98998333333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142.49998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182.49</v>
      </c>
      <c r="C255" s="194"/>
      <c r="D255" s="195" t="s">
        <v>218</v>
      </c>
      <c r="E255" s="195"/>
      <c r="F255" s="196" t="n">
        <f aca="false">(B254-F254)+B255</f>
        <v>39.99002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0.024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0.0995</v>
      </c>
      <c r="C260" s="43"/>
      <c r="D260" s="163" t="s">
        <v>215</v>
      </c>
      <c r="E260" s="163"/>
      <c r="F260" s="143" t="n">
        <f aca="false">(B89*B59)-(C89*B59)</f>
        <v>27554.3370080348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0.005</v>
      </c>
      <c r="C261" s="32"/>
      <c r="D261" s="163" t="s">
        <v>221</v>
      </c>
      <c r="E261" s="163"/>
      <c r="F261" s="148" t="n">
        <f aca="false">B68*1.2</f>
        <v>142.49998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82.5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39.99002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1" sqref="A37 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2618.35</v>
      </c>
      <c r="C64" s="211" t="n">
        <v>10000</v>
      </c>
      <c r="D64" s="277" t="n">
        <f aca="false">B64</f>
        <v>2618.35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 t="n">
        <f aca="false">IF(G18&gt;40000, 325, 0)</f>
        <v>0</v>
      </c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3945.01666666667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328.751388888889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11948.42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84.3474586526826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8032.76745865268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669.397288221057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741.397288221057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669.397288221057</v>
      </c>
      <c r="B128" s="338" t="n">
        <f aca="false">IF(A105="YES", B89, 0)</f>
        <v>72</v>
      </c>
      <c r="C128" s="394"/>
      <c r="D128" s="338" t="n">
        <f aca="false">B91</f>
        <v>741.397288221057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6024.57559398951</v>
      </c>
      <c r="C131" s="280"/>
      <c r="D131" s="38" t="n">
        <f aca="false">IF(A105="YES", B89*B57, 0)</f>
        <v>648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6672.57559398951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669.397288221057</v>
      </c>
      <c r="B137" s="38" t="n">
        <f aca="false">IF(A105="YES", B89, 0)</f>
        <v>72</v>
      </c>
      <c r="C137" s="280"/>
      <c r="D137" s="38" t="n">
        <f aca="false">B91</f>
        <v>741.397288221057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741.397288221057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669.397288221057</v>
      </c>
      <c r="B171" s="367" t="n">
        <f aca="false">IF(A105="YES", B89, 0)</f>
        <v>72</v>
      </c>
      <c r="C171" s="395"/>
      <c r="D171" s="367" t="n">
        <f aca="false">B91</f>
        <v>741.397288221057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6024.57559398951</v>
      </c>
      <c r="C174" s="282"/>
      <c r="D174" s="99" t="n">
        <f aca="false">IF(A105="YES", B89*B57, 0)</f>
        <v>648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6672.57559398951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669.397288221057</v>
      </c>
      <c r="B180" s="99" t="n">
        <f aca="false">IF(A105="YES", B89, 0)</f>
        <v>72</v>
      </c>
      <c r="C180" s="282"/>
      <c r="D180" s="99" t="n">
        <f aca="false">B91</f>
        <v>741.397288221057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2618.35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2704.29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2618.35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2704.29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84.3474586526826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1" sqref="A37 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90" t="n">
        <f aca="false">A44+B44</f>
        <v>2</v>
      </c>
      <c r="E44" s="290"/>
      <c r="F44" s="63"/>
      <c r="G44" s="63" t="s">
        <v>253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275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37405</v>
      </c>
      <c r="C61" s="211"/>
      <c r="D61" s="211"/>
      <c r="E61" s="212"/>
      <c r="F61" s="63"/>
      <c r="G61" s="210" t="s">
        <v>14</v>
      </c>
      <c r="H61" s="277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211" t="n">
        <v>10000</v>
      </c>
      <c r="D64" s="277" t="n">
        <f aca="false">B64</f>
        <v>2012.49972</v>
      </c>
      <c r="E64" s="212"/>
      <c r="F64" s="63"/>
      <c r="G64" s="310" t="s">
        <v>93</v>
      </c>
      <c r="H64" s="129" t="n">
        <f aca="false">H61*H63</f>
        <v>2618.35</v>
      </c>
      <c r="I64" s="211"/>
      <c r="J64" s="277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374.05</v>
      </c>
      <c r="C67" s="211"/>
      <c r="D67" s="277"/>
      <c r="E67" s="212"/>
      <c r="F67" s="63"/>
      <c r="G67" s="310" t="s">
        <v>96</v>
      </c>
      <c r="H67" s="129" t="n">
        <f aca="false">H61*H66</f>
        <v>187.025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12.5</v>
      </c>
      <c r="I76" s="211"/>
      <c r="J76" s="277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3339.16638666667</v>
      </c>
      <c r="C81" s="211"/>
      <c r="D81" s="211"/>
      <c r="E81" s="212"/>
      <c r="F81" s="63"/>
      <c r="G81" s="422" t="s">
        <v>105</v>
      </c>
      <c r="H81" s="42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278.263865555556</v>
      </c>
      <c r="C82" s="211"/>
      <c r="D82" s="211"/>
      <c r="E82" s="212"/>
      <c r="F82" s="63"/>
      <c r="G82" s="210" t="s">
        <v>106</v>
      </c>
      <c r="H82" s="41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9351.16638666667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79.2152053731343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5430.3815920398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452.53179933665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512.53179933665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18</v>
      </c>
      <c r="B105" s="331" t="n">
        <v>20</v>
      </c>
      <c r="C105" s="331"/>
      <c r="D105" s="103" t="s">
        <v>340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 t="n">
        <v>0</v>
      </c>
      <c r="C108" s="213"/>
      <c r="D108" s="213" t="n">
        <v>0</v>
      </c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18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452.53179933665</v>
      </c>
      <c r="B128" s="338" t="n">
        <f aca="false">IF(A105="YES", B89, 0)</f>
        <v>60</v>
      </c>
      <c r="C128" s="394"/>
      <c r="D128" s="338" t="n">
        <f aca="false">B91</f>
        <v>512.53179933665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1024.59311617588</v>
      </c>
      <c r="H130" s="174" t="n">
        <f aca="false">IF(G105="YES", H89*H57, 0)</f>
        <v>72</v>
      </c>
      <c r="I130" s="174"/>
      <c r="J130" s="349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4072.78619402985</v>
      </c>
      <c r="C131" s="280"/>
      <c r="D131" s="38" t="n">
        <f aca="false">IF(A105="YES", B89*B57, 0)</f>
        <v>540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4612.78619402985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452.53179933665</v>
      </c>
      <c r="B137" s="38" t="n">
        <f aca="false">IF(A105="YES", B89, 0)</f>
        <v>60</v>
      </c>
      <c r="C137" s="280"/>
      <c r="D137" s="38" t="n">
        <f aca="false">B91</f>
        <v>512.53179933665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26.9316</v>
      </c>
      <c r="B140" s="358" t="n">
        <f aca="false">G18*0.000002 *1.2*100</f>
        <v>8.9772</v>
      </c>
      <c r="C140" s="280"/>
      <c r="D140" s="358" t="n">
        <f aca="false">A140+B140</f>
        <v>35.9088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512.53179933665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452.53179933665</v>
      </c>
      <c r="B171" s="367" t="n">
        <f aca="false">IF(A105="YES", B89, 0)</f>
        <v>60</v>
      </c>
      <c r="C171" s="395"/>
      <c r="D171" s="367" t="n">
        <f aca="false">B91</f>
        <v>512.53179933665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4072.78619402985</v>
      </c>
      <c r="C174" s="282"/>
      <c r="D174" s="99" t="n">
        <f aca="false">IF(A105="YES", B89*B57, 0)</f>
        <v>540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4612.78619402985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452.53179933665</v>
      </c>
      <c r="B180" s="99" t="n">
        <f aca="false">IF(A105="YES", B89, 0)</f>
        <v>60</v>
      </c>
      <c r="C180" s="282"/>
      <c r="D180" s="99" t="n">
        <f aca="false">B91</f>
        <v>512.53179933665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26.9316</v>
      </c>
      <c r="B183" s="375" t="n">
        <f aca="false">G18*0.000002 *1.2*100</f>
        <v>8.9772</v>
      </c>
      <c r="C183" s="282"/>
      <c r="D183" s="375" t="n">
        <f aca="false">A183+B183</f>
        <v>35.9088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2012.49972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374.05</v>
      </c>
      <c r="C205" s="337" t="s">
        <v>217</v>
      </c>
      <c r="D205" s="377" t="n">
        <f aca="false">B219+E215+B215+B217</f>
        <v>459.99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2098.43972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2012.49972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374.05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2098.43972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120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79.2152053731343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1" sqref="A37 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0</v>
      </c>
      <c r="C77" s="472"/>
      <c r="D77" s="277" t="n">
        <f aca="false">B77</f>
        <v>0</v>
      </c>
      <c r="E77" s="465" t="n">
        <f aca="false">D77/(B58+B57)</f>
        <v>0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0</v>
      </c>
      <c r="C78" s="472"/>
      <c r="D78" s="277" t="n">
        <f aca="false">B78</f>
        <v>0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4246.8225025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121.337785785714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874.644396543837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30612.5538790343</v>
      </c>
      <c r="C85" s="472"/>
      <c r="D85" s="472"/>
      <c r="E85" s="465" t="n">
        <f aca="false">B85/(B58+B57)</f>
        <v>874.644396543837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259.323772270964</v>
      </c>
      <c r="C86" s="472" t="s">
        <v>230</v>
      </c>
      <c r="D86" s="211"/>
      <c r="E86" s="465" t="n">
        <f aca="false">B86/(B58+B57)</f>
        <v>7.40925063631326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30871.8776513052</v>
      </c>
      <c r="C87" s="472"/>
      <c r="D87" s="474"/>
      <c r="E87" s="465" t="n">
        <f aca="false">E86+E85</f>
        <v>882.05364718015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882.05364718015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882.05364718015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</v>
      </c>
      <c r="C102" s="103"/>
      <c r="D102" s="103" t="n">
        <v>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882.05364718015</v>
      </c>
      <c r="B128" s="338" t="n">
        <f aca="false">IF(A105="YES", B89, 0)</f>
        <v>0</v>
      </c>
      <c r="C128" s="342"/>
      <c r="D128" s="338" t="n">
        <f aca="false">B91</f>
        <v>882.05364718015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882.05364718015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882.05364718015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882.05364718015</v>
      </c>
      <c r="B137" s="38" t="n">
        <f aca="false">IF(A105="YES", B89, 0)</f>
        <v>0</v>
      </c>
      <c r="C137" s="280"/>
      <c r="D137" s="38" t="n">
        <f aca="false">B91</f>
        <v>882.05364718015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832.485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882.05364718015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882.05364718015</v>
      </c>
      <c r="B177" s="367" t="n">
        <f aca="false">IF(A105="YES", B89, 0)</f>
        <v>0</v>
      </c>
      <c r="C177" s="369"/>
      <c r="D177" s="367" t="n">
        <f aca="false">B91</f>
        <v>882.05364718015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882.05364718015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882.05364718015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882.05364718015</v>
      </c>
      <c r="B186" s="99" t="n">
        <f aca="false">IF(A105="YES", B89, 0)</f>
        <v>0</v>
      </c>
      <c r="C186" s="282"/>
      <c r="D186" s="99" t="n">
        <f aca="false">B91</f>
        <v>882.05364718015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832.485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99.99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2344.3175025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0</v>
      </c>
      <c r="C223" s="351" t="s">
        <v>218</v>
      </c>
      <c r="D223" s="280"/>
      <c r="E223" s="33" t="n">
        <f aca="false">(B217-B211+D211)</f>
        <v>2344.3175025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259.323772270964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1" sqref="A37 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753.306610758122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753.306610758122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-20567.5795313712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753.306610758122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753.306610758122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753.306610758122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2976.8225025</v>
      </c>
      <c r="C64" s="464" t="n">
        <v>10000</v>
      </c>
      <c r="D64" s="277" t="n">
        <f aca="false">B64</f>
        <v>2976.8225025</v>
      </c>
      <c r="E64" s="465" t="n">
        <f aca="false">D64/(B58+B57)</f>
        <v>85.0520715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732.495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471" t="n">
        <f aca="false">B73+B71</f>
        <v>375</v>
      </c>
      <c r="E73" s="212" t="s">
        <v>227</v>
      </c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495</v>
      </c>
      <c r="C76" s="211"/>
      <c r="D76" s="277" t="n">
        <f aca="false">B76</f>
        <v>495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12.6984126984127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36.2857142857143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4913.48916916667</v>
      </c>
      <c r="C81" s="472"/>
      <c r="D81" s="473"/>
      <c r="E81" s="465"/>
      <c r="F81" s="63"/>
      <c r="G81" s="422" t="s">
        <v>105</v>
      </c>
      <c r="H81" s="423" t="n">
        <f aca="false">SUM(J64:J80)</f>
        <v>1047.5</v>
      </c>
      <c r="I81" s="211"/>
      <c r="J81" s="211"/>
      <c r="K81" s="212"/>
      <c r="L81" s="63"/>
      <c r="M81" s="422" t="s">
        <v>105</v>
      </c>
      <c r="N81" s="42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140.385404833333</v>
      </c>
      <c r="C82" s="472"/>
      <c r="D82" s="211"/>
      <c r="E82" s="465"/>
      <c r="F82" s="63"/>
      <c r="G82" s="210" t="s">
        <v>106</v>
      </c>
      <c r="H82" s="419" t="n">
        <f aca="false">H81/H29</f>
        <v>29.9285714285714</v>
      </c>
      <c r="I82" s="211"/>
      <c r="J82" s="211"/>
      <c r="K82" s="212"/>
      <c r="L82" s="63"/>
      <c r="M82" s="210" t="s">
        <v>106</v>
      </c>
      <c r="N82" s="41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753.306610758122</v>
      </c>
      <c r="C83" s="472"/>
      <c r="D83" s="211"/>
      <c r="E83" s="465" t="n">
        <f aca="false">B83+E80+E77+E64</f>
        <v>887.342809242249</v>
      </c>
      <c r="F83" s="63"/>
      <c r="G83" s="424" t="s">
        <v>107</v>
      </c>
      <c r="H83" s="425" t="n">
        <f aca="false">H47</f>
        <v>753.306610758122</v>
      </c>
      <c r="I83" s="211"/>
      <c r="J83" s="211"/>
      <c r="K83" s="212"/>
      <c r="L83" s="63"/>
      <c r="M83" s="424" t="s">
        <v>107</v>
      </c>
      <c r="N83" s="425" t="n">
        <f aca="false">H47</f>
        <v>753.306610758122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37535.0646548411</v>
      </c>
      <c r="C85" s="472"/>
      <c r="D85" s="472"/>
      <c r="E85" s="465" t="n">
        <f aca="false">B85/(B58+B57)</f>
        <v>1072.43041870975</v>
      </c>
      <c r="F85" s="63"/>
      <c r="G85" s="404" t="s">
        <v>117</v>
      </c>
      <c r="H85" s="127" t="n">
        <f aca="false">((H83*H29)+H81)*1.2</f>
        <v>32895.8776518411</v>
      </c>
      <c r="I85" s="211"/>
      <c r="J85" s="211"/>
      <c r="K85" s="212"/>
      <c r="L85" s="63"/>
      <c r="M85" s="404" t="s">
        <v>117</v>
      </c>
      <c r="N85" s="127" t="n">
        <f aca="false">((N83*H29)+N81)</f>
        <v>27083.2313765343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264.971210754223</v>
      </c>
      <c r="C86" s="472" t="s">
        <v>230</v>
      </c>
      <c r="D86" s="211"/>
      <c r="E86" s="465" t="n">
        <f aca="false">B86/(B58+B57)</f>
        <v>7.57060602154924</v>
      </c>
      <c r="F86" s="63"/>
      <c r="G86" s="210" t="s">
        <v>118</v>
      </c>
      <c r="H86" s="419" t="n">
        <f aca="false">((((H83*H29)+H81))/(1-H70))*H70</f>
        <v>232.2218067395</v>
      </c>
      <c r="I86" s="211"/>
      <c r="J86" s="211"/>
      <c r="K86" s="212"/>
      <c r="L86" s="63"/>
      <c r="M86" s="210" t="s">
        <v>118</v>
      </c>
      <c r="N86" s="419" t="n">
        <f aca="false">(N85/(1-N70))*N70</f>
        <v>229.426324690286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37800.0358655954</v>
      </c>
      <c r="C87" s="472"/>
      <c r="D87" s="474"/>
      <c r="E87" s="465" t="n">
        <f aca="false">E86+E85</f>
        <v>1080.0010247313</v>
      </c>
      <c r="F87" s="63"/>
      <c r="G87" s="310" t="s">
        <v>119</v>
      </c>
      <c r="H87" s="129" t="n">
        <f aca="false">IF(H110="YES",((H85+H86)-K114),(H85+H86))</f>
        <v>33128.0994585806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27312.6577012246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0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1080.0010247313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828.202486464516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682.816442530614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1080.0010247313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828.202486464516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682.816442530614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0.2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1287.988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828.202486464516</v>
      </c>
      <c r="H127" s="174" t="n">
        <f aca="false">IF(G105="YES", H89*H57, 0)</f>
        <v>0</v>
      </c>
      <c r="I127" s="174"/>
      <c r="J127" s="349" t="n">
        <f aca="false">H91</f>
        <v>828.202486464516</v>
      </c>
      <c r="K127" s="212"/>
      <c r="L127" s="63"/>
      <c r="M127" s="348" t="n">
        <f aca="false">N90</f>
        <v>682.816442530614</v>
      </c>
      <c r="N127" s="174" t="n">
        <f aca="false">IF(M105="YES", N89*N57, 0)</f>
        <v>0</v>
      </c>
      <c r="O127" s="174"/>
      <c r="P127" s="174" t="n">
        <f aca="false">N91</f>
        <v>682.816442530614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1080.0010247313</v>
      </c>
      <c r="B128" s="338" t="n">
        <f aca="false">IF(A105="YES", B89, 0)</f>
        <v>0</v>
      </c>
      <c r="C128" s="342"/>
      <c r="D128" s="338" t="n">
        <f aca="false">B91</f>
        <v>1080.0010247313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1080.0010247313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4969.2149187871</v>
      </c>
      <c r="H133" s="99" t="n">
        <f aca="false">IF(G105="YES", H89*H57, 0)</f>
        <v>0</v>
      </c>
      <c r="I133" s="217"/>
      <c r="J133" s="181" t="n">
        <f aca="false">H91*H57</f>
        <v>4969.2149187871</v>
      </c>
      <c r="K133" s="212"/>
      <c r="L133" s="63"/>
      <c r="M133" s="182" t="n">
        <f aca="false">N90*N57</f>
        <v>4096.89865518369</v>
      </c>
      <c r="N133" s="99" t="n">
        <f aca="false">IF(M105="YES", N89*N57, 0)</f>
        <v>0</v>
      </c>
      <c r="O133" s="217"/>
      <c r="P133" s="181" t="n">
        <f aca="false">N91*N57</f>
        <v>4096.89865518369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1080.0010247313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1080.0010247313</v>
      </c>
      <c r="B137" s="38" t="n">
        <f aca="false">IF(A105="YES", B89, 0)</f>
        <v>0</v>
      </c>
      <c r="C137" s="280"/>
      <c r="D137" s="38" t="n">
        <f aca="false">B91</f>
        <v>1080.0010247313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828.202486464516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682.816442530614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1080.0010247313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1080.0010247313</v>
      </c>
      <c r="B177" s="367" t="n">
        <f aca="false">IF(A105="YES", B89, 0)</f>
        <v>0</v>
      </c>
      <c r="C177" s="369"/>
      <c r="D177" s="367" t="n">
        <f aca="false">B91</f>
        <v>1080.0010247313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1080.0010247313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1080.0010247313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1080.0010247313</v>
      </c>
      <c r="B186" s="99" t="n">
        <f aca="false">IF(A105="YES", B89, 0)</f>
        <v>0</v>
      </c>
      <c r="C186" s="282"/>
      <c r="D186" s="99" t="n">
        <f aca="false">B91</f>
        <v>1080.0010247313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2976.8225025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732.495</v>
      </c>
      <c r="C211" s="337" t="s">
        <v>217</v>
      </c>
      <c r="D211" s="377" t="n">
        <f aca="false">B225+E221+B221+B223</f>
        <v>379.99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2624.3175025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2976.8225025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732.495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2624.3175025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264.971210754223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1" sqref="A37 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600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45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57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str">
        <f aca="false">IF(D41="Yes",A44, 0)</f>
        <v>50</v>
      </c>
      <c r="I41" s="2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65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s">
        <v>72</v>
      </c>
      <c r="B44" s="100" t="s">
        <v>271</v>
      </c>
      <c r="C44" s="100"/>
      <c r="D44" s="100" t="s">
        <v>271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-170.625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-167.958333333333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282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/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((B89*H29)+B87)*1.2</f>
        <v>3367.74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-608.486119402985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IF(B105=Z104,(((H41*A32)+(H41*A32)*(B111/100))/(B64)),(((H41*A32)+(H41*A32)*(B111/100))/(B63+B64)))*1.2</f>
        <v>78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-50.7071766169154</v>
      </c>
      <c r="C96" s="280"/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27.2928233830846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18</v>
      </c>
      <c r="B111" s="331" t="n">
        <v>30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239.99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-2760.01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-50.7071766169154</v>
      </c>
      <c r="B134" s="338" t="n">
        <f aca="false">IF(A111="YES", B95, 0)</f>
        <v>78</v>
      </c>
      <c r="C134" s="342"/>
      <c r="D134" s="338" t="n">
        <f aca="false">B97</f>
        <v>27.2928233830846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-456.364589552238</v>
      </c>
      <c r="C137" s="280"/>
      <c r="D137" s="38" t="n">
        <f aca="false">IF(A111="YES", B95*B63, 0)</f>
        <v>702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245.635410447762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-50.7071766169154</v>
      </c>
      <c r="B143" s="38" t="n">
        <f aca="false">IF(A111="YES", B95, 0)</f>
        <v>78</v>
      </c>
      <c r="C143" s="280"/>
      <c r="D143" s="38" t="n">
        <f aca="false">B97</f>
        <v>27.2928233830846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27.2928233830846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-50.7071766169154</v>
      </c>
      <c r="B177" s="367" t="n">
        <f aca="false">IF(A111="YES", B95, 0)</f>
        <v>78</v>
      </c>
      <c r="C177" s="369"/>
      <c r="D177" s="367" t="n">
        <f aca="false">A177+B177</f>
        <v>27.2928233830846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-456.364589552238</v>
      </c>
      <c r="C180" s="282"/>
      <c r="D180" s="99" t="n">
        <f aca="false">IF(A111="YES", B95*B63, 0)</f>
        <v>702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245.635410447762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-50.7071766169154</v>
      </c>
      <c r="B186" s="99" t="n">
        <f aca="false">IF(A111="YES", B95, 0)</f>
        <v>78</v>
      </c>
      <c r="C186" s="282"/>
      <c r="D186" s="99" t="n">
        <f aca="false">B97</f>
        <v>27.2928233830846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519.991666666667</v>
      </c>
      <c r="E211" s="339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3993.09166666667</v>
      </c>
      <c r="C213" s="342"/>
      <c r="D213" s="338"/>
      <c r="E213" s="339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3993.09166666667</v>
      </c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65"/>
      <c r="B243" s="265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265"/>
      <c r="B244" s="265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65"/>
      <c r="B245" s="265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65"/>
      <c r="B246" s="265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265"/>
      <c r="B247" s="265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65"/>
      <c r="B248" s="265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1" sqref="A37 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</row>
    <row r="2" customFormat="false" ht="18.75" hidden="false" customHeight="true" outlineLevel="0" collapsed="false">
      <c r="A2" s="311"/>
      <c r="B2" s="481" t="s">
        <v>146</v>
      </c>
      <c r="C2" s="481" t="s">
        <v>147</v>
      </c>
      <c r="D2" s="481" t="s">
        <v>148</v>
      </c>
      <c r="E2" s="482" t="s">
        <v>149</v>
      </c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</row>
    <row r="3" customFormat="false" ht="18.75" hidden="false" customHeight="true" outlineLevel="0" collapsed="false">
      <c r="A3" s="281" t="s">
        <v>152</v>
      </c>
      <c r="B3" s="483" t="n">
        <v>46854.17</v>
      </c>
      <c r="C3" s="483" t="n">
        <v>0</v>
      </c>
      <c r="D3" s="483" t="n">
        <v>833.33</v>
      </c>
      <c r="E3" s="438" t="n">
        <v>0</v>
      </c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</row>
    <row r="4" customFormat="false" ht="18.75" hidden="false" customHeight="true" outlineLevel="0" collapsed="false">
      <c r="A4" s="281" t="s">
        <v>153</v>
      </c>
      <c r="B4" s="484" t="n">
        <v>0</v>
      </c>
      <c r="C4" s="484" t="n">
        <v>0</v>
      </c>
      <c r="D4" s="484" t="n">
        <v>0</v>
      </c>
      <c r="E4" s="309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</row>
    <row r="5" customFormat="false" ht="18.75" hidden="false" customHeight="true" outlineLevel="0" collapsed="false">
      <c r="A5" s="281" t="s">
        <v>154</v>
      </c>
      <c r="B5" s="483" t="n">
        <v>0</v>
      </c>
      <c r="C5" s="483" t="n">
        <v>0</v>
      </c>
      <c r="D5" s="483" t="n">
        <v>0</v>
      </c>
      <c r="E5" s="33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customFormat="false" ht="18.75" hidden="false" customHeight="true" outlineLevel="0" collapsed="false">
      <c r="A6" s="281" t="s">
        <v>155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</row>
    <row r="7" customFormat="false" ht="18.75" hidden="false" customHeight="true" outlineLevel="0" collapsed="false">
      <c r="A7" s="281" t="s">
        <v>156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</row>
    <row r="8" customFormat="false" ht="18.75" hidden="false" customHeight="true" outlineLevel="0" collapsed="false">
      <c r="A8" s="281"/>
      <c r="B8" s="280"/>
      <c r="C8" s="280"/>
      <c r="D8" s="280"/>
      <c r="E8" s="283"/>
      <c r="F8" s="265"/>
      <c r="G8" s="265"/>
      <c r="H8" s="265"/>
      <c r="I8" s="13" t="s">
        <v>3</v>
      </c>
      <c r="J8" s="14" t="n">
        <f aca="false">E13+E14</f>
        <v>640</v>
      </c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486" t="n">
        <f aca="false">B7+C7+D7+E3</f>
        <v>47687.5</v>
      </c>
      <c r="F9" s="265"/>
      <c r="G9" s="265"/>
      <c r="H9" s="265"/>
      <c r="I9" s="14"/>
      <c r="J9" s="14"/>
      <c r="K9" s="265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38" t="n">
        <v>550</v>
      </c>
      <c r="F10" s="265"/>
      <c r="G10" s="265"/>
      <c r="H10" s="265"/>
      <c r="I10" s="16" t="s">
        <v>1</v>
      </c>
      <c r="J10" s="14" t="n">
        <f aca="false">E15-E11-J8</f>
        <v>48237.5</v>
      </c>
      <c r="K10" s="265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33" t="n">
        <f aca="false">(E9+E10)*20%</f>
        <v>9647.5</v>
      </c>
      <c r="F11" s="265"/>
      <c r="G11" s="265"/>
      <c r="H11" s="265"/>
      <c r="I11" s="14"/>
      <c r="J11" s="14"/>
      <c r="K11" s="265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38" t="n">
        <v>0</v>
      </c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38" t="n">
        <v>585</v>
      </c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38" t="n">
        <v>55</v>
      </c>
      <c r="F14" s="265"/>
      <c r="G14" s="265" t="s">
        <v>11</v>
      </c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440" t="n">
        <f aca="false">(E9+E10+E13+E14+E11)-E12</f>
        <v>58525</v>
      </c>
      <c r="F15" s="265"/>
      <c r="G15" s="17" t="n">
        <f aca="false">E15</f>
        <v>58525</v>
      </c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38" t="n">
        <v>0</v>
      </c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76" t="s">
        <v>13</v>
      </c>
      <c r="Z16" s="265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83"/>
      <c r="F17" s="265"/>
      <c r="G17" s="265" t="s">
        <v>14</v>
      </c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76" t="s">
        <v>15</v>
      </c>
      <c r="Z17" s="265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441" t="n">
        <v>0</v>
      </c>
      <c r="F18" s="265"/>
      <c r="G18" s="17" t="n">
        <f aca="false">(B3+C3+D3+E3+E10)*1.2</f>
        <v>57885</v>
      </c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76" t="s">
        <v>16</v>
      </c>
      <c r="Z18" s="265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441" t="n">
        <v>0</v>
      </c>
      <c r="F19" s="265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441" t="n">
        <v>0</v>
      </c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443" t="n">
        <f aca="false">E15-((E18*1.2)+(E19*1.2)+(E20*1.2)+(E16*1.2))</f>
        <v>58525</v>
      </c>
      <c r="F21" s="265"/>
      <c r="G21" s="265"/>
      <c r="H21" s="265"/>
      <c r="I21" s="265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</row>
    <row r="22" customFormat="false" ht="18.75" hidden="false" customHeight="true" outlineLevel="0" collapsed="false">
      <c r="A22" s="280"/>
      <c r="B22" s="280"/>
      <c r="C22" s="280"/>
      <c r="D22" s="280"/>
      <c r="E22" s="280"/>
      <c r="F22" s="265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</row>
    <row r="23" customFormat="false" ht="17.35" hidden="false" customHeight="false" outlineLevel="0" collapsed="false">
      <c r="A23" s="280"/>
      <c r="B23" s="280"/>
      <c r="C23" s="280"/>
      <c r="D23" s="280"/>
      <c r="E23" s="280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</row>
    <row r="25" customFormat="false" ht="18.75" hidden="false" customHeight="true" outlineLevel="0" collapsed="false">
      <c r="A25" s="281"/>
      <c r="B25" s="282"/>
      <c r="C25" s="282"/>
      <c r="D25" s="282"/>
      <c r="E25" s="283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265"/>
      <c r="G26" s="29" t="s">
        <v>23</v>
      </c>
      <c r="H26" s="30" t="s">
        <v>24</v>
      </c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</row>
    <row r="27" customFormat="false" ht="18.75" hidden="false" customHeight="true" outlineLevel="0" collapsed="false">
      <c r="A27" s="281"/>
      <c r="B27" s="282"/>
      <c r="C27" s="282"/>
      <c r="D27" s="282"/>
      <c r="E27" s="283"/>
      <c r="F27" s="265"/>
      <c r="G27" s="34" t="s">
        <v>25</v>
      </c>
      <c r="H27" s="35" t="n">
        <v>1</v>
      </c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</row>
    <row r="28" customFormat="false" ht="18.75" hidden="false" customHeight="true" outlineLevel="0" collapsed="false">
      <c r="A28" s="284" t="s">
        <v>29</v>
      </c>
      <c r="B28" s="285" t="s">
        <v>30</v>
      </c>
      <c r="C28" s="282"/>
      <c r="D28" s="285" t="s">
        <v>236</v>
      </c>
      <c r="E28" s="283"/>
      <c r="F28" s="265"/>
      <c r="G28" s="34" t="s">
        <v>27</v>
      </c>
      <c r="H28" s="3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</row>
    <row r="29" customFormat="false" ht="18.75" hidden="false" customHeight="true" outlineLevel="0" collapsed="false">
      <c r="A29" s="286" t="s">
        <v>237</v>
      </c>
      <c r="B29" s="219" t="n">
        <v>12345</v>
      </c>
      <c r="C29" s="219"/>
      <c r="D29" s="287" t="n">
        <f aca="true">TODAY()+1</f>
        <v>45013</v>
      </c>
      <c r="E29" s="287"/>
      <c r="F29" s="265"/>
      <c r="G29" s="29" t="s">
        <v>28</v>
      </c>
      <c r="H29" s="37" t="n">
        <f aca="false">A32</f>
        <v>12</v>
      </c>
      <c r="I29" s="392" t="n">
        <f aca="false">ISNUMBER(I31)</f>
        <v>0</v>
      </c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</row>
    <row r="30" customFormat="false" ht="18.75" hidden="false" customHeight="true" outlineLevel="0" collapsed="false">
      <c r="A30" s="281"/>
      <c r="B30" s="152"/>
      <c r="C30" s="152"/>
      <c r="D30" s="282"/>
      <c r="E30" s="283"/>
      <c r="F30" s="265"/>
      <c r="G30" s="29" t="s">
        <v>32</v>
      </c>
      <c r="H30" s="37" t="n">
        <f aca="false">B32</f>
        <v>5000</v>
      </c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</row>
    <row r="31" customFormat="false" ht="18.75" hidden="false" customHeight="true" outlineLevel="0" collapsed="false">
      <c r="A31" s="284" t="s">
        <v>39</v>
      </c>
      <c r="B31" s="285" t="s">
        <v>40</v>
      </c>
      <c r="C31" s="282"/>
      <c r="D31" s="285" t="s">
        <v>41</v>
      </c>
      <c r="E31" s="283"/>
      <c r="F31" s="265"/>
      <c r="G31" s="29" t="s">
        <v>35</v>
      </c>
      <c r="H31" s="42" t="str">
        <f aca="false">A41</f>
        <v>6000</v>
      </c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265"/>
      <c r="G32" s="29" t="s">
        <v>36</v>
      </c>
      <c r="H32" s="42" t="n">
        <f aca="false">A44*A32</f>
        <v>0</v>
      </c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</row>
    <row r="33" customFormat="false" ht="18.75" hidden="false" customHeight="true" outlineLevel="0" collapsed="false">
      <c r="A33" s="224"/>
      <c r="B33" s="288"/>
      <c r="C33" s="226"/>
      <c r="D33" s="289"/>
      <c r="E33" s="283"/>
      <c r="F33" s="265"/>
      <c r="G33" s="34"/>
      <c r="H33" s="48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</row>
    <row r="34" customFormat="false" ht="18.75" hidden="false" customHeight="true" outlineLevel="0" collapsed="false">
      <c r="A34" s="224" t="s">
        <v>272</v>
      </c>
      <c r="B34" s="227" t="s">
        <v>48</v>
      </c>
      <c r="C34" s="226" t="s">
        <v>4</v>
      </c>
      <c r="D34" s="228" t="s">
        <v>49</v>
      </c>
      <c r="E34" s="283"/>
      <c r="F34" s="265"/>
      <c r="G34" s="2"/>
      <c r="H34" s="2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45</v>
      </c>
      <c r="C35" s="219"/>
      <c r="D35" s="290" t="n">
        <f aca="false">A35-B35</f>
        <v>47877.5</v>
      </c>
      <c r="E35" s="290"/>
      <c r="F35" s="265"/>
      <c r="G35" s="50" t="s">
        <v>46</v>
      </c>
      <c r="H35" s="291" t="n">
        <v>0.065</v>
      </c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</row>
    <row r="36" customFormat="false" ht="18.75" hidden="false" customHeight="true" outlineLevel="0" collapsed="false">
      <c r="A36" s="281"/>
      <c r="B36" s="282"/>
      <c r="C36" s="282"/>
      <c r="D36" s="282"/>
      <c r="E36" s="283"/>
      <c r="F36" s="265"/>
      <c r="G36" s="2" t="s">
        <v>50</v>
      </c>
      <c r="H36" s="2" t="n">
        <f aca="false">B38</f>
        <v>11</v>
      </c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</row>
    <row r="37" customFormat="false" ht="18.75" hidden="false" customHeight="true" outlineLevel="0" collapsed="false">
      <c r="A37" s="284" t="s">
        <v>53</v>
      </c>
      <c r="B37" s="285" t="s">
        <v>54</v>
      </c>
      <c r="C37" s="282" t="s">
        <v>4</v>
      </c>
      <c r="D37" s="285" t="s">
        <v>55</v>
      </c>
      <c r="E37" s="283"/>
      <c r="F37" s="265"/>
      <c r="G37" s="2"/>
      <c r="H37" s="2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265"/>
      <c r="G38" s="53" t="s">
        <v>52</v>
      </c>
      <c r="H38" s="53"/>
      <c r="I38" s="2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</row>
    <row r="39" customFormat="false" ht="18.75" hidden="false" customHeight="true" outlineLevel="0" collapsed="false">
      <c r="A39" s="233"/>
      <c r="B39" s="226"/>
      <c r="C39" s="226"/>
      <c r="D39" s="282"/>
      <c r="E39" s="283"/>
      <c r="F39" s="265"/>
      <c r="G39" s="2" t="s">
        <v>56</v>
      </c>
      <c r="H39" s="2" t="str">
        <f aca="false">D38</f>
        <v>500</v>
      </c>
      <c r="I39" s="2"/>
      <c r="J39" s="2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65"/>
      <c r="X39" s="265"/>
      <c r="Y39" s="265"/>
      <c r="Z39" s="265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283"/>
      <c r="F40" s="265" t="s">
        <v>4</v>
      </c>
      <c r="G40" s="2" t="s">
        <v>58</v>
      </c>
      <c r="H40" s="2" t="n">
        <f aca="false">E11</f>
        <v>9647.5</v>
      </c>
      <c r="I40" s="2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265"/>
      <c r="X40" s="265"/>
      <c r="Y40" s="265"/>
      <c r="Z40" s="265"/>
    </row>
    <row r="41" customFormat="false" ht="18.75" hidden="false" customHeight="true" outlineLevel="0" collapsed="false">
      <c r="A41" s="100" t="s">
        <v>64</v>
      </c>
      <c r="B41" s="100" t="s">
        <v>65</v>
      </c>
      <c r="C41" s="100"/>
      <c r="D41" s="219" t="s">
        <v>18</v>
      </c>
      <c r="E41" s="219"/>
      <c r="F41" s="265"/>
      <c r="G41" s="2" t="s">
        <v>59</v>
      </c>
      <c r="H41" s="2" t="n">
        <f aca="false">IF(D41="Yes",A44, 0)</f>
        <v>0</v>
      </c>
      <c r="I41" s="2" t="s">
        <v>4</v>
      </c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265"/>
      <c r="G42" s="2" t="s">
        <v>63</v>
      </c>
      <c r="H42" s="2" t="str">
        <f aca="false">A41</f>
        <v>6000</v>
      </c>
      <c r="I42" s="2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</row>
    <row r="43" customFormat="false" ht="18.75" hidden="false" customHeight="true" outlineLevel="0" collapsed="false">
      <c r="A43" s="285" t="s">
        <v>120</v>
      </c>
      <c r="B43" s="236" t="s">
        <v>69</v>
      </c>
      <c r="C43" s="226" t="s">
        <v>4</v>
      </c>
      <c r="D43" s="236" t="s">
        <v>209</v>
      </c>
      <c r="E43" s="239"/>
      <c r="F43" s="265"/>
      <c r="G43" s="2" t="s">
        <v>66</v>
      </c>
      <c r="H43" s="2" t="n">
        <f aca="false">A32</f>
        <v>12</v>
      </c>
      <c r="I43" s="2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</row>
    <row r="44" customFormat="false" ht="18.75" hidden="false" customHeight="true" outlineLevel="0" collapsed="false">
      <c r="A44" s="100" t="n">
        <v>0</v>
      </c>
      <c r="B44" s="100" t="s">
        <v>271</v>
      </c>
      <c r="C44" s="100"/>
      <c r="D44" s="100" t="n">
        <v>0</v>
      </c>
      <c r="E44" s="100"/>
      <c r="F44" s="265"/>
      <c r="G44" s="2" t="s">
        <v>67</v>
      </c>
      <c r="H44" s="2" t="n">
        <f aca="false">((H40-(((H42/(1.2))*0.2)))/(H43))</f>
        <v>720.625</v>
      </c>
      <c r="I44" s="292" t="n">
        <f aca="false">((A41*(B35-1))+D32)/B35</f>
        <v>5999</v>
      </c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265"/>
      <c r="G45" s="2" t="s">
        <v>71</v>
      </c>
      <c r="H45" s="2" t="n">
        <f aca="false">(H39-H44)+H41</f>
        <v>-220.625</v>
      </c>
      <c r="I45" s="2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</row>
    <row r="46" customFormat="false" ht="18.75" hidden="false" customHeight="true" outlineLevel="0" collapsed="false">
      <c r="A46" s="235" t="s">
        <v>272</v>
      </c>
      <c r="B46" s="226" t="s">
        <v>273</v>
      </c>
      <c r="C46" s="226" t="s">
        <v>4</v>
      </c>
      <c r="D46" s="226"/>
      <c r="E46" s="239"/>
      <c r="F46" s="265" t="n">
        <v>0</v>
      </c>
      <c r="G46" s="2" t="s">
        <v>73</v>
      </c>
      <c r="H46" s="2" t="n">
        <v>0</v>
      </c>
      <c r="I46" s="2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</row>
    <row r="47" customFormat="false" ht="18.75" hidden="false" customHeight="true" outlineLevel="0" collapsed="false">
      <c r="A47" s="106" t="s">
        <v>272</v>
      </c>
      <c r="B47" s="226"/>
      <c r="C47" s="226"/>
      <c r="D47" s="226"/>
      <c r="E47" s="239"/>
      <c r="F47" s="265"/>
      <c r="G47" s="2" t="s">
        <v>74</v>
      </c>
      <c r="H47" s="2" t="n">
        <f aca="false">A38/H29</f>
        <v>1</v>
      </c>
      <c r="I47" s="2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265"/>
      <c r="G48" s="55" t="s">
        <v>76</v>
      </c>
      <c r="H48" s="2" t="n">
        <f aca="false">B41/H29</f>
        <v>1.66666666666667</v>
      </c>
      <c r="I48" s="2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265"/>
      <c r="G49" s="55" t="s">
        <v>77</v>
      </c>
      <c r="H49" s="2" t="n">
        <f aca="false">H45+H48+H47</f>
        <v>-217.958333333333</v>
      </c>
      <c r="I49" s="2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265"/>
      <c r="G50" s="2" t="s">
        <v>274</v>
      </c>
      <c r="H50" s="2" t="n">
        <f aca="false">H49-H41</f>
        <v>-217.958333333333</v>
      </c>
      <c r="I50" s="2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265"/>
      <c r="G51" s="265"/>
      <c r="H51" s="2"/>
      <c r="I51" s="2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265"/>
      <c r="G52" s="265"/>
      <c r="H52" s="2"/>
      <c r="I52" s="2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265"/>
      <c r="G53" s="265"/>
      <c r="H53" s="2"/>
      <c r="I53" s="2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</row>
    <row r="54" customFormat="false" ht="18.75" hidden="false" customHeight="true" outlineLevel="0" collapsed="false">
      <c r="A54" s="293" t="s">
        <v>272</v>
      </c>
      <c r="B54" s="282"/>
      <c r="C54" s="282"/>
      <c r="D54" s="294"/>
      <c r="E54" s="295"/>
      <c r="F54" s="265"/>
      <c r="G54" s="265"/>
      <c r="H54" s="2"/>
      <c r="I54" s="2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</row>
    <row r="55" customFormat="false" ht="18.75" hidden="false" customHeight="true" outlineLevel="0" collapsed="false">
      <c r="A55" s="281"/>
      <c r="B55" s="296"/>
      <c r="C55" s="296"/>
      <c r="D55" s="282"/>
      <c r="E55" s="283"/>
      <c r="F55" s="265"/>
      <c r="G55" s="265"/>
      <c r="H55" s="297"/>
      <c r="I55" s="2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82"/>
      <c r="E56" s="283"/>
      <c r="F56" s="265"/>
      <c r="G56" s="265"/>
      <c r="H56" s="265"/>
      <c r="I56" s="2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82"/>
      <c r="E57" s="283"/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393"/>
      <c r="E58" s="283"/>
      <c r="F58" s="265"/>
      <c r="G58" s="265"/>
      <c r="H58" s="265"/>
      <c r="I58" s="265"/>
      <c r="J58" s="265"/>
      <c r="K58" s="265"/>
      <c r="L58" s="265"/>
      <c r="M58" s="265"/>
      <c r="N58" s="265"/>
      <c r="O58" s="265"/>
      <c r="P58" s="265"/>
      <c r="Q58" s="265"/>
      <c r="R58" s="265"/>
      <c r="S58" s="265"/>
      <c r="T58" s="265"/>
      <c r="U58" s="265"/>
      <c r="V58" s="265"/>
      <c r="W58" s="265"/>
      <c r="X58" s="265"/>
      <c r="Y58" s="265"/>
      <c r="Z58" s="265"/>
    </row>
    <row r="59" customFormat="false" ht="18.75" hidden="false" customHeight="true" outlineLevel="0" collapsed="false">
      <c r="A59" s="281"/>
      <c r="B59" s="282"/>
      <c r="C59" s="282"/>
      <c r="D59" s="282"/>
      <c r="E59" s="283"/>
      <c r="F59" s="265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5"/>
    </row>
    <row r="60" customFormat="false" ht="18.75" hidden="false" customHeight="true" outlineLevel="0" collapsed="false">
      <c r="A60" s="298"/>
      <c r="B60" s="299"/>
      <c r="C60" s="299"/>
      <c r="D60" s="299"/>
      <c r="E60" s="300"/>
      <c r="F60" s="265"/>
      <c r="G60" s="265"/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</row>
    <row r="61" customFormat="false" ht="18.75" hidden="false" customHeight="true" outlineLevel="0" collapsed="false">
      <c r="A61" s="280"/>
      <c r="B61" s="280"/>
      <c r="C61" s="280"/>
      <c r="D61" s="280"/>
      <c r="E61" s="280"/>
      <c r="F61" s="265"/>
      <c r="G61" s="280"/>
      <c r="H61" s="280"/>
      <c r="I61" s="280"/>
      <c r="J61" s="280"/>
      <c r="K61" s="280"/>
      <c r="L61" s="265"/>
      <c r="M61" s="280"/>
      <c r="N61" s="280"/>
      <c r="O61" s="280"/>
      <c r="P61" s="280"/>
      <c r="Q61" s="280"/>
      <c r="R61" s="265"/>
      <c r="S61" s="265"/>
      <c r="T61" s="265"/>
      <c r="U61" s="265"/>
      <c r="V61" s="265"/>
      <c r="W61" s="265"/>
      <c r="X61" s="265"/>
      <c r="Y61" s="265"/>
      <c r="Z61" s="265"/>
    </row>
    <row r="62" customFormat="false" ht="18.75" hidden="false" customHeight="true" outlineLevel="0" collapsed="false">
      <c r="A62" s="301"/>
      <c r="B62" s="302"/>
      <c r="C62" s="302"/>
      <c r="D62" s="302"/>
      <c r="E62" s="303"/>
      <c r="F62" s="265"/>
      <c r="G62" s="301"/>
      <c r="H62" s="302"/>
      <c r="I62" s="302"/>
      <c r="J62" s="302"/>
      <c r="K62" s="303"/>
      <c r="L62" s="265"/>
      <c r="M62" s="301"/>
      <c r="N62" s="302"/>
      <c r="O62" s="302"/>
      <c r="P62" s="302"/>
      <c r="Q62" s="303"/>
      <c r="R62" s="265"/>
      <c r="S62" s="265"/>
      <c r="T62" s="265"/>
      <c r="U62" s="265"/>
      <c r="V62" s="265"/>
      <c r="W62" s="265"/>
      <c r="X62" s="265"/>
      <c r="Y62" s="265"/>
      <c r="Z62" s="265"/>
    </row>
    <row r="63" customFormat="false" ht="18.75" hidden="false" customHeight="true" outlineLevel="0" collapsed="false">
      <c r="A63" s="281" t="s">
        <v>87</v>
      </c>
      <c r="B63" s="280" t="n">
        <f aca="false">IF(B105=Z103,1,IF(B105=Z104,1,IF(B105=Z105,3,IF(B105=Z106,6,IF(B105=Z107,9,IF(B105=Z108,12,IF(B105=Z109,3,IF(B105=Z110,6,IF(B105=Z111,9,0)))))))))</f>
        <v>9</v>
      </c>
      <c r="C63" s="280"/>
      <c r="D63" s="280"/>
      <c r="E63" s="283"/>
      <c r="F63" s="265"/>
      <c r="G63" s="281" t="s">
        <v>87</v>
      </c>
      <c r="H63" s="280" t="n">
        <f aca="false">IF(H105=Y103,1,IF(H105=Y104,1,IF(H105=Y105,3,IF(H105=Y106,6,IF(H105=Y107,9,IF(H105=Y108,12,IF(H105=Y109,3,IF(H105=Y110,6,IF(H105=Y111,9,0)))))))))</f>
        <v>0</v>
      </c>
      <c r="I63" s="280"/>
      <c r="J63" s="280"/>
      <c r="K63" s="283"/>
      <c r="L63" s="265"/>
      <c r="M63" s="281" t="s">
        <v>87</v>
      </c>
      <c r="N63" s="280" t="n">
        <f aca="false">IF(N105=Y103,1,IF(N105=Y104,1,IF(N105=Y105,3,IF(N105=Y106,6,IF(N105=Y107,9,IF(N105=Y108,12,IF(N105=Y109,3,IF(N105=Y110,6,IF(N105=Y111,9,0)))))))))</f>
        <v>0</v>
      </c>
      <c r="O63" s="280"/>
      <c r="P63" s="280"/>
      <c r="Q63" s="283"/>
      <c r="R63" s="265"/>
      <c r="S63" s="265"/>
      <c r="T63" s="265"/>
      <c r="U63" s="265"/>
      <c r="V63" s="265"/>
      <c r="W63" s="265"/>
      <c r="X63" s="265"/>
      <c r="Y63" s="265"/>
      <c r="Z63" s="265"/>
    </row>
    <row r="64" customFormat="false" ht="18.75" hidden="false" customHeight="true" outlineLevel="0" collapsed="false">
      <c r="A64" s="281" t="s">
        <v>88</v>
      </c>
      <c r="B64" s="280" t="n">
        <f aca="false">IF(B105=Z103,H29-B63,IF(B105=Z104,H29-B63,IF(B105=Z105,H29-1,IF(B105=Z106,H29-1,IF(B105=Z107,H29-1,IF(B105=Z108,H29-1,IF(B105=Z109,H29-B63,IF(B105=Z110,H29-B63,IF(B105=Z111,H29-B63,0)))))))))</f>
        <v>3</v>
      </c>
      <c r="C64" s="280" t="s">
        <v>4</v>
      </c>
      <c r="D64" s="280"/>
      <c r="E64" s="283"/>
      <c r="F64" s="265"/>
      <c r="G64" s="281" t="s">
        <v>88</v>
      </c>
      <c r="H64" s="280" t="n">
        <f aca="false">IF(H105=Y103,H29-H63,IF(H105=Y104,H29-H63,IF(H105=Y105,H29-1,IF(H105=Y106,H29-1,IF(H105=Y107,H29-1,IF(H105=Y108,H29-1,IF(H105=Y109,H29-H63,IF(H105=Y110,H29-H63,IF(H105=Y111,H29-H63,0)))))))))</f>
        <v>0</v>
      </c>
      <c r="I64" s="280"/>
      <c r="J64" s="280"/>
      <c r="K64" s="283"/>
      <c r="L64" s="265"/>
      <c r="M64" s="281" t="s">
        <v>88</v>
      </c>
      <c r="N64" s="280" t="n">
        <f aca="false">IF(N105=Y103,H29-N63,IF(N105=Y104,H29-N63,IF(N105=Y105,H29-1,IF(N105=Y106,H29-1,IF(N105=Y107,H29-1,IF(N105=Y108,H29-1,IF(N105=Y109,H29-N63,IF(N105=Y110,H29-N63,IF(N105=Y111,H29-N63,0)))))))))</f>
        <v>0</v>
      </c>
      <c r="O64" s="280"/>
      <c r="P64" s="280"/>
      <c r="Q64" s="283"/>
      <c r="R64" s="265"/>
      <c r="S64" s="265"/>
      <c r="T64" s="265"/>
      <c r="U64" s="265"/>
      <c r="V64" s="265"/>
      <c r="W64" s="265"/>
      <c r="X64" s="265"/>
      <c r="Y64" s="265"/>
      <c r="Z64" s="265"/>
    </row>
    <row r="65" customFormat="false" ht="18.75" hidden="false" customHeight="true" outlineLevel="0" collapsed="false">
      <c r="A65" s="281"/>
      <c r="C65" s="280"/>
      <c r="D65" s="280"/>
      <c r="E65" s="283"/>
      <c r="F65" s="265"/>
      <c r="G65" s="281"/>
      <c r="H65" s="280"/>
      <c r="I65" s="280"/>
      <c r="J65" s="280"/>
      <c r="K65" s="283"/>
      <c r="L65" s="265"/>
      <c r="M65" s="281"/>
      <c r="N65" s="280"/>
      <c r="O65" s="280"/>
      <c r="P65" s="280"/>
      <c r="Q65" s="283"/>
      <c r="R65" s="265"/>
      <c r="S65" s="265"/>
      <c r="T65" s="265"/>
      <c r="U65" s="265"/>
      <c r="V65" s="265"/>
      <c r="W65" s="265"/>
      <c r="X65" s="265"/>
      <c r="Y65" s="265"/>
      <c r="Z65" s="265"/>
    </row>
    <row r="66" customFormat="false" ht="18.75" hidden="false" customHeight="true" outlineLevel="0" collapsed="false">
      <c r="A66" s="281"/>
      <c r="B66" s="280"/>
      <c r="C66" s="280"/>
      <c r="D66" s="280"/>
      <c r="E66" s="283"/>
      <c r="F66" s="265"/>
      <c r="G66" s="281"/>
      <c r="H66" s="280"/>
      <c r="I66" s="280"/>
      <c r="J66" s="280"/>
      <c r="K66" s="283"/>
      <c r="L66" s="265"/>
      <c r="M66" s="281"/>
      <c r="N66" s="280"/>
      <c r="O66" s="280"/>
      <c r="P66" s="280"/>
      <c r="Q66" s="283"/>
      <c r="R66" s="265"/>
      <c r="S66" s="265"/>
      <c r="T66" s="265"/>
      <c r="U66" s="265"/>
      <c r="V66" s="265"/>
      <c r="W66" s="265"/>
      <c r="X66" s="265"/>
      <c r="Y66" s="265"/>
      <c r="Z66" s="265"/>
    </row>
    <row r="67" customFormat="false" ht="18.75" hidden="false" customHeight="true" outlineLevel="0" collapsed="false">
      <c r="A67" s="281" t="s">
        <v>14</v>
      </c>
      <c r="B67" s="32" t="n">
        <f aca="false">G18</f>
        <v>57885</v>
      </c>
      <c r="C67" s="280"/>
      <c r="D67" s="280"/>
      <c r="E67" s="283"/>
      <c r="F67" s="265"/>
      <c r="G67" s="281" t="s">
        <v>14</v>
      </c>
      <c r="H67" s="32" t="n">
        <f aca="false">G18</f>
        <v>57885</v>
      </c>
      <c r="I67" s="280"/>
      <c r="J67" s="280"/>
      <c r="K67" s="283"/>
      <c r="L67" s="265"/>
      <c r="M67" s="281" t="s">
        <v>14</v>
      </c>
      <c r="N67" s="32" t="n">
        <f aca="false">G18</f>
        <v>57885</v>
      </c>
      <c r="O67" s="280"/>
      <c r="P67" s="280"/>
      <c r="Q67" s="283"/>
      <c r="R67" s="265"/>
      <c r="S67" s="265"/>
      <c r="T67" s="265"/>
      <c r="U67" s="265"/>
      <c r="V67" s="265"/>
      <c r="W67" s="265"/>
      <c r="X67" s="265"/>
      <c r="Y67" s="265"/>
      <c r="Z67" s="265"/>
    </row>
    <row r="68" customFormat="false" ht="18.75" hidden="false" customHeight="true" outlineLevel="0" collapsed="false">
      <c r="A68" s="306" t="s">
        <v>276</v>
      </c>
      <c r="B68" s="307" t="n">
        <v>0.07</v>
      </c>
      <c r="C68" s="280"/>
      <c r="D68" s="280"/>
      <c r="E68" s="283"/>
      <c r="F68" s="265"/>
      <c r="G68" s="306" t="s">
        <v>276</v>
      </c>
      <c r="H68" s="307" t="n">
        <v>0.07</v>
      </c>
      <c r="I68" s="280"/>
      <c r="J68" s="280"/>
      <c r="K68" s="283"/>
      <c r="L68" s="265"/>
      <c r="M68" s="306" t="s">
        <v>276</v>
      </c>
      <c r="N68" s="307" t="n">
        <v>0.07</v>
      </c>
      <c r="O68" s="280"/>
      <c r="P68" s="280"/>
      <c r="Q68" s="283"/>
      <c r="R68" s="265"/>
      <c r="S68" s="265"/>
      <c r="T68" s="265"/>
      <c r="U68" s="265"/>
      <c r="V68" s="265"/>
      <c r="W68" s="265"/>
      <c r="X68" s="265"/>
      <c r="Y68" s="265"/>
      <c r="Z68" s="265"/>
    </row>
    <row r="69" customFormat="false" ht="18.75" hidden="false" customHeight="true" outlineLevel="0" collapsed="false">
      <c r="A69" s="281" t="s">
        <v>277</v>
      </c>
      <c r="B69" s="309" t="n">
        <f aca="false">B68+(B68*0.25*(H29/12-1))</f>
        <v>0.07</v>
      </c>
      <c r="C69" s="280"/>
      <c r="D69" s="280"/>
      <c r="E69" s="283"/>
      <c r="F69" s="265"/>
      <c r="G69" s="281" t="s">
        <v>277</v>
      </c>
      <c r="H69" s="309" t="n">
        <f aca="false">H68+(H68*0.25*(H29/12-1))</f>
        <v>0.07</v>
      </c>
      <c r="I69" s="280"/>
      <c r="J69" s="280"/>
      <c r="K69" s="283"/>
      <c r="L69" s="265"/>
      <c r="M69" s="281" t="s">
        <v>277</v>
      </c>
      <c r="N69" s="309" t="n">
        <f aca="false">N68+(N68*0.25*(H29/12-1))</f>
        <v>0.07</v>
      </c>
      <c r="O69" s="280"/>
      <c r="P69" s="280"/>
      <c r="Q69" s="283"/>
      <c r="R69" s="265"/>
      <c r="S69" s="265"/>
      <c r="T69" s="265"/>
      <c r="U69" s="265"/>
      <c r="V69" s="265"/>
      <c r="W69" s="265"/>
      <c r="X69" s="265"/>
      <c r="Y69" s="265"/>
      <c r="Z69" s="265"/>
    </row>
    <row r="70" customFormat="false" ht="18.75" hidden="false" customHeight="true" outlineLevel="0" collapsed="false">
      <c r="A70" s="298" t="s">
        <v>93</v>
      </c>
      <c r="B70" s="65" t="n">
        <f aca="false">B67*B69</f>
        <v>4051.95</v>
      </c>
      <c r="C70" s="280" t="n">
        <v>10000</v>
      </c>
      <c r="D70" s="32" t="n">
        <f aca="false">B70-A149</f>
        <v>4051.95</v>
      </c>
      <c r="E70" s="283" t="n">
        <f aca="false">D70/12</f>
        <v>337.6625</v>
      </c>
      <c r="F70" s="265"/>
      <c r="G70" s="298" t="s">
        <v>93</v>
      </c>
      <c r="H70" s="65" t="n">
        <f aca="false">H67*H69</f>
        <v>4051.95</v>
      </c>
      <c r="I70" s="280"/>
      <c r="J70" s="32" t="n">
        <f aca="false">H70-G151</f>
        <v>4051.95</v>
      </c>
      <c r="K70" s="283"/>
      <c r="L70" s="265"/>
      <c r="M70" s="298" t="s">
        <v>93</v>
      </c>
      <c r="N70" s="65" t="n">
        <f aca="false">N67*N69</f>
        <v>4051.95</v>
      </c>
      <c r="O70" s="280"/>
      <c r="P70" s="32" t="n">
        <f aca="false">N70-M151</f>
        <v>4051.95</v>
      </c>
      <c r="Q70" s="283"/>
      <c r="R70" s="265"/>
      <c r="S70" s="265"/>
      <c r="T70" s="265"/>
      <c r="U70" s="265"/>
      <c r="V70" s="265"/>
      <c r="W70" s="265"/>
      <c r="X70" s="265"/>
      <c r="Y70" s="265"/>
      <c r="Z70" s="265"/>
    </row>
    <row r="71" customFormat="false" ht="18.75" hidden="false" customHeight="true" outlineLevel="0" collapsed="false">
      <c r="A71" s="306" t="s">
        <v>94</v>
      </c>
      <c r="B71" s="307" t="n">
        <v>0.01</v>
      </c>
      <c r="C71" s="280"/>
      <c r="D71" s="280"/>
      <c r="E71" s="283"/>
      <c r="F71" s="265"/>
      <c r="G71" s="306" t="s">
        <v>94</v>
      </c>
      <c r="H71" s="307" t="n">
        <v>0.005</v>
      </c>
      <c r="I71" s="280"/>
      <c r="J71" s="280"/>
      <c r="K71" s="283"/>
      <c r="L71" s="265"/>
      <c r="M71" s="306" t="s">
        <v>94</v>
      </c>
      <c r="N71" s="307" t="n">
        <v>0.005</v>
      </c>
      <c r="O71" s="280"/>
      <c r="P71" s="280"/>
      <c r="Q71" s="283"/>
      <c r="R71" s="265"/>
      <c r="S71" s="265"/>
      <c r="T71" s="265"/>
      <c r="U71" s="265"/>
      <c r="V71" s="265"/>
      <c r="W71" s="265"/>
      <c r="X71" s="265"/>
      <c r="Y71" s="265"/>
      <c r="Z71" s="265"/>
    </row>
    <row r="72" customFormat="false" ht="18.75" hidden="false" customHeight="true" outlineLevel="0" collapsed="false">
      <c r="A72" s="281" t="s">
        <v>95</v>
      </c>
      <c r="B72" s="309" t="n">
        <f aca="false">B71+(B71*0.5*(H29/12-1))</f>
        <v>0.01</v>
      </c>
      <c r="C72" s="280"/>
      <c r="D72" s="280"/>
      <c r="E72" s="283"/>
      <c r="F72" s="265"/>
      <c r="G72" s="281" t="s">
        <v>95</v>
      </c>
      <c r="H72" s="309" t="n">
        <f aca="false">H71+(H71*0.5*(H29/12-1))</f>
        <v>0.005</v>
      </c>
      <c r="I72" s="280"/>
      <c r="J72" s="280"/>
      <c r="K72" s="283"/>
      <c r="L72" s="265"/>
      <c r="M72" s="281" t="s">
        <v>95</v>
      </c>
      <c r="N72" s="309" t="n">
        <f aca="false">N71+(N71*0.5*(H29/12-1))</f>
        <v>0.005</v>
      </c>
      <c r="O72" s="280"/>
      <c r="P72" s="280"/>
      <c r="Q72" s="283"/>
      <c r="R72" s="265"/>
      <c r="S72" s="265"/>
      <c r="T72" s="265"/>
      <c r="U72" s="265"/>
      <c r="V72" s="265"/>
      <c r="W72" s="265"/>
      <c r="X72" s="265"/>
      <c r="Y72" s="265"/>
      <c r="Z72" s="265"/>
    </row>
    <row r="73" customFormat="false" ht="18.75" hidden="false" customHeight="true" outlineLevel="0" collapsed="false">
      <c r="A73" s="298" t="s">
        <v>96</v>
      </c>
      <c r="B73" s="65" t="n">
        <f aca="false">B67*B72</f>
        <v>578.85</v>
      </c>
      <c r="C73" s="280"/>
      <c r="D73" s="32"/>
      <c r="E73" s="283"/>
      <c r="F73" s="265"/>
      <c r="G73" s="298" t="s">
        <v>96</v>
      </c>
      <c r="H73" s="65" t="n">
        <f aca="false">H67*H72</f>
        <v>289.425</v>
      </c>
      <c r="I73" s="280"/>
      <c r="J73" s="32"/>
      <c r="K73" s="283"/>
      <c r="L73" s="265"/>
      <c r="M73" s="298" t="s">
        <v>96</v>
      </c>
      <c r="N73" s="65" t="n">
        <f aca="false">N67*N72</f>
        <v>289.425</v>
      </c>
      <c r="O73" s="280"/>
      <c r="P73" s="32"/>
      <c r="Q73" s="283"/>
      <c r="R73" s="265"/>
      <c r="S73" s="265"/>
      <c r="T73" s="265"/>
      <c r="U73" s="265"/>
      <c r="V73" s="265"/>
      <c r="W73" s="265"/>
      <c r="X73" s="265"/>
      <c r="Y73" s="265"/>
      <c r="Z73" s="265"/>
    </row>
    <row r="74" customFormat="false" ht="18.75" hidden="false" customHeight="true" outlineLevel="0" collapsed="false">
      <c r="A74" s="306" t="s">
        <v>97</v>
      </c>
      <c r="B74" s="307" t="n">
        <v>0.0075</v>
      </c>
      <c r="C74" s="280"/>
      <c r="D74" s="280"/>
      <c r="E74" s="283"/>
      <c r="F74" s="265"/>
      <c r="G74" s="306" t="s">
        <v>97</v>
      </c>
      <c r="H74" s="307" t="n">
        <v>0.0075</v>
      </c>
      <c r="I74" s="280"/>
      <c r="J74" s="280"/>
      <c r="K74" s="283"/>
      <c r="L74" s="265"/>
      <c r="M74" s="306" t="s">
        <v>97</v>
      </c>
      <c r="N74" s="307" t="n">
        <v>0.0075</v>
      </c>
      <c r="O74" s="280"/>
      <c r="P74" s="280"/>
      <c r="Q74" s="283"/>
      <c r="R74" s="265"/>
      <c r="S74" s="265"/>
      <c r="T74" s="265"/>
      <c r="U74" s="265"/>
      <c r="V74" s="265"/>
      <c r="W74" s="265"/>
      <c r="X74" s="265"/>
      <c r="Y74" s="265"/>
      <c r="Z74" s="265"/>
    </row>
    <row r="75" customFormat="false" ht="18.75" hidden="false" customHeight="true" outlineLevel="0" collapsed="false">
      <c r="A75" s="311" t="s">
        <v>98</v>
      </c>
      <c r="B75" s="312" t="n">
        <v>0.12</v>
      </c>
      <c r="C75" s="280"/>
      <c r="D75" s="280"/>
      <c r="E75" s="283"/>
      <c r="F75" s="265"/>
      <c r="G75" s="311" t="s">
        <v>98</v>
      </c>
      <c r="H75" s="312" t="n">
        <v>0.12</v>
      </c>
      <c r="I75" s="280"/>
      <c r="J75" s="280"/>
      <c r="K75" s="283"/>
      <c r="L75" s="265"/>
      <c r="M75" s="311" t="s">
        <v>98</v>
      </c>
      <c r="N75" s="312" t="n">
        <v>0.12</v>
      </c>
      <c r="O75" s="280"/>
      <c r="P75" s="280"/>
      <c r="Q75" s="283"/>
      <c r="R75" s="265"/>
      <c r="S75" s="265"/>
      <c r="T75" s="265"/>
      <c r="U75" s="265"/>
      <c r="V75" s="265"/>
      <c r="W75" s="265"/>
      <c r="X75" s="265"/>
      <c r="Y75" s="265"/>
      <c r="Z75" s="265"/>
    </row>
    <row r="76" customFormat="false" ht="18.75" hidden="false" customHeight="true" outlineLevel="0" collapsed="false">
      <c r="A76" s="298" t="s">
        <v>99</v>
      </c>
      <c r="B76" s="313" t="n">
        <f aca="false">B74*(1+B75)</f>
        <v>0.0084</v>
      </c>
      <c r="C76" s="280"/>
      <c r="D76" s="280"/>
      <c r="E76" s="283"/>
      <c r="F76" s="265"/>
      <c r="G76" s="298" t="s">
        <v>99</v>
      </c>
      <c r="H76" s="313" t="n">
        <f aca="false">H74*(1+H75)</f>
        <v>0.0084</v>
      </c>
      <c r="I76" s="280"/>
      <c r="J76" s="280"/>
      <c r="K76" s="283"/>
      <c r="L76" s="265"/>
      <c r="M76" s="298" t="s">
        <v>99</v>
      </c>
      <c r="N76" s="313" t="n">
        <f aca="false">N74*(1+N75)</f>
        <v>0.0084</v>
      </c>
      <c r="O76" s="280"/>
      <c r="P76" s="280"/>
      <c r="Q76" s="283"/>
      <c r="R76" s="265"/>
      <c r="S76" s="265"/>
      <c r="T76" s="265"/>
      <c r="U76" s="265"/>
      <c r="V76" s="265"/>
      <c r="W76" s="265"/>
      <c r="X76" s="265"/>
      <c r="Y76" s="265"/>
      <c r="Z76" s="265"/>
    </row>
    <row r="77" customFormat="false" ht="18.75" hidden="false" customHeight="true" outlineLevel="0" collapsed="false">
      <c r="A77" s="306" t="s">
        <v>100</v>
      </c>
      <c r="B77" s="86" t="n">
        <v>200</v>
      </c>
      <c r="C77" s="280"/>
      <c r="D77" s="280"/>
      <c r="E77" s="283"/>
      <c r="F77" s="265"/>
      <c r="G77" s="306" t="s">
        <v>100</v>
      </c>
      <c r="H77" s="86" t="n">
        <v>160</v>
      </c>
      <c r="I77" s="280"/>
      <c r="J77" s="280"/>
      <c r="K77" s="283"/>
      <c r="L77" s="265"/>
      <c r="M77" s="306" t="s">
        <v>100</v>
      </c>
      <c r="N77" s="86" t="n">
        <v>160</v>
      </c>
      <c r="O77" s="280"/>
      <c r="P77" s="280"/>
      <c r="Q77" s="283"/>
      <c r="R77" s="265"/>
      <c r="S77" s="265"/>
      <c r="T77" s="265"/>
      <c r="U77" s="265"/>
      <c r="V77" s="265"/>
      <c r="W77" s="265"/>
      <c r="X77" s="265"/>
      <c r="Y77" s="265"/>
      <c r="Z77" s="265"/>
    </row>
    <row r="78" customFormat="false" ht="18.75" hidden="false" customHeight="true" outlineLevel="0" collapsed="false">
      <c r="A78" s="311" t="s">
        <v>101</v>
      </c>
      <c r="B78" s="77" t="n">
        <v>5</v>
      </c>
      <c r="C78" s="280"/>
      <c r="D78" s="280"/>
      <c r="E78" s="283"/>
      <c r="F78" s="265"/>
      <c r="G78" s="311" t="s">
        <v>101</v>
      </c>
      <c r="H78" s="77" t="n">
        <v>4.5</v>
      </c>
      <c r="I78" s="280"/>
      <c r="J78" s="280"/>
      <c r="K78" s="283"/>
      <c r="L78" s="265"/>
      <c r="M78" s="311" t="s">
        <v>101</v>
      </c>
      <c r="N78" s="77" t="n">
        <v>4.5</v>
      </c>
      <c r="O78" s="280"/>
      <c r="P78" s="280"/>
      <c r="Q78" s="283"/>
      <c r="R78" s="265"/>
      <c r="S78" s="265"/>
      <c r="T78" s="265"/>
      <c r="U78" s="265"/>
      <c r="V78" s="265"/>
      <c r="W78" s="265"/>
      <c r="X78" s="265"/>
      <c r="Y78" s="265"/>
      <c r="Z78" s="265"/>
    </row>
    <row r="79" customFormat="false" ht="18.75" hidden="false" customHeight="true" outlineLevel="0" collapsed="false">
      <c r="A79" s="298" t="s">
        <v>102</v>
      </c>
      <c r="B79" s="65" t="n">
        <f aca="false">B78*H29</f>
        <v>60</v>
      </c>
      <c r="C79" s="280"/>
      <c r="D79" s="32" t="n">
        <f aca="false">B79+B77</f>
        <v>260</v>
      </c>
      <c r="E79" s="314" t="n">
        <f aca="false">D79+D85+D86</f>
        <v>660</v>
      </c>
      <c r="F79" s="265"/>
      <c r="G79" s="298" t="s">
        <v>102</v>
      </c>
      <c r="H79" s="65" t="n">
        <f aca="false">H78*H29</f>
        <v>54</v>
      </c>
      <c r="I79" s="280"/>
      <c r="J79" s="32" t="n">
        <f aca="false">H79+H77</f>
        <v>214</v>
      </c>
      <c r="K79" s="283"/>
      <c r="L79" s="265"/>
      <c r="M79" s="298" t="s">
        <v>102</v>
      </c>
      <c r="N79" s="65" t="n">
        <f aca="false">N78*H29</f>
        <v>54</v>
      </c>
      <c r="O79" s="280"/>
      <c r="P79" s="32" t="n">
        <f aca="false">N79+N77</f>
        <v>214</v>
      </c>
      <c r="Q79" s="283"/>
      <c r="R79" s="265"/>
      <c r="S79" s="265"/>
      <c r="T79" s="265"/>
      <c r="U79" s="265"/>
      <c r="V79" s="265"/>
      <c r="W79" s="265"/>
      <c r="X79" s="265"/>
      <c r="Y79" s="265"/>
      <c r="Z79" s="265"/>
    </row>
    <row r="80" customFormat="false" ht="18.75" hidden="false" customHeight="true" outlineLevel="0" collapsed="false">
      <c r="A80" s="306" t="s">
        <v>278</v>
      </c>
      <c r="B80" s="86" t="n">
        <v>165</v>
      </c>
      <c r="C80" s="280"/>
      <c r="D80" s="280"/>
      <c r="E80" s="314" t="n">
        <f aca="false">E79+D82</f>
        <v>703.333333333333</v>
      </c>
      <c r="F80" s="265"/>
      <c r="G80" s="306" t="s">
        <v>278</v>
      </c>
      <c r="H80" s="86" t="n">
        <v>150</v>
      </c>
      <c r="I80" s="280"/>
      <c r="J80" s="280"/>
      <c r="K80" s="283"/>
      <c r="L80" s="265"/>
      <c r="M80" s="315" t="s">
        <v>278</v>
      </c>
      <c r="N80" s="316" t="n">
        <v>0</v>
      </c>
      <c r="O80" s="280"/>
      <c r="P80" s="280"/>
      <c r="Q80" s="283"/>
      <c r="R80" s="265"/>
      <c r="S80" s="265"/>
      <c r="T80" s="265"/>
      <c r="U80" s="265"/>
      <c r="V80" s="265"/>
      <c r="W80" s="265"/>
      <c r="X80" s="265"/>
      <c r="Y80" s="265"/>
      <c r="Z80" s="265"/>
    </row>
    <row r="81" customFormat="false" ht="18.75" hidden="false" customHeight="true" outlineLevel="0" collapsed="false">
      <c r="A81" s="311" t="s">
        <v>279</v>
      </c>
      <c r="B81" s="77" t="n">
        <v>355</v>
      </c>
      <c r="C81" s="280"/>
      <c r="D81" s="280"/>
      <c r="E81" s="283" t="n">
        <f aca="false">E80/12</f>
        <v>58.6111111111111</v>
      </c>
      <c r="F81" s="265"/>
      <c r="G81" s="311" t="s">
        <v>279</v>
      </c>
      <c r="H81" s="77" t="n">
        <f aca="false">IF(G18&gt;40000, 325, 0)</f>
        <v>325</v>
      </c>
      <c r="I81" s="280"/>
      <c r="J81" s="280"/>
      <c r="K81" s="283"/>
      <c r="L81" s="265"/>
      <c r="M81" s="317" t="s">
        <v>279</v>
      </c>
      <c r="N81" s="318" t="n">
        <v>0</v>
      </c>
      <c r="O81" s="280"/>
      <c r="P81" s="280"/>
      <c r="Q81" s="283"/>
      <c r="R81" s="265"/>
      <c r="S81" s="265"/>
      <c r="T81" s="265"/>
      <c r="U81" s="265"/>
      <c r="V81" s="265"/>
      <c r="W81" s="265"/>
      <c r="X81" s="265"/>
      <c r="Y81" s="265"/>
      <c r="Z81" s="265"/>
    </row>
    <row r="82" customFormat="false" ht="18.75" hidden="false" customHeight="true" outlineLevel="0" collapsed="false">
      <c r="A82" s="298" t="s">
        <v>280</v>
      </c>
      <c r="B82" s="65" t="n">
        <f aca="false">((B80+B81)/12)*(H29-11)</f>
        <v>43.3333333333333</v>
      </c>
      <c r="C82" s="280"/>
      <c r="D82" s="32" t="n">
        <f aca="false">IF(A50="YES", 0, B82)</f>
        <v>43.3333333333333</v>
      </c>
      <c r="E82" s="283"/>
      <c r="F82" s="265"/>
      <c r="G82" s="298" t="s">
        <v>280</v>
      </c>
      <c r="H82" s="65" t="n">
        <f aca="false">((H80+H81)/12)*(H29-11)</f>
        <v>39.5833333333333</v>
      </c>
      <c r="I82" s="280"/>
      <c r="J82" s="32" t="n">
        <f aca="false">IF(A50="YES", 0, H82)</f>
        <v>39.5833333333333</v>
      </c>
      <c r="K82" s="283"/>
      <c r="L82" s="265"/>
      <c r="M82" s="319" t="s">
        <v>280</v>
      </c>
      <c r="N82" s="320" t="n">
        <f aca="false">((N80+N81)/12)*(H29-11)</f>
        <v>0</v>
      </c>
      <c r="O82" s="280"/>
      <c r="P82" s="32" t="n">
        <f aca="false">IF(A50="YES", 0, N82)</f>
        <v>0</v>
      </c>
      <c r="Q82" s="283"/>
      <c r="R82" s="265"/>
      <c r="S82" s="265"/>
      <c r="T82" s="265"/>
      <c r="U82" s="265"/>
      <c r="V82" s="265"/>
      <c r="W82" s="265"/>
      <c r="X82" s="265"/>
      <c r="Y82" s="265"/>
      <c r="Z82" s="265"/>
    </row>
    <row r="83" customFormat="false" ht="18.75" hidden="false" customHeight="true" outlineLevel="0" collapsed="false">
      <c r="A83" s="306" t="s">
        <v>281</v>
      </c>
      <c r="B83" s="86" t="n">
        <f aca="false">B108/(1-0.1)</f>
        <v>444.444444444444</v>
      </c>
      <c r="C83" s="280"/>
      <c r="D83" s="32" t="n">
        <f aca="false">B83</f>
        <v>444.444444444444</v>
      </c>
      <c r="E83" s="283" t="n">
        <f aca="false">D83/12</f>
        <v>37.037037037037</v>
      </c>
      <c r="F83" s="265"/>
      <c r="G83" s="306" t="s">
        <v>281</v>
      </c>
      <c r="H83" s="86" t="n">
        <f aca="false">H108</f>
        <v>1200</v>
      </c>
      <c r="I83" s="280"/>
      <c r="J83" s="32" t="n">
        <f aca="false">H83</f>
        <v>1200</v>
      </c>
      <c r="K83" s="283"/>
      <c r="L83" s="265"/>
      <c r="M83" s="306" t="s">
        <v>281</v>
      </c>
      <c r="N83" s="86" t="n">
        <f aca="false">N108</f>
        <v>1200</v>
      </c>
      <c r="O83" s="280"/>
      <c r="P83" s="32" t="n">
        <f aca="false">N83</f>
        <v>1200</v>
      </c>
      <c r="Q83" s="283"/>
      <c r="R83" s="265"/>
      <c r="S83" s="265"/>
      <c r="T83" s="265"/>
      <c r="U83" s="265"/>
      <c r="V83" s="265"/>
      <c r="W83" s="265"/>
      <c r="X83" s="265"/>
      <c r="Y83" s="265"/>
      <c r="Z83" s="265"/>
    </row>
    <row r="84" customFormat="false" ht="18.75" hidden="false" customHeight="true" outlineLevel="0" collapsed="false">
      <c r="A84" s="281" t="s">
        <v>282</v>
      </c>
      <c r="B84" s="33" t="n">
        <f aca="false">D108/(1-0.1)</f>
        <v>222.222222222222</v>
      </c>
      <c r="C84" s="280"/>
      <c r="D84" s="32" t="n">
        <f aca="false">B84</f>
        <v>222.222222222222</v>
      </c>
      <c r="E84" s="283"/>
      <c r="F84" s="265"/>
      <c r="G84" s="281" t="s">
        <v>283</v>
      </c>
      <c r="H84" s="33" t="n">
        <f aca="false">J108</f>
        <v>1500</v>
      </c>
      <c r="I84" s="280"/>
      <c r="J84" s="32" t="n">
        <f aca="false">H84</f>
        <v>1500</v>
      </c>
      <c r="K84" s="283"/>
      <c r="L84" s="265"/>
      <c r="M84" s="281" t="s">
        <v>283</v>
      </c>
      <c r="N84" s="33" t="n">
        <f aca="false">P108</f>
        <v>1500</v>
      </c>
      <c r="O84" s="280"/>
      <c r="P84" s="32" t="n">
        <f aca="false">N84</f>
        <v>1500</v>
      </c>
      <c r="Q84" s="283"/>
      <c r="R84" s="265"/>
      <c r="S84" s="265"/>
      <c r="T84" s="265"/>
      <c r="U84" s="265"/>
      <c r="V84" s="265"/>
      <c r="W84" s="265"/>
      <c r="X84" s="265"/>
      <c r="Y84" s="265"/>
      <c r="Z84" s="265"/>
    </row>
    <row r="85" customFormat="false" ht="18.75" hidden="false" customHeight="true" outlineLevel="0" collapsed="false">
      <c r="A85" s="311" t="s">
        <v>103</v>
      </c>
      <c r="B85" s="77" t="n">
        <v>200</v>
      </c>
      <c r="C85" s="280"/>
      <c r="D85" s="32" t="n">
        <f aca="false">B85</f>
        <v>200</v>
      </c>
      <c r="E85" s="283"/>
      <c r="F85" s="265"/>
      <c r="G85" s="311" t="s">
        <v>103</v>
      </c>
      <c r="H85" s="77" t="n">
        <v>100</v>
      </c>
      <c r="I85" s="280"/>
      <c r="J85" s="32" t="n">
        <f aca="false">H85</f>
        <v>100</v>
      </c>
      <c r="K85" s="283"/>
      <c r="L85" s="265"/>
      <c r="M85" s="311" t="s">
        <v>103</v>
      </c>
      <c r="N85" s="77" t="n">
        <v>100</v>
      </c>
      <c r="O85" s="280"/>
      <c r="P85" s="32" t="n">
        <f aca="false">N85</f>
        <v>100</v>
      </c>
      <c r="Q85" s="283"/>
      <c r="R85" s="265"/>
      <c r="S85" s="265"/>
      <c r="T85" s="265"/>
      <c r="U85" s="265"/>
      <c r="V85" s="265"/>
      <c r="W85" s="265"/>
      <c r="X85" s="265"/>
      <c r="Y85" s="265"/>
      <c r="Z85" s="265"/>
    </row>
    <row r="86" customFormat="false" ht="18.75" hidden="false" customHeight="true" outlineLevel="0" collapsed="false">
      <c r="A86" s="321" t="s">
        <v>104</v>
      </c>
      <c r="B86" s="87" t="n">
        <v>200</v>
      </c>
      <c r="C86" s="280"/>
      <c r="D86" s="32" t="n">
        <f aca="false">B86</f>
        <v>200</v>
      </c>
      <c r="E86" s="283"/>
      <c r="F86" s="265"/>
      <c r="G86" s="321" t="s">
        <v>104</v>
      </c>
      <c r="H86" s="87" t="n">
        <v>100</v>
      </c>
      <c r="I86" s="280"/>
      <c r="J86" s="32" t="n">
        <f aca="false">H86</f>
        <v>100</v>
      </c>
      <c r="K86" s="283"/>
      <c r="L86" s="265"/>
      <c r="M86" s="321" t="s">
        <v>104</v>
      </c>
      <c r="N86" s="87" t="n">
        <v>100</v>
      </c>
      <c r="O86" s="280"/>
      <c r="P86" s="32" t="n">
        <f aca="false">N86</f>
        <v>100</v>
      </c>
      <c r="Q86" s="283"/>
      <c r="R86" s="265"/>
      <c r="S86" s="265"/>
      <c r="T86" s="265"/>
      <c r="U86" s="265"/>
      <c r="V86" s="265"/>
      <c r="W86" s="265"/>
      <c r="X86" s="265"/>
      <c r="Y86" s="265"/>
      <c r="Z86" s="265"/>
    </row>
    <row r="87" customFormat="false" ht="18.75" hidden="false" customHeight="true" outlineLevel="0" collapsed="false">
      <c r="A87" s="322" t="s">
        <v>105</v>
      </c>
      <c r="B87" s="323" t="n">
        <f aca="false">SUM(D70:D86)</f>
        <v>5421.95</v>
      </c>
      <c r="C87" s="280"/>
      <c r="D87" s="280"/>
      <c r="E87" s="283"/>
      <c r="F87" s="265"/>
      <c r="G87" s="322" t="s">
        <v>105</v>
      </c>
      <c r="H87" s="323" t="n">
        <f aca="false">SUM(J70:J86)</f>
        <v>7205.53333333333</v>
      </c>
      <c r="I87" s="280"/>
      <c r="J87" s="280"/>
      <c r="K87" s="283"/>
      <c r="L87" s="265"/>
      <c r="M87" s="322" t="s">
        <v>105</v>
      </c>
      <c r="N87" s="323" t="n">
        <f aca="false">SUM(P70:P86)</f>
        <v>7165.95</v>
      </c>
      <c r="O87" s="280"/>
      <c r="P87" s="280"/>
      <c r="Q87" s="283"/>
      <c r="R87" s="265"/>
      <c r="S87" s="265"/>
      <c r="T87" s="265"/>
      <c r="U87" s="265"/>
      <c r="V87" s="265"/>
      <c r="W87" s="265"/>
      <c r="X87" s="265"/>
      <c r="Y87" s="265"/>
      <c r="Z87" s="265"/>
    </row>
    <row r="88" customFormat="false" ht="18.75" hidden="false" customHeight="true" outlineLevel="0" collapsed="false">
      <c r="A88" s="281" t="s">
        <v>106</v>
      </c>
      <c r="B88" s="33" t="n">
        <f aca="false">B87/H29</f>
        <v>451.829166666667</v>
      </c>
      <c r="C88" s="280"/>
      <c r="D88" s="280"/>
      <c r="E88" s="283"/>
      <c r="F88" s="265"/>
      <c r="G88" s="281" t="s">
        <v>106</v>
      </c>
      <c r="H88" s="33" t="n">
        <f aca="false">H87/H29</f>
        <v>600.461111111111</v>
      </c>
      <c r="I88" s="280"/>
      <c r="J88" s="280"/>
      <c r="K88" s="283"/>
      <c r="L88" s="265"/>
      <c r="M88" s="281" t="s">
        <v>106</v>
      </c>
      <c r="N88" s="33" t="n">
        <f aca="false">N87/H29</f>
        <v>597.1625</v>
      </c>
      <c r="O88" s="280"/>
      <c r="P88" s="280"/>
      <c r="Q88" s="283"/>
      <c r="R88" s="265"/>
      <c r="S88" s="265"/>
      <c r="T88" s="265"/>
      <c r="U88" s="265"/>
      <c r="V88" s="265"/>
      <c r="W88" s="265"/>
      <c r="X88" s="265"/>
      <c r="Y88" s="265"/>
      <c r="Z88" s="265"/>
    </row>
    <row r="89" customFormat="false" ht="18.75" hidden="false" customHeight="true" outlineLevel="0" collapsed="false">
      <c r="A89" s="324" t="s">
        <v>107</v>
      </c>
      <c r="B89" s="59" t="n">
        <f aca="false">H50</f>
        <v>-217.958333333333</v>
      </c>
      <c r="C89" s="280"/>
      <c r="D89" s="280"/>
      <c r="E89" s="283"/>
      <c r="F89" s="265"/>
      <c r="G89" s="324" t="s">
        <v>107</v>
      </c>
      <c r="H89" s="59" t="n">
        <f aca="false">H46</f>
        <v>0</v>
      </c>
      <c r="I89" s="280"/>
      <c r="J89" s="280"/>
      <c r="K89" s="283"/>
      <c r="L89" s="265"/>
      <c r="M89" s="324" t="s">
        <v>107</v>
      </c>
      <c r="N89" s="59" t="n">
        <f aca="false">H46</f>
        <v>0</v>
      </c>
      <c r="O89" s="280"/>
      <c r="P89" s="280"/>
      <c r="Q89" s="283"/>
      <c r="R89" s="265"/>
      <c r="S89" s="265"/>
      <c r="T89" s="265"/>
      <c r="U89" s="265"/>
      <c r="V89" s="265"/>
      <c r="W89" s="265"/>
      <c r="X89" s="265"/>
      <c r="Y89" s="265"/>
      <c r="Z89" s="265"/>
    </row>
    <row r="90" customFormat="false" ht="18.75" hidden="false" customHeight="true" outlineLevel="0" collapsed="false">
      <c r="A90" s="281"/>
      <c r="B90" s="32"/>
      <c r="C90" s="280"/>
      <c r="D90" s="280"/>
      <c r="E90" s="283"/>
      <c r="F90" s="265"/>
      <c r="G90" s="281"/>
      <c r="H90" s="32"/>
      <c r="I90" s="280"/>
      <c r="J90" s="280"/>
      <c r="K90" s="283"/>
      <c r="L90" s="265"/>
      <c r="M90" s="281"/>
      <c r="N90" s="32"/>
      <c r="O90" s="280"/>
      <c r="P90" s="280"/>
      <c r="Q90" s="283"/>
      <c r="R90" s="265"/>
      <c r="S90" s="265"/>
      <c r="T90" s="265"/>
      <c r="U90" s="265"/>
      <c r="V90" s="265"/>
      <c r="W90" s="265"/>
      <c r="X90" s="265"/>
      <c r="Y90" s="265"/>
      <c r="Z90" s="265"/>
    </row>
    <row r="91" customFormat="false" ht="18.75" hidden="false" customHeight="true" outlineLevel="0" collapsed="false">
      <c r="A91" s="301" t="s">
        <v>117</v>
      </c>
      <c r="B91" s="27" t="n">
        <f aca="false">((B89*H29)+B87)</f>
        <v>2806.45</v>
      </c>
      <c r="C91" s="280"/>
      <c r="D91" s="280"/>
      <c r="E91" s="283"/>
      <c r="F91" s="265"/>
      <c r="G91" s="301" t="s">
        <v>117</v>
      </c>
      <c r="H91" s="27" t="n">
        <f aca="false">((H89*H29)+H87)*1.2</f>
        <v>8646.64</v>
      </c>
      <c r="I91" s="280"/>
      <c r="J91" s="280"/>
      <c r="K91" s="283"/>
      <c r="L91" s="265"/>
      <c r="M91" s="301" t="s">
        <v>117</v>
      </c>
      <c r="N91" s="27" t="n">
        <f aca="false">((N89*H29)+N87)</f>
        <v>7165.95</v>
      </c>
      <c r="O91" s="280"/>
      <c r="P91" s="280"/>
      <c r="Q91" s="283"/>
      <c r="R91" s="265"/>
      <c r="S91" s="265"/>
      <c r="T91" s="265"/>
      <c r="U91" s="265"/>
      <c r="V91" s="265"/>
      <c r="W91" s="265"/>
      <c r="X91" s="265"/>
      <c r="Y91" s="265"/>
      <c r="Z91" s="265"/>
    </row>
    <row r="92" customFormat="false" ht="18.75" hidden="false" customHeight="true" outlineLevel="0" collapsed="false">
      <c r="A92" s="281" t="s">
        <v>118</v>
      </c>
      <c r="B92" s="33" t="n">
        <f aca="false">(((B89*H29)+B87)/(1-B76))*B76</f>
        <v>23.7738805970149</v>
      </c>
      <c r="C92" s="280"/>
      <c r="D92" s="280"/>
      <c r="E92" s="325"/>
      <c r="F92" s="265"/>
      <c r="G92" s="281" t="s">
        <v>118</v>
      </c>
      <c r="H92" s="33" t="n">
        <f aca="false">(((H89*H29)+H87)/(1-H76))*H76</f>
        <v>61.0392093586123</v>
      </c>
      <c r="I92" s="280"/>
      <c r="J92" s="280"/>
      <c r="K92" s="283"/>
      <c r="L92" s="265"/>
      <c r="M92" s="281" t="s">
        <v>118</v>
      </c>
      <c r="N92" s="33" t="n">
        <f aca="false">(N91/(1-N76))*N76</f>
        <v>60.7038926986688</v>
      </c>
      <c r="O92" s="280"/>
      <c r="P92" s="280"/>
      <c r="Q92" s="283"/>
      <c r="R92" s="265"/>
      <c r="S92" s="265"/>
      <c r="T92" s="265"/>
      <c r="U92" s="265"/>
      <c r="V92" s="265"/>
      <c r="W92" s="265"/>
      <c r="X92" s="265"/>
      <c r="Y92" s="265"/>
      <c r="Z92" s="265"/>
    </row>
    <row r="93" customFormat="false" ht="18.75" hidden="false" customHeight="true" outlineLevel="0" collapsed="false">
      <c r="A93" s="298" t="s">
        <v>119</v>
      </c>
      <c r="B93" s="65" t="n">
        <f aca="false">IF(B116="YES",((B91+B92)-E120),(B91+B92))</f>
        <v>-1169.77611940298</v>
      </c>
      <c r="C93" s="280"/>
      <c r="D93" s="280"/>
      <c r="E93" s="283"/>
      <c r="F93" s="265"/>
      <c r="G93" s="298" t="s">
        <v>119</v>
      </c>
      <c r="H93" s="65" t="n">
        <f aca="false">IF(H116="YES",((H91+H92)-K120),(H91+H92))</f>
        <v>10707.6792093586</v>
      </c>
      <c r="I93" s="280"/>
      <c r="J93" s="280"/>
      <c r="K93" s="283"/>
      <c r="L93" s="265"/>
      <c r="M93" s="298" t="s">
        <v>119</v>
      </c>
      <c r="N93" s="65" t="n">
        <f aca="false">IF(N116="YES",((N91+N92)-K120),(N91+N92))</f>
        <v>9226.65389269867</v>
      </c>
      <c r="O93" s="280"/>
      <c r="P93" s="280"/>
      <c r="Q93" s="283"/>
      <c r="R93" s="265"/>
      <c r="S93" s="265"/>
      <c r="T93" s="265"/>
      <c r="U93" s="265"/>
      <c r="V93" s="265"/>
      <c r="W93" s="265"/>
      <c r="X93" s="265"/>
      <c r="Y93" s="265"/>
      <c r="Z93" s="265"/>
    </row>
    <row r="94" customFormat="false" ht="18.75" hidden="false" customHeight="true" outlineLevel="0" collapsed="false">
      <c r="A94" s="281"/>
      <c r="B94" s="32"/>
      <c r="C94" s="280"/>
      <c r="D94" s="280"/>
      <c r="E94" s="283"/>
      <c r="F94" s="265"/>
      <c r="G94" s="281"/>
      <c r="H94" s="32"/>
      <c r="I94" s="280"/>
      <c r="J94" s="280"/>
      <c r="K94" s="283"/>
      <c r="L94" s="265"/>
      <c r="M94" s="281"/>
      <c r="N94" s="32"/>
      <c r="O94" s="280"/>
      <c r="P94" s="280"/>
      <c r="Q94" s="283"/>
      <c r="R94" s="265"/>
      <c r="S94" s="265"/>
      <c r="T94" s="265"/>
      <c r="U94" s="265"/>
      <c r="V94" s="265"/>
      <c r="W94" s="265"/>
      <c r="X94" s="265"/>
      <c r="Y94" s="265"/>
      <c r="Z94" s="265"/>
    </row>
    <row r="95" customFormat="false" ht="18.75" hidden="false" customHeight="true" outlineLevel="0" collapsed="false">
      <c r="A95" s="322" t="s">
        <v>120</v>
      </c>
      <c r="B95" s="323" t="n">
        <f aca="false">IF(B105=Z104,(((H41*A32)+(H41*A32)*(B111/100))/(B64)),(((H41*A32)+(H41*A32)*(B111/100))/(B63+B64)))</f>
        <v>0</v>
      </c>
      <c r="C95" s="280"/>
      <c r="D95" s="280"/>
      <c r="E95" s="283"/>
      <c r="F95" s="265"/>
      <c r="G95" s="322" t="s">
        <v>120</v>
      </c>
      <c r="H95" s="323" t="e">
        <f aca="false">(((H44*B35)+((H44*B35)*H111))/(H63+H64))*1.2</f>
        <v>#DIV/0!</v>
      </c>
      <c r="I95" s="280"/>
      <c r="J95" s="280"/>
      <c r="K95" s="283"/>
      <c r="L95" s="265"/>
      <c r="M95" s="322" t="s">
        <v>120</v>
      </c>
      <c r="N95" s="323" t="e">
        <f aca="false">((H44*B35)+((H44*B35)*N111))/(N63+N64)</f>
        <v>#DIV/0!</v>
      </c>
      <c r="O95" s="280"/>
      <c r="P95" s="280"/>
      <c r="Q95" s="283"/>
      <c r="R95" s="265"/>
      <c r="S95" s="265"/>
      <c r="T95" s="265"/>
      <c r="U95" s="265"/>
      <c r="V95" s="265"/>
      <c r="W95" s="265"/>
      <c r="X95" s="265"/>
      <c r="Y95" s="265"/>
      <c r="Z95" s="265"/>
    </row>
    <row r="96" customFormat="false" ht="18.75" hidden="false" customHeight="true" outlineLevel="0" collapsed="false">
      <c r="A96" s="326" t="s">
        <v>121</v>
      </c>
      <c r="B96" s="327" t="n">
        <f aca="false">IF(B105=Z104, (B93-D111)/(B64), B93/(B63+B64))</f>
        <v>-97.481343283582</v>
      </c>
      <c r="C96" s="280" t="s">
        <v>4</v>
      </c>
      <c r="D96" s="280"/>
      <c r="E96" s="283"/>
      <c r="F96" s="265"/>
      <c r="G96" s="326" t="s">
        <v>121</v>
      </c>
      <c r="H96" s="327" t="e">
        <f aca="false">IF(H105=Y104, (H93-J111)/(H64), H93/(H63+H64))</f>
        <v>#DIV/0!</v>
      </c>
      <c r="I96" s="280"/>
      <c r="J96" s="280"/>
      <c r="K96" s="283"/>
      <c r="L96" s="265"/>
      <c r="M96" s="326" t="s">
        <v>121</v>
      </c>
      <c r="N96" s="327" t="e">
        <f aca="false">IF(N105=Y104, (N93-P111)/(N64), N93/(N63+N64))</f>
        <v>#DIV/0!</v>
      </c>
      <c r="O96" s="280"/>
      <c r="P96" s="280"/>
      <c r="Q96" s="283"/>
      <c r="R96" s="265"/>
      <c r="S96" s="265"/>
      <c r="T96" s="265"/>
      <c r="U96" s="265"/>
      <c r="V96" s="265"/>
      <c r="W96" s="265"/>
      <c r="X96" s="265"/>
      <c r="Y96" s="265"/>
      <c r="Z96" s="265"/>
    </row>
    <row r="97" customFormat="false" ht="18.75" hidden="false" customHeight="true" outlineLevel="0" collapsed="false">
      <c r="A97" s="328" t="s">
        <v>122</v>
      </c>
      <c r="B97" s="329" t="n">
        <f aca="false">IF(A111="YES", B96+B95, B96)</f>
        <v>-97.481343283582</v>
      </c>
      <c r="C97" s="280"/>
      <c r="D97" s="330"/>
      <c r="E97" s="283"/>
      <c r="F97" s="265"/>
      <c r="G97" s="328" t="s">
        <v>122</v>
      </c>
      <c r="H97" s="329" t="e">
        <f aca="false">IF(G111="YES", H96+H95, H96)</f>
        <v>#DIV/0!</v>
      </c>
      <c r="I97" s="280"/>
      <c r="J97" s="280"/>
      <c r="K97" s="283"/>
      <c r="L97" s="265"/>
      <c r="M97" s="328" t="s">
        <v>122</v>
      </c>
      <c r="N97" s="329" t="e">
        <f aca="false">IF(M111="YES", N96+N95, N96)</f>
        <v>#DIV/0!</v>
      </c>
      <c r="O97" s="280"/>
      <c r="P97" s="280"/>
      <c r="Q97" s="283"/>
      <c r="R97" s="265"/>
      <c r="S97" s="265"/>
      <c r="T97" s="265"/>
      <c r="U97" s="265"/>
      <c r="V97" s="265"/>
      <c r="W97" s="265"/>
      <c r="X97" s="265"/>
      <c r="Y97" s="265"/>
      <c r="Z97" s="265"/>
    </row>
    <row r="98" customFormat="false" ht="18.75" hidden="false" customHeight="true" outlineLevel="0" collapsed="false">
      <c r="A98" s="298"/>
      <c r="B98" s="299"/>
      <c r="C98" s="299"/>
      <c r="D98" s="299"/>
      <c r="E98" s="300"/>
      <c r="F98" s="265"/>
      <c r="G98" s="298"/>
      <c r="H98" s="299"/>
      <c r="I98" s="299"/>
      <c r="J98" s="299"/>
      <c r="K98" s="300"/>
      <c r="L98" s="265"/>
      <c r="M98" s="298"/>
      <c r="N98" s="299"/>
      <c r="O98" s="299"/>
      <c r="P98" s="299"/>
      <c r="Q98" s="300"/>
      <c r="R98" s="265"/>
      <c r="S98" s="265"/>
      <c r="T98" s="265"/>
      <c r="U98" s="265"/>
      <c r="V98" s="265"/>
      <c r="W98" s="265"/>
      <c r="X98" s="265"/>
      <c r="Y98" s="265"/>
      <c r="Z98" s="265"/>
    </row>
    <row r="99" customFormat="false" ht="18.75" hidden="false" customHeight="true" outlineLevel="0" collapsed="false">
      <c r="A99" s="280"/>
      <c r="B99" s="280"/>
      <c r="C99" s="280"/>
      <c r="D99" s="280"/>
      <c r="E99" s="280"/>
      <c r="F99" s="265"/>
      <c r="G99" s="280"/>
      <c r="H99" s="280"/>
      <c r="I99" s="280"/>
      <c r="J99" s="280"/>
      <c r="K99" s="280"/>
      <c r="L99" s="265"/>
      <c r="M99" s="280"/>
      <c r="N99" s="280"/>
      <c r="O99" s="280"/>
      <c r="P99" s="280"/>
      <c r="Q99" s="280"/>
      <c r="R99" s="265"/>
      <c r="S99" s="265"/>
      <c r="T99" s="265"/>
      <c r="U99" s="265"/>
      <c r="V99" s="265"/>
      <c r="W99" s="265"/>
      <c r="X99" s="265"/>
      <c r="Y99" s="265"/>
      <c r="Z99" s="265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265"/>
      <c r="G100" s="209" t="s">
        <v>285</v>
      </c>
      <c r="H100" s="209"/>
      <c r="I100" s="209"/>
      <c r="J100" s="209"/>
      <c r="K100" s="209"/>
      <c r="L100" s="265"/>
      <c r="M100" s="209" t="s">
        <v>286</v>
      </c>
      <c r="N100" s="209"/>
      <c r="O100" s="209"/>
      <c r="P100" s="209"/>
      <c r="Q100" s="209"/>
      <c r="R100" s="265"/>
      <c r="S100" s="265"/>
      <c r="T100" s="265"/>
      <c r="U100" s="265"/>
      <c r="V100" s="265"/>
      <c r="W100" s="265"/>
      <c r="X100" s="265"/>
      <c r="Y100" s="265"/>
      <c r="Z100" s="265"/>
    </row>
    <row r="101" customFormat="false" ht="18.75" hidden="false" customHeight="true" outlineLevel="0" collapsed="false">
      <c r="A101" s="281"/>
      <c r="B101" s="280"/>
      <c r="C101" s="280"/>
      <c r="D101" s="280"/>
      <c r="E101" s="283"/>
      <c r="F101" s="265"/>
      <c r="G101" s="281"/>
      <c r="H101" s="280"/>
      <c r="I101" s="280"/>
      <c r="J101" s="280"/>
      <c r="K101" s="283"/>
      <c r="L101" s="265"/>
      <c r="M101" s="281"/>
      <c r="N101" s="280"/>
      <c r="O101" s="280"/>
      <c r="P101" s="280"/>
      <c r="Q101" s="283"/>
      <c r="R101" s="265"/>
      <c r="S101" s="265"/>
      <c r="T101" s="265"/>
      <c r="U101" s="265"/>
      <c r="V101" s="265"/>
      <c r="W101" s="265"/>
      <c r="X101" s="265"/>
      <c r="Y101" s="265"/>
      <c r="Z101" s="265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265"/>
      <c r="G102" s="213" t="s">
        <v>127</v>
      </c>
      <c r="H102" s="213"/>
      <c r="I102" s="213"/>
      <c r="J102" s="213"/>
      <c r="K102" s="213"/>
      <c r="L102" s="265"/>
      <c r="M102" s="213" t="s">
        <v>127</v>
      </c>
      <c r="N102" s="213"/>
      <c r="O102" s="213"/>
      <c r="P102" s="213"/>
      <c r="Q102" s="213"/>
      <c r="R102" s="265"/>
      <c r="S102" s="265"/>
      <c r="T102" s="265"/>
      <c r="U102" s="265"/>
      <c r="V102" s="265"/>
      <c r="W102" s="265"/>
      <c r="X102" s="265"/>
      <c r="Y102" s="265"/>
      <c r="Z102" s="265"/>
    </row>
    <row r="103" customFormat="false" ht="18.75" hidden="false" customHeight="true" outlineLevel="0" collapsed="false">
      <c r="A103" s="281"/>
      <c r="B103" s="280"/>
      <c r="C103" s="280"/>
      <c r="D103" s="280"/>
      <c r="E103" s="283"/>
      <c r="F103" s="265"/>
      <c r="G103" s="281"/>
      <c r="H103" s="280"/>
      <c r="I103" s="280"/>
      <c r="J103" s="280"/>
      <c r="K103" s="283"/>
      <c r="L103" s="265"/>
      <c r="M103" s="281"/>
      <c r="N103" s="280"/>
      <c r="O103" s="280"/>
      <c r="P103" s="280"/>
      <c r="Q103" s="283"/>
      <c r="R103" s="265"/>
      <c r="S103" s="265"/>
      <c r="T103" s="265"/>
      <c r="U103" s="265"/>
      <c r="V103" s="265"/>
      <c r="W103" s="265"/>
      <c r="X103" s="265"/>
      <c r="Y103" s="265"/>
      <c r="Z103" s="265" t="s">
        <v>131</v>
      </c>
    </row>
    <row r="104" customFormat="false" ht="18.75" hidden="false" customHeight="true" outlineLevel="0" collapsed="false">
      <c r="A104" s="281" t="s">
        <v>128</v>
      </c>
      <c r="B104" s="280" t="s">
        <v>23</v>
      </c>
      <c r="C104" s="280"/>
      <c r="D104" s="280" t="s">
        <v>287</v>
      </c>
      <c r="E104" s="283"/>
      <c r="F104" s="265"/>
      <c r="G104" s="281" t="s">
        <v>128</v>
      </c>
      <c r="H104" s="280" t="s">
        <v>23</v>
      </c>
      <c r="I104" s="280"/>
      <c r="J104" s="280" t="s">
        <v>287</v>
      </c>
      <c r="K104" s="283"/>
      <c r="L104" s="265"/>
      <c r="M104" s="281" t="s">
        <v>128</v>
      </c>
      <c r="N104" s="280" t="s">
        <v>23</v>
      </c>
      <c r="O104" s="280"/>
      <c r="P104" s="280" t="s">
        <v>287</v>
      </c>
      <c r="Q104" s="283"/>
      <c r="R104" s="265"/>
      <c r="S104" s="265"/>
      <c r="T104" s="265"/>
      <c r="U104" s="265"/>
      <c r="V104" s="265"/>
      <c r="W104" s="265"/>
      <c r="X104" s="265"/>
      <c r="Y104" s="265"/>
      <c r="Z104" s="265" t="s">
        <v>259</v>
      </c>
    </row>
    <row r="105" customFormat="false" ht="18.75" hidden="false" customHeight="true" outlineLevel="0" collapsed="false">
      <c r="A105" s="284"/>
      <c r="B105" s="331" t="s">
        <v>339</v>
      </c>
      <c r="C105" s="331"/>
      <c r="D105" s="332" t="n">
        <v>1000</v>
      </c>
      <c r="E105" s="332"/>
      <c r="F105" s="265"/>
      <c r="G105" s="284" t="s">
        <v>288</v>
      </c>
      <c r="H105" s="331" t="s">
        <v>265</v>
      </c>
      <c r="I105" s="331"/>
      <c r="J105" s="332" t="n">
        <v>5000</v>
      </c>
      <c r="K105" s="332"/>
      <c r="L105" s="265"/>
      <c r="M105" s="284" t="s">
        <v>288</v>
      </c>
      <c r="N105" s="331" t="s">
        <v>264</v>
      </c>
      <c r="O105" s="331"/>
      <c r="P105" s="332" t="n">
        <v>0</v>
      </c>
      <c r="Q105" s="332"/>
      <c r="R105" s="265"/>
      <c r="S105" s="265"/>
      <c r="T105" s="265"/>
      <c r="U105" s="265"/>
      <c r="V105" s="265"/>
      <c r="W105" s="265"/>
      <c r="X105" s="265"/>
      <c r="Y105" s="265"/>
      <c r="Z105" s="265" t="s">
        <v>260</v>
      </c>
    </row>
    <row r="106" customFormat="false" ht="18.75" hidden="false" customHeight="true" outlineLevel="0" collapsed="false">
      <c r="A106" s="281"/>
      <c r="B106" s="280"/>
      <c r="C106" s="280"/>
      <c r="D106" s="280"/>
      <c r="E106" s="283"/>
      <c r="F106" s="265"/>
      <c r="G106" s="281"/>
      <c r="H106" s="280"/>
      <c r="I106" s="280"/>
      <c r="J106" s="280"/>
      <c r="K106" s="283"/>
      <c r="L106" s="265"/>
      <c r="M106" s="281"/>
      <c r="N106" s="280"/>
      <c r="O106" s="280"/>
      <c r="P106" s="280"/>
      <c r="Q106" s="283"/>
      <c r="R106" s="265"/>
      <c r="S106" s="265"/>
      <c r="T106" s="265"/>
      <c r="U106" s="265"/>
      <c r="V106" s="265"/>
      <c r="W106" s="265"/>
      <c r="X106" s="265"/>
      <c r="Y106" s="265"/>
      <c r="Z106" s="265" t="s">
        <v>261</v>
      </c>
    </row>
    <row r="107" customFormat="false" ht="18.75" hidden="false" customHeight="true" outlineLevel="0" collapsed="false">
      <c r="A107" s="281" t="s">
        <v>289</v>
      </c>
      <c r="B107" s="280" t="s">
        <v>290</v>
      </c>
      <c r="C107" s="280"/>
      <c r="D107" s="280" t="s">
        <v>291</v>
      </c>
      <c r="E107" s="283"/>
      <c r="F107" s="265"/>
      <c r="G107" s="281" t="s">
        <v>289</v>
      </c>
      <c r="H107" s="280" t="s">
        <v>290</v>
      </c>
      <c r="I107" s="280"/>
      <c r="J107" s="280" t="s">
        <v>291</v>
      </c>
      <c r="K107" s="283"/>
      <c r="L107" s="265"/>
      <c r="M107" s="281" t="s">
        <v>289</v>
      </c>
      <c r="N107" s="280" t="s">
        <v>290</v>
      </c>
      <c r="O107" s="280"/>
      <c r="P107" s="280" t="s">
        <v>291</v>
      </c>
      <c r="Q107" s="283"/>
      <c r="R107" s="265"/>
      <c r="S107" s="265"/>
      <c r="T107" s="265"/>
      <c r="U107" s="265"/>
      <c r="V107" s="265"/>
      <c r="W107" s="265"/>
      <c r="X107" s="265"/>
      <c r="Y107" s="265"/>
      <c r="Z107" s="265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265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265"/>
      <c r="M108" s="333" t="n">
        <v>199.99</v>
      </c>
      <c r="N108" s="103" t="n">
        <v>1200</v>
      </c>
      <c r="O108" s="103"/>
      <c r="P108" s="103" t="n">
        <v>1500</v>
      </c>
      <c r="Q108" s="103"/>
      <c r="R108" s="265"/>
      <c r="S108" s="265"/>
      <c r="T108" s="265"/>
      <c r="U108" s="265"/>
      <c r="V108" s="265"/>
      <c r="W108" s="265"/>
      <c r="X108" s="265"/>
      <c r="Y108" s="265"/>
      <c r="Z108" s="265" t="s">
        <v>264</v>
      </c>
    </row>
    <row r="109" customFormat="false" ht="18.75" hidden="false" customHeight="true" outlineLevel="0" collapsed="false">
      <c r="A109" s="281"/>
      <c r="B109" s="280"/>
      <c r="C109" s="280"/>
      <c r="D109" s="280"/>
      <c r="E109" s="283"/>
      <c r="F109" s="265"/>
      <c r="G109" s="281"/>
      <c r="H109" s="280"/>
      <c r="I109" s="280"/>
      <c r="J109" s="280"/>
      <c r="K109" s="283"/>
      <c r="L109" s="265"/>
      <c r="M109" s="281"/>
      <c r="N109" s="280"/>
      <c r="O109" s="280"/>
      <c r="P109" s="280"/>
      <c r="Q109" s="283"/>
      <c r="R109" s="265"/>
      <c r="S109" s="265"/>
      <c r="T109" s="265"/>
      <c r="U109" s="265"/>
      <c r="V109" s="265"/>
      <c r="W109" s="265"/>
      <c r="X109" s="265"/>
      <c r="Y109" s="265"/>
      <c r="Z109" s="265" t="s">
        <v>265</v>
      </c>
    </row>
    <row r="110" customFormat="false" ht="18.75" hidden="false" customHeight="true" outlineLevel="0" collapsed="false">
      <c r="A110" s="284" t="s">
        <v>129</v>
      </c>
      <c r="B110" s="265" t="s">
        <v>132</v>
      </c>
      <c r="C110" s="280"/>
      <c r="D110" s="280" t="s">
        <v>143</v>
      </c>
      <c r="E110" s="283"/>
      <c r="F110" s="265"/>
      <c r="G110" s="284" t="s">
        <v>129</v>
      </c>
      <c r="H110" s="265" t="s">
        <v>132</v>
      </c>
      <c r="I110" s="280"/>
      <c r="J110" s="280" t="s">
        <v>143</v>
      </c>
      <c r="K110" s="283"/>
      <c r="L110" s="265"/>
      <c r="M110" s="284" t="s">
        <v>129</v>
      </c>
      <c r="N110" s="265" t="s">
        <v>132</v>
      </c>
      <c r="O110" s="280"/>
      <c r="P110" s="280" t="s">
        <v>143</v>
      </c>
      <c r="Q110" s="283"/>
      <c r="R110" s="265"/>
      <c r="S110" s="265"/>
      <c r="T110" s="265"/>
      <c r="U110" s="265"/>
      <c r="V110" s="265"/>
      <c r="W110" s="265"/>
      <c r="X110" s="265"/>
      <c r="Y110" s="265"/>
      <c r="Z110" s="265" t="s">
        <v>266</v>
      </c>
    </row>
    <row r="111" customFormat="false" ht="18.75" hidden="false" customHeight="true" outlineLevel="0" collapsed="false">
      <c r="A111" s="286" t="s">
        <v>19</v>
      </c>
      <c r="B111" s="331" t="n">
        <v>0</v>
      </c>
      <c r="C111" s="331"/>
      <c r="D111" s="103" t="s">
        <v>340</v>
      </c>
      <c r="E111" s="103"/>
      <c r="F111" s="265"/>
      <c r="G111" s="286" t="s">
        <v>18</v>
      </c>
      <c r="H111" s="334" t="n">
        <v>0.2</v>
      </c>
      <c r="I111" s="334"/>
      <c r="J111" s="103" t="n">
        <v>5000</v>
      </c>
      <c r="K111" s="103"/>
      <c r="L111" s="265"/>
      <c r="M111" s="286" t="s">
        <v>18</v>
      </c>
      <c r="N111" s="334" t="n">
        <v>0.2</v>
      </c>
      <c r="O111" s="334"/>
      <c r="P111" s="103" t="n">
        <v>5000</v>
      </c>
      <c r="Q111" s="103"/>
      <c r="R111" s="265"/>
      <c r="S111" s="265"/>
      <c r="T111" s="265"/>
      <c r="U111" s="265"/>
      <c r="V111" s="265"/>
      <c r="W111" s="265"/>
      <c r="X111" s="265"/>
      <c r="Y111" s="265"/>
      <c r="Z111" s="265" t="s">
        <v>267</v>
      </c>
    </row>
    <row r="112" customFormat="false" ht="18.75" hidden="false" customHeight="true" outlineLevel="0" collapsed="false">
      <c r="A112" s="281"/>
      <c r="B112" s="280"/>
      <c r="C112" s="280"/>
      <c r="D112" s="280" t="s">
        <v>4</v>
      </c>
      <c r="E112" s="283"/>
      <c r="F112" s="265"/>
      <c r="G112" s="281"/>
      <c r="H112" s="280"/>
      <c r="I112" s="280"/>
      <c r="J112" s="280"/>
      <c r="K112" s="283"/>
      <c r="L112" s="265"/>
      <c r="M112" s="281"/>
      <c r="N112" s="280"/>
      <c r="O112" s="280"/>
      <c r="P112" s="280"/>
      <c r="Q112" s="283"/>
      <c r="R112" s="265"/>
      <c r="S112" s="265"/>
      <c r="T112" s="265"/>
      <c r="U112" s="265"/>
      <c r="V112" s="265"/>
      <c r="W112" s="265"/>
      <c r="X112" s="265"/>
      <c r="Y112" s="265"/>
      <c r="Z112" s="265"/>
    </row>
    <row r="113" customFormat="false" ht="18.75" hidden="false" customHeight="true" outlineLevel="0" collapsed="false">
      <c r="A113" s="281"/>
      <c r="B113" s="280"/>
      <c r="C113" s="280"/>
      <c r="D113" s="280"/>
      <c r="E113" s="283"/>
      <c r="F113" s="265"/>
      <c r="G113" s="281"/>
      <c r="H113" s="280"/>
      <c r="I113" s="280"/>
      <c r="J113" s="280"/>
      <c r="K113" s="283"/>
      <c r="L113" s="265"/>
      <c r="M113" s="281"/>
      <c r="N113" s="280" t="s">
        <v>292</v>
      </c>
      <c r="O113" s="286" t="s">
        <v>18</v>
      </c>
      <c r="P113" s="280"/>
      <c r="Q113" s="283"/>
      <c r="R113" s="265"/>
      <c r="S113" s="265"/>
      <c r="T113" s="265"/>
      <c r="U113" s="265"/>
      <c r="V113" s="265"/>
      <c r="W113" s="265"/>
      <c r="X113" s="265"/>
      <c r="Y113" s="265"/>
      <c r="Z113" s="265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265"/>
      <c r="G114" s="213" t="s">
        <v>293</v>
      </c>
      <c r="H114" s="213"/>
      <c r="I114" s="213"/>
      <c r="J114" s="213"/>
      <c r="K114" s="213"/>
      <c r="L114" s="265"/>
      <c r="M114" s="213" t="s">
        <v>293</v>
      </c>
      <c r="N114" s="213"/>
      <c r="O114" s="213"/>
      <c r="P114" s="213"/>
      <c r="Q114" s="213"/>
      <c r="R114" s="265"/>
      <c r="S114" s="265"/>
      <c r="T114" s="265"/>
      <c r="U114" s="265"/>
      <c r="V114" s="265"/>
      <c r="W114" s="265"/>
      <c r="X114" s="265"/>
      <c r="Y114" s="265"/>
      <c r="Z114" s="265"/>
    </row>
    <row r="115" customFormat="false" ht="18.75" hidden="false" customHeight="true" outlineLevel="0" collapsed="false">
      <c r="A115" s="281"/>
      <c r="B115" s="280"/>
      <c r="C115" s="280"/>
      <c r="D115" s="280"/>
      <c r="E115" s="283"/>
      <c r="F115" s="265"/>
      <c r="G115" s="281"/>
      <c r="H115" s="280"/>
      <c r="I115" s="280"/>
      <c r="J115" s="280"/>
      <c r="K115" s="283"/>
      <c r="L115" s="265"/>
      <c r="M115" s="281"/>
      <c r="N115" s="280"/>
      <c r="O115" s="280"/>
      <c r="P115" s="280"/>
      <c r="Q115" s="283"/>
      <c r="R115" s="265"/>
      <c r="S115" s="265"/>
      <c r="T115" s="265"/>
      <c r="U115" s="265"/>
      <c r="V115" s="265"/>
      <c r="W115" s="265"/>
      <c r="X115" s="265"/>
      <c r="Y115" s="265"/>
      <c r="Z115" s="265"/>
    </row>
    <row r="116" customFormat="false" ht="18.75" hidden="false" customHeight="true" outlineLevel="0" collapsed="false">
      <c r="A116" s="281" t="s">
        <v>294</v>
      </c>
      <c r="B116" s="286" t="s">
        <v>18</v>
      </c>
      <c r="C116" s="280"/>
      <c r="D116" s="280"/>
      <c r="E116" s="283"/>
      <c r="F116" s="265"/>
      <c r="G116" s="281" t="s">
        <v>294</v>
      </c>
      <c r="H116" s="286" t="s">
        <v>18</v>
      </c>
      <c r="I116" s="280"/>
      <c r="J116" s="280"/>
      <c r="K116" s="283"/>
      <c r="L116" s="265"/>
      <c r="M116" s="281" t="s">
        <v>294</v>
      </c>
      <c r="N116" s="286" t="s">
        <v>18</v>
      </c>
      <c r="O116" s="280"/>
      <c r="P116" s="280"/>
      <c r="Q116" s="283"/>
      <c r="R116" s="265"/>
      <c r="S116" s="265"/>
      <c r="T116" s="265"/>
      <c r="U116" s="265"/>
      <c r="V116" s="265"/>
      <c r="W116" s="265"/>
      <c r="X116" s="265"/>
      <c r="Y116" s="265"/>
      <c r="Z116" s="265"/>
    </row>
    <row r="117" customFormat="false" ht="18.75" hidden="false" customHeight="true" outlineLevel="0" collapsed="false">
      <c r="A117" s="281"/>
      <c r="B117" s="280"/>
      <c r="C117" s="280"/>
      <c r="D117" s="280"/>
      <c r="E117" s="283"/>
      <c r="F117" s="265"/>
      <c r="G117" s="281"/>
      <c r="H117" s="280"/>
      <c r="I117" s="280"/>
      <c r="J117" s="280"/>
      <c r="K117" s="283"/>
      <c r="L117" s="265"/>
      <c r="M117" s="281"/>
      <c r="N117" s="280"/>
      <c r="O117" s="280"/>
      <c r="P117" s="280"/>
      <c r="Q117" s="283"/>
      <c r="R117" s="265"/>
      <c r="S117" s="265"/>
      <c r="T117" s="265"/>
      <c r="U117" s="265"/>
      <c r="V117" s="265"/>
      <c r="W117" s="265"/>
      <c r="X117" s="265"/>
      <c r="Y117" s="265"/>
      <c r="Z117" s="265"/>
    </row>
    <row r="118" customFormat="false" ht="18.75" hidden="false" customHeight="true" outlineLevel="0" collapsed="false">
      <c r="A118" s="281" t="s">
        <v>177</v>
      </c>
      <c r="B118" s="280"/>
      <c r="C118" s="280"/>
      <c r="D118" s="333" t="n">
        <v>10000</v>
      </c>
      <c r="E118" s="103" t="n">
        <v>6000</v>
      </c>
      <c r="F118" s="265"/>
      <c r="G118" s="281" t="s">
        <v>177</v>
      </c>
      <c r="H118" s="280"/>
      <c r="I118" s="280"/>
      <c r="J118" s="333" t="n">
        <v>10000</v>
      </c>
      <c r="K118" s="103" t="n">
        <v>5000</v>
      </c>
      <c r="L118" s="265"/>
      <c r="M118" s="281" t="s">
        <v>177</v>
      </c>
      <c r="N118" s="280"/>
      <c r="O118" s="280"/>
      <c r="P118" s="333" t="n">
        <v>10000</v>
      </c>
      <c r="Q118" s="103" t="n">
        <v>5000</v>
      </c>
      <c r="R118" s="265"/>
      <c r="S118" s="265"/>
      <c r="T118" s="265"/>
      <c r="U118" s="265"/>
      <c r="V118" s="265"/>
      <c r="W118" s="265"/>
      <c r="X118" s="265"/>
      <c r="Y118" s="265"/>
      <c r="Z118" s="265"/>
    </row>
    <row r="119" customFormat="false" ht="18.75" hidden="false" customHeight="true" outlineLevel="0" collapsed="false">
      <c r="A119" s="281" t="s">
        <v>178</v>
      </c>
      <c r="B119" s="280"/>
      <c r="C119" s="280"/>
      <c r="D119" s="39" t="n">
        <f aca="false">E119</f>
        <v>2000</v>
      </c>
      <c r="E119" s="103" t="n">
        <v>2000</v>
      </c>
      <c r="F119" s="265"/>
      <c r="G119" s="281" t="s">
        <v>178</v>
      </c>
      <c r="H119" s="280"/>
      <c r="I119" s="280"/>
      <c r="J119" s="39" t="n">
        <f aca="false">K119</f>
        <v>7000</v>
      </c>
      <c r="K119" s="103" t="n">
        <v>7000</v>
      </c>
      <c r="L119" s="265"/>
      <c r="M119" s="281" t="s">
        <v>178</v>
      </c>
      <c r="N119" s="280"/>
      <c r="O119" s="280"/>
      <c r="P119" s="39" t="n">
        <f aca="false">Q119</f>
        <v>7000</v>
      </c>
      <c r="Q119" s="103" t="n">
        <v>7000</v>
      </c>
      <c r="R119" s="265"/>
      <c r="S119" s="265"/>
      <c r="T119" s="265"/>
      <c r="U119" s="265"/>
      <c r="V119" s="265"/>
      <c r="W119" s="265"/>
      <c r="X119" s="265"/>
      <c r="Y119" s="265"/>
      <c r="Z119" s="265"/>
    </row>
    <row r="120" customFormat="false" ht="18.75" hidden="false" customHeight="true" outlineLevel="0" collapsed="false">
      <c r="A120" s="281" t="s">
        <v>179</v>
      </c>
      <c r="B120" s="280"/>
      <c r="C120" s="280"/>
      <c r="D120" s="39" t="n">
        <f aca="false">D118-D119</f>
        <v>8000</v>
      </c>
      <c r="E120" s="164" t="n">
        <f aca="false">E118-E119</f>
        <v>4000</v>
      </c>
      <c r="F120" s="265"/>
      <c r="G120" s="281" t="s">
        <v>179</v>
      </c>
      <c r="H120" s="280"/>
      <c r="I120" s="280"/>
      <c r="J120" s="39" t="n">
        <f aca="false">J118-J119</f>
        <v>3000</v>
      </c>
      <c r="K120" s="164" t="n">
        <f aca="false">K118-K119</f>
        <v>-2000</v>
      </c>
      <c r="L120" s="265"/>
      <c r="M120" s="281" t="s">
        <v>179</v>
      </c>
      <c r="N120" s="280"/>
      <c r="O120" s="280"/>
      <c r="P120" s="39" t="n">
        <f aca="false">P118-P119</f>
        <v>3000</v>
      </c>
      <c r="Q120" s="164" t="n">
        <f aca="false">Q118-Q119</f>
        <v>-2000</v>
      </c>
      <c r="R120" s="265"/>
      <c r="S120" s="265"/>
      <c r="T120" s="265"/>
      <c r="U120" s="265"/>
      <c r="V120" s="265"/>
      <c r="W120" s="265"/>
      <c r="X120" s="265"/>
      <c r="Y120" s="265"/>
      <c r="Z120" s="265"/>
    </row>
    <row r="121" customFormat="false" ht="18.75" hidden="false" customHeight="true" outlineLevel="0" collapsed="false">
      <c r="A121" s="281" t="s">
        <v>180</v>
      </c>
      <c r="B121" s="280"/>
      <c r="C121" s="280"/>
      <c r="D121" s="39" t="n">
        <f aca="false">D120-E120</f>
        <v>4000</v>
      </c>
      <c r="E121" s="283"/>
      <c r="F121" s="265"/>
      <c r="G121" s="281" t="s">
        <v>180</v>
      </c>
      <c r="H121" s="280"/>
      <c r="I121" s="280"/>
      <c r="J121" s="39" t="n">
        <f aca="false">J120-K120</f>
        <v>5000</v>
      </c>
      <c r="K121" s="283"/>
      <c r="L121" s="265"/>
      <c r="M121" s="281" t="s">
        <v>180</v>
      </c>
      <c r="N121" s="280"/>
      <c r="O121" s="280"/>
      <c r="P121" s="39" t="n">
        <f aca="false">P120-Q120</f>
        <v>5000</v>
      </c>
      <c r="Q121" s="283"/>
      <c r="R121" s="265"/>
      <c r="S121" s="265"/>
      <c r="T121" s="265"/>
      <c r="U121" s="265"/>
      <c r="V121" s="265"/>
      <c r="W121" s="265"/>
      <c r="X121" s="265"/>
      <c r="Y121" s="265"/>
      <c r="Z121" s="265"/>
    </row>
    <row r="122" customFormat="false" ht="18.75" hidden="false" customHeight="true" outlineLevel="0" collapsed="false">
      <c r="A122" s="281"/>
      <c r="B122" s="280"/>
      <c r="C122" s="280"/>
      <c r="D122" s="280"/>
      <c r="E122" s="283"/>
      <c r="F122" s="265"/>
      <c r="G122" s="281"/>
      <c r="H122" s="280"/>
      <c r="I122" s="280"/>
      <c r="J122" s="280"/>
      <c r="K122" s="283"/>
      <c r="L122" s="265"/>
      <c r="M122" s="281"/>
      <c r="N122" s="280"/>
      <c r="O122" s="280"/>
      <c r="P122" s="280"/>
      <c r="Q122" s="283"/>
      <c r="R122" s="265"/>
      <c r="S122" s="265"/>
      <c r="T122" s="265"/>
      <c r="U122" s="265"/>
      <c r="V122" s="265"/>
      <c r="W122" s="265"/>
      <c r="X122" s="265"/>
      <c r="Y122" s="265"/>
      <c r="Z122" s="265"/>
    </row>
    <row r="123" customFormat="false" ht="18.75" hidden="false" customHeight="true" outlineLevel="0" collapsed="false">
      <c r="A123" s="301" t="s">
        <v>139</v>
      </c>
      <c r="B123" s="302"/>
      <c r="C123" s="302"/>
      <c r="D123" s="302"/>
      <c r="E123" s="27" t="n">
        <f aca="false">D105</f>
        <v>1000</v>
      </c>
      <c r="F123" s="265"/>
      <c r="G123" s="301" t="s">
        <v>139</v>
      </c>
      <c r="H123" s="302"/>
      <c r="I123" s="302"/>
      <c r="J123" s="302"/>
      <c r="K123" s="27" t="n">
        <f aca="false">J105</f>
        <v>5000</v>
      </c>
      <c r="L123" s="265"/>
      <c r="M123" s="301" t="s">
        <v>139</v>
      </c>
      <c r="N123" s="302"/>
      <c r="O123" s="302"/>
      <c r="P123" s="302"/>
      <c r="Q123" s="27" t="n">
        <f aca="false">P105</f>
        <v>0</v>
      </c>
      <c r="R123" s="265"/>
      <c r="S123" s="265"/>
      <c r="T123" s="265"/>
      <c r="U123" s="265"/>
      <c r="V123" s="265"/>
      <c r="W123" s="265"/>
      <c r="X123" s="265"/>
      <c r="Y123" s="265"/>
      <c r="Z123" s="265"/>
    </row>
    <row r="124" customFormat="false" ht="18.75" hidden="false" customHeight="true" outlineLevel="0" collapsed="false">
      <c r="A124" s="281" t="s">
        <v>53</v>
      </c>
      <c r="B124" s="280"/>
      <c r="C124" s="280"/>
      <c r="D124" s="280"/>
      <c r="E124" s="33" t="n">
        <f aca="false">A108</f>
        <v>199.99</v>
      </c>
      <c r="F124" s="265"/>
      <c r="G124" s="281" t="s">
        <v>53</v>
      </c>
      <c r="H124" s="280"/>
      <c r="I124" s="280"/>
      <c r="J124" s="280"/>
      <c r="K124" s="33" t="n">
        <f aca="false">G108</f>
        <v>239.988</v>
      </c>
      <c r="L124" s="265"/>
      <c r="M124" s="281" t="s">
        <v>53</v>
      </c>
      <c r="N124" s="280"/>
      <c r="O124" s="280"/>
      <c r="P124" s="280"/>
      <c r="Q124" s="33" t="n">
        <f aca="false">M108</f>
        <v>199.99</v>
      </c>
      <c r="R124" s="265"/>
      <c r="S124" s="265"/>
      <c r="T124" s="265"/>
      <c r="U124" s="265"/>
      <c r="V124" s="265"/>
      <c r="W124" s="265"/>
      <c r="X124" s="265"/>
      <c r="Y124" s="265"/>
      <c r="Z124" s="265"/>
    </row>
    <row r="125" customFormat="false" ht="18.75" hidden="false" customHeight="true" outlineLevel="0" collapsed="false">
      <c r="A125" s="335" t="s">
        <v>295</v>
      </c>
      <c r="B125" s="299"/>
      <c r="C125" s="299"/>
      <c r="D125" s="299"/>
      <c r="E125" s="65" t="n">
        <f aca="false">(E124+E123)-E120</f>
        <v>-2800.01</v>
      </c>
      <c r="F125" s="265"/>
      <c r="G125" s="335" t="s">
        <v>295</v>
      </c>
      <c r="H125" s="299"/>
      <c r="I125" s="299"/>
      <c r="J125" s="299"/>
      <c r="K125" s="65" t="n">
        <f aca="false">(K124+K123)-K120</f>
        <v>7239.988</v>
      </c>
      <c r="L125" s="265"/>
      <c r="M125" s="335" t="s">
        <v>295</v>
      </c>
      <c r="N125" s="299"/>
      <c r="O125" s="299"/>
      <c r="P125" s="299"/>
      <c r="Q125" s="65" t="n">
        <f aca="false">(Q124+Q123)-Q120</f>
        <v>2199.99</v>
      </c>
      <c r="R125" s="265"/>
      <c r="S125" s="265"/>
      <c r="T125" s="265"/>
      <c r="U125" s="265"/>
      <c r="V125" s="265"/>
      <c r="W125" s="265"/>
      <c r="X125" s="265"/>
      <c r="Y125" s="265"/>
      <c r="Z125" s="265"/>
    </row>
    <row r="126" customFormat="false" ht="18.75" hidden="false" customHeight="true" outlineLevel="0" collapsed="false">
      <c r="A126" s="281"/>
      <c r="B126" s="280"/>
      <c r="C126" s="280"/>
      <c r="D126" s="280"/>
      <c r="E126" s="283"/>
      <c r="F126" s="265"/>
      <c r="G126" s="281"/>
      <c r="H126" s="280"/>
      <c r="I126" s="280"/>
      <c r="J126" s="280"/>
      <c r="K126" s="283"/>
      <c r="L126" s="265"/>
      <c r="M126" s="281"/>
      <c r="N126" s="280"/>
      <c r="O126" s="280"/>
      <c r="P126" s="280"/>
      <c r="Q126" s="283"/>
      <c r="R126" s="265"/>
      <c r="S126" s="265"/>
      <c r="T126" s="265"/>
      <c r="U126" s="265"/>
      <c r="V126" s="265"/>
      <c r="W126" s="265"/>
      <c r="X126" s="265"/>
      <c r="Y126" s="265"/>
      <c r="Z126" s="265"/>
    </row>
    <row r="127" customFormat="false" ht="18.75" hidden="false" customHeight="true" outlineLevel="0" collapsed="false">
      <c r="A127" s="281"/>
      <c r="B127" s="280"/>
      <c r="C127" s="280"/>
      <c r="D127" s="280"/>
      <c r="E127" s="283"/>
      <c r="F127" s="265"/>
      <c r="G127" s="281"/>
      <c r="H127" s="280"/>
      <c r="I127" s="280"/>
      <c r="J127" s="280"/>
      <c r="K127" s="283"/>
      <c r="L127" s="265"/>
      <c r="M127" s="281"/>
      <c r="N127" s="280"/>
      <c r="O127" s="280"/>
      <c r="P127" s="280"/>
      <c r="Q127" s="283"/>
      <c r="R127" s="265"/>
      <c r="S127" s="265"/>
      <c r="T127" s="265"/>
      <c r="U127" s="265"/>
      <c r="V127" s="265"/>
      <c r="W127" s="265"/>
      <c r="X127" s="265"/>
      <c r="Y127" s="265"/>
      <c r="Z127" s="265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265"/>
      <c r="G128" s="213" t="s">
        <v>296</v>
      </c>
      <c r="H128" s="213"/>
      <c r="I128" s="213"/>
      <c r="J128" s="213"/>
      <c r="K128" s="213"/>
      <c r="L128" s="265"/>
      <c r="M128" s="213" t="s">
        <v>296</v>
      </c>
      <c r="N128" s="213"/>
      <c r="O128" s="213"/>
      <c r="P128" s="213"/>
      <c r="Q128" s="213"/>
      <c r="R128" s="265"/>
      <c r="S128" s="265"/>
      <c r="T128" s="265"/>
      <c r="U128" s="265"/>
      <c r="V128" s="265"/>
      <c r="W128" s="265"/>
      <c r="X128" s="265"/>
      <c r="Y128" s="265"/>
      <c r="Z128" s="265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265"/>
      <c r="G129" s="281"/>
      <c r="H129" s="280"/>
      <c r="I129" s="280"/>
      <c r="J129" s="280"/>
      <c r="K129" s="283"/>
      <c r="L129" s="265"/>
      <c r="M129" s="281"/>
      <c r="N129" s="280"/>
      <c r="O129" s="280"/>
      <c r="P129" s="280"/>
      <c r="Q129" s="283"/>
      <c r="R129" s="265"/>
      <c r="S129" s="265"/>
      <c r="T129" s="265"/>
      <c r="U129" s="265"/>
      <c r="V129" s="265"/>
      <c r="W129" s="265"/>
      <c r="X129" s="265"/>
      <c r="Y129" s="265"/>
      <c r="Z129" s="265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265"/>
      <c r="G130" s="281" t="s">
        <v>184</v>
      </c>
      <c r="H130" s="169" t="n">
        <v>0</v>
      </c>
      <c r="I130" s="169"/>
      <c r="J130" s="280"/>
      <c r="K130" s="283"/>
      <c r="L130" s="265"/>
      <c r="M130" s="281" t="s">
        <v>184</v>
      </c>
      <c r="N130" s="169" t="n">
        <v>0</v>
      </c>
      <c r="O130" s="169"/>
      <c r="P130" s="280"/>
      <c r="Q130" s="283"/>
      <c r="R130" s="265"/>
      <c r="S130" s="265"/>
      <c r="T130" s="265"/>
      <c r="U130" s="265"/>
      <c r="V130" s="265"/>
      <c r="W130" s="265"/>
      <c r="X130" s="265"/>
      <c r="Y130" s="265"/>
      <c r="Z130" s="265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265"/>
      <c r="G131" s="281"/>
      <c r="H131" s="280"/>
      <c r="I131" s="280"/>
      <c r="J131" s="280"/>
      <c r="K131" s="283"/>
      <c r="L131" s="265"/>
      <c r="M131" s="281"/>
      <c r="N131" s="280"/>
      <c r="O131" s="280"/>
      <c r="P131" s="280"/>
      <c r="Q131" s="283"/>
      <c r="R131" s="265"/>
      <c r="S131" s="265"/>
      <c r="T131" s="265"/>
      <c r="U131" s="265"/>
      <c r="V131" s="265"/>
      <c r="W131" s="265"/>
      <c r="X131" s="265"/>
      <c r="Y131" s="265"/>
      <c r="Z131" s="265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265"/>
      <c r="G132" s="281" t="s">
        <v>85</v>
      </c>
      <c r="H132" s="280" t="s">
        <v>86</v>
      </c>
      <c r="I132" s="280"/>
      <c r="J132" s="280" t="s">
        <v>88</v>
      </c>
      <c r="K132" s="283"/>
      <c r="L132" s="265"/>
      <c r="M132" s="281" t="s">
        <v>85</v>
      </c>
      <c r="N132" s="280" t="s">
        <v>86</v>
      </c>
      <c r="O132" s="280"/>
      <c r="P132" s="280" t="s">
        <v>88</v>
      </c>
      <c r="Q132" s="283"/>
      <c r="R132" s="265"/>
      <c r="S132" s="265"/>
      <c r="T132" s="265"/>
      <c r="U132" s="265"/>
      <c r="V132" s="265"/>
      <c r="W132" s="265"/>
      <c r="X132" s="265"/>
      <c r="Y132" s="265"/>
      <c r="Z132" s="265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265"/>
      <c r="G133" s="224" t="n">
        <f aca="false">G158</f>
        <v>12</v>
      </c>
      <c r="H133" s="225" t="n">
        <f aca="false">B157</f>
        <v>0</v>
      </c>
      <c r="I133" s="343"/>
      <c r="J133" s="225" t="n">
        <f aca="false">B64</f>
        <v>3</v>
      </c>
      <c r="K133" s="283"/>
      <c r="L133" s="265"/>
      <c r="M133" s="224" t="n">
        <f aca="false">M161</f>
        <v>12</v>
      </c>
      <c r="N133" s="225" t="n">
        <f aca="false">B157</f>
        <v>0</v>
      </c>
      <c r="O133" s="343"/>
      <c r="P133" s="225" t="n">
        <f aca="false">B64</f>
        <v>3</v>
      </c>
      <c r="Q133" s="283"/>
      <c r="R133" s="265"/>
      <c r="S133" s="265"/>
      <c r="T133" s="265"/>
      <c r="U133" s="265"/>
      <c r="V133" s="265"/>
      <c r="W133" s="265"/>
      <c r="X133" s="265"/>
      <c r="Y133" s="265"/>
      <c r="Z133" s="265"/>
    </row>
    <row r="134" customFormat="false" ht="18.75" hidden="false" customHeight="true" outlineLevel="0" collapsed="false">
      <c r="A134" s="340" t="n">
        <f aca="false">B96</f>
        <v>-97.481343283582</v>
      </c>
      <c r="B134" s="338" t="n">
        <f aca="false">IF(A111="YES", B95, 0)</f>
        <v>0</v>
      </c>
      <c r="C134" s="394"/>
      <c r="D134" s="338" t="n">
        <f aca="false">B97</f>
        <v>-97.481343283582</v>
      </c>
      <c r="E134" s="339"/>
      <c r="F134" s="265"/>
      <c r="G134" s="281"/>
      <c r="H134" s="280"/>
      <c r="I134" s="280"/>
      <c r="J134" s="280"/>
      <c r="K134" s="283"/>
      <c r="L134" s="265"/>
      <c r="M134" s="281"/>
      <c r="N134" s="280"/>
      <c r="O134" s="280"/>
      <c r="P134" s="280"/>
      <c r="Q134" s="283"/>
      <c r="R134" s="265"/>
      <c r="S134" s="265"/>
      <c r="T134" s="265"/>
      <c r="U134" s="265"/>
      <c r="V134" s="265"/>
      <c r="W134" s="265"/>
      <c r="X134" s="265"/>
      <c r="Y134" s="265"/>
      <c r="Z134" s="265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265"/>
      <c r="G135" s="344" t="s">
        <v>299</v>
      </c>
      <c r="H135" s="345" t="s">
        <v>300</v>
      </c>
      <c r="I135" s="345"/>
      <c r="J135" s="345" t="s">
        <v>301</v>
      </c>
      <c r="K135" s="283"/>
      <c r="L135" s="265"/>
      <c r="M135" s="344" t="s">
        <v>302</v>
      </c>
      <c r="N135" s="345" t="s">
        <v>248</v>
      </c>
      <c r="O135" s="345"/>
      <c r="P135" s="345" t="s">
        <v>122</v>
      </c>
      <c r="Q135" s="283"/>
      <c r="R135" s="265"/>
      <c r="S135" s="265"/>
      <c r="T135" s="265"/>
      <c r="U135" s="265"/>
      <c r="V135" s="265"/>
      <c r="W135" s="265"/>
      <c r="X135" s="265"/>
      <c r="Y135" s="265"/>
      <c r="Z135" s="265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265"/>
      <c r="G136" s="348" t="e">
        <f aca="false">H96</f>
        <v>#DIV/0!</v>
      </c>
      <c r="H136" s="175" t="e">
        <f aca="false">IF(G111="YES", H95*H63, 0)</f>
        <v>#DIV/0!</v>
      </c>
      <c r="I136" s="175"/>
      <c r="J136" s="349" t="e">
        <f aca="false">H97</f>
        <v>#DIV/0!</v>
      </c>
      <c r="K136" s="283"/>
      <c r="L136" s="265"/>
      <c r="M136" s="348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283"/>
      <c r="R136" s="265"/>
      <c r="S136" s="265"/>
      <c r="T136" s="265"/>
      <c r="U136" s="265"/>
      <c r="V136" s="265"/>
      <c r="W136" s="265"/>
      <c r="X136" s="265"/>
      <c r="Y136" s="265"/>
      <c r="Z136" s="265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-877.332089552238</v>
      </c>
      <c r="C137" s="280"/>
      <c r="D137" s="38" t="n">
        <f aca="false">IF(A111="YES", B95*B63, 0)</f>
        <v>0</v>
      </c>
      <c r="E137" s="283"/>
      <c r="F137" s="265"/>
      <c r="G137" s="281"/>
      <c r="H137" s="280"/>
      <c r="I137" s="280"/>
      <c r="J137" s="280"/>
      <c r="K137" s="283"/>
      <c r="L137" s="265"/>
      <c r="M137" s="281"/>
      <c r="N137" s="280"/>
      <c r="O137" s="280"/>
      <c r="P137" s="280"/>
      <c r="Q137" s="283"/>
      <c r="R137" s="265"/>
      <c r="S137" s="265"/>
      <c r="T137" s="265"/>
      <c r="U137" s="265"/>
      <c r="V137" s="265"/>
      <c r="W137" s="265"/>
      <c r="X137" s="265"/>
      <c r="Y137" s="265"/>
      <c r="Z137" s="265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265"/>
      <c r="G138" s="281" t="s">
        <v>305</v>
      </c>
      <c r="H138" s="280" t="s">
        <v>306</v>
      </c>
      <c r="I138" s="280"/>
      <c r="J138" s="280" t="s">
        <v>307</v>
      </c>
      <c r="K138" s="283"/>
      <c r="L138" s="265"/>
      <c r="M138" s="281" t="s">
        <v>308</v>
      </c>
      <c r="N138" s="280" t="s">
        <v>239</v>
      </c>
      <c r="O138" s="280"/>
      <c r="P138" s="280" t="s">
        <v>242</v>
      </c>
      <c r="Q138" s="283"/>
      <c r="R138" s="265"/>
      <c r="S138" s="265"/>
      <c r="T138" s="265"/>
      <c r="U138" s="265"/>
      <c r="V138" s="265"/>
      <c r="W138" s="265"/>
      <c r="X138" s="265"/>
      <c r="Y138" s="265"/>
      <c r="Z138" s="265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265"/>
      <c r="G139" s="182" t="e">
        <f aca="false">H96*H63</f>
        <v>#DIV/0!</v>
      </c>
      <c r="H139" s="38" t="e">
        <f aca="false">IF(G111="YES", H95*H63, 0)</f>
        <v>#DIV/0!</v>
      </c>
      <c r="I139" s="351"/>
      <c r="J139" s="38" t="e">
        <f aca="false">H97*H63</f>
        <v>#DIV/0!</v>
      </c>
      <c r="K139" s="283"/>
      <c r="L139" s="265"/>
      <c r="M139" s="182" t="e">
        <f aca="false">N96*N63</f>
        <v>#DIV/0!</v>
      </c>
      <c r="N139" s="38" t="e">
        <f aca="false">IF(M111="YES", N95*N63, 0)</f>
        <v>#DIV/0!</v>
      </c>
      <c r="O139" s="351"/>
      <c r="P139" s="181" t="e">
        <f aca="false">N97*N63</f>
        <v>#DIV/0!</v>
      </c>
      <c r="Q139" s="283"/>
      <c r="R139" s="265"/>
      <c r="S139" s="265"/>
      <c r="T139" s="265"/>
      <c r="U139" s="265"/>
      <c r="V139" s="265"/>
      <c r="W139" s="265"/>
      <c r="X139" s="265"/>
      <c r="Y139" s="265"/>
      <c r="Z139" s="265"/>
    </row>
    <row r="140" customFormat="false" ht="18.75" hidden="false" customHeight="true" outlineLevel="0" collapsed="false">
      <c r="A140" s="107" t="n">
        <f aca="false">B97*B63</f>
        <v>-877.332089552238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265"/>
      <c r="G140" s="281"/>
      <c r="H140" s="280"/>
      <c r="I140" s="280"/>
      <c r="J140" s="280"/>
      <c r="K140" s="283"/>
      <c r="L140" s="265"/>
      <c r="M140" s="281"/>
      <c r="N140" s="280"/>
      <c r="O140" s="280"/>
      <c r="P140" s="280"/>
      <c r="Q140" s="283"/>
      <c r="R140" s="265"/>
      <c r="S140" s="265"/>
      <c r="T140" s="265"/>
      <c r="U140" s="265"/>
      <c r="V140" s="265"/>
      <c r="W140" s="265"/>
      <c r="X140" s="265"/>
      <c r="Y140" s="265"/>
      <c r="Z140" s="265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265"/>
      <c r="G141" s="281" t="s">
        <v>311</v>
      </c>
      <c r="H141" s="280" t="s">
        <v>312</v>
      </c>
      <c r="I141" s="280"/>
      <c r="J141" s="280" t="s">
        <v>313</v>
      </c>
      <c r="K141" s="283"/>
      <c r="L141" s="265"/>
      <c r="M141" s="281" t="s">
        <v>250</v>
      </c>
      <c r="N141" s="280" t="s">
        <v>251</v>
      </c>
      <c r="O141" s="280"/>
      <c r="P141" s="280" t="s">
        <v>255</v>
      </c>
      <c r="Q141" s="283"/>
      <c r="R141" s="265"/>
      <c r="S141" s="265"/>
      <c r="T141" s="265"/>
      <c r="U141" s="265"/>
      <c r="V141" s="265"/>
      <c r="W141" s="265"/>
      <c r="X141" s="265"/>
      <c r="Y141" s="265"/>
      <c r="Z141" s="265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265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265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265"/>
      <c r="S142" s="265"/>
      <c r="T142" s="265"/>
      <c r="U142" s="265"/>
      <c r="V142" s="265"/>
      <c r="W142" s="265"/>
      <c r="X142" s="265"/>
      <c r="Y142" s="265"/>
      <c r="Z142" s="265"/>
    </row>
    <row r="143" customFormat="false" ht="18.75" hidden="false" customHeight="true" outlineLevel="0" collapsed="false">
      <c r="A143" s="107" t="n">
        <f aca="false">B96</f>
        <v>-97.481343283582</v>
      </c>
      <c r="B143" s="38" t="n">
        <f aca="false">IF(A111="YES", B95, 0)</f>
        <v>0</v>
      </c>
      <c r="C143" s="280"/>
      <c r="D143" s="38" t="n">
        <f aca="false">B97</f>
        <v>-97.481343283582</v>
      </c>
      <c r="E143" s="283"/>
      <c r="F143" s="265"/>
      <c r="G143" s="281"/>
      <c r="H143" s="280"/>
      <c r="I143" s="280"/>
      <c r="J143" s="280"/>
      <c r="K143" s="283"/>
      <c r="L143" s="265"/>
      <c r="M143" s="281"/>
      <c r="N143" s="280"/>
      <c r="O143" s="280"/>
      <c r="P143" s="280"/>
      <c r="Q143" s="283"/>
      <c r="R143" s="265"/>
      <c r="S143" s="265"/>
      <c r="T143" s="265"/>
      <c r="U143" s="265"/>
      <c r="V143" s="265"/>
      <c r="W143" s="265"/>
      <c r="X143" s="265"/>
      <c r="Y143" s="265"/>
      <c r="Z143" s="265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265"/>
      <c r="G144" s="281" t="s">
        <v>314</v>
      </c>
      <c r="H144" s="280" t="s">
        <v>315</v>
      </c>
      <c r="I144" s="280"/>
      <c r="J144" s="280" t="s">
        <v>316</v>
      </c>
      <c r="K144" s="283"/>
      <c r="L144" s="265"/>
      <c r="M144" s="281" t="s">
        <v>142</v>
      </c>
      <c r="N144" s="280" t="s">
        <v>315</v>
      </c>
      <c r="O144" s="280"/>
      <c r="P144" s="280" t="s">
        <v>316</v>
      </c>
      <c r="Q144" s="283"/>
      <c r="R144" s="265"/>
      <c r="S144" s="265"/>
      <c r="T144" s="265"/>
      <c r="U144" s="265"/>
      <c r="V144" s="265"/>
      <c r="W144" s="265"/>
      <c r="X144" s="265"/>
      <c r="Y144" s="265"/>
      <c r="Z144" s="265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265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265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265"/>
      <c r="S145" s="265"/>
      <c r="T145" s="265"/>
      <c r="U145" s="265"/>
      <c r="V145" s="265"/>
      <c r="W145" s="265"/>
      <c r="X145" s="265"/>
      <c r="Y145" s="265"/>
      <c r="Z145" s="265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265"/>
      <c r="G146" s="281"/>
      <c r="H146" s="280"/>
      <c r="I146" s="280"/>
      <c r="J146" s="280"/>
      <c r="K146" s="283"/>
      <c r="L146" s="265"/>
      <c r="M146" s="281"/>
      <c r="N146" s="280"/>
      <c r="O146" s="280"/>
      <c r="P146" s="280"/>
      <c r="Q146" s="283"/>
      <c r="R146" s="265"/>
      <c r="S146" s="265"/>
      <c r="T146" s="265"/>
      <c r="U146" s="265"/>
      <c r="V146" s="265"/>
      <c r="W146" s="265"/>
      <c r="X146" s="265"/>
      <c r="Y146" s="265"/>
      <c r="Z146" s="265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265"/>
      <c r="G147" s="281" t="s">
        <v>318</v>
      </c>
      <c r="H147" s="280" t="s">
        <v>319</v>
      </c>
      <c r="I147" s="280"/>
      <c r="J147" s="280" t="s">
        <v>320</v>
      </c>
      <c r="K147" s="283"/>
      <c r="L147" s="265"/>
      <c r="M147" s="281" t="s">
        <v>318</v>
      </c>
      <c r="N147" s="280" t="s">
        <v>319</v>
      </c>
      <c r="O147" s="280"/>
      <c r="P147" s="280" t="s">
        <v>320</v>
      </c>
      <c r="Q147" s="283"/>
      <c r="R147" s="265"/>
      <c r="S147" s="265"/>
      <c r="T147" s="265"/>
      <c r="U147" s="265"/>
      <c r="V147" s="265"/>
      <c r="W147" s="265"/>
      <c r="X147" s="265"/>
      <c r="Y147" s="265"/>
      <c r="Z147" s="265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265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265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265"/>
      <c r="S148" s="265"/>
      <c r="T148" s="265"/>
      <c r="U148" s="265"/>
      <c r="V148" s="265"/>
      <c r="W148" s="265"/>
      <c r="X148" s="265"/>
      <c r="Y148" s="265"/>
      <c r="Z148" s="265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265"/>
      <c r="G149" s="281"/>
      <c r="H149" s="280"/>
      <c r="I149" s="280"/>
      <c r="J149" s="280"/>
      <c r="K149" s="283"/>
      <c r="L149" s="265"/>
      <c r="M149" s="281"/>
      <c r="N149" s="280"/>
      <c r="O149" s="280"/>
      <c r="P149" s="280"/>
      <c r="Q149" s="283"/>
      <c r="R149" s="265"/>
      <c r="S149" s="265"/>
      <c r="T149" s="265"/>
      <c r="U149" s="265"/>
      <c r="V149" s="265"/>
      <c r="W149" s="265"/>
      <c r="X149" s="265"/>
      <c r="Y149" s="265"/>
      <c r="Z149" s="265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265"/>
      <c r="G150" s="281" t="s">
        <v>322</v>
      </c>
      <c r="H150" s="280" t="s">
        <v>323</v>
      </c>
      <c r="I150" s="280"/>
      <c r="J150" s="280"/>
      <c r="K150" s="283"/>
      <c r="L150" s="265"/>
      <c r="M150" s="281" t="s">
        <v>322</v>
      </c>
      <c r="N150" s="280" t="s">
        <v>323</v>
      </c>
      <c r="O150" s="280"/>
      <c r="P150" s="280"/>
      <c r="Q150" s="283"/>
      <c r="R150" s="265"/>
      <c r="S150" s="265"/>
      <c r="T150" s="265"/>
      <c r="U150" s="265"/>
      <c r="V150" s="265"/>
      <c r="W150" s="265"/>
      <c r="X150" s="265"/>
      <c r="Y150" s="265"/>
      <c r="Z150" s="265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265"/>
      <c r="G151" s="107" t="n">
        <f aca="false">IF((1200-H108) &lt;= 0, 0, (1200-H108))</f>
        <v>0</v>
      </c>
      <c r="H151" s="38" t="n">
        <f aca="false">(H145+J145+G148+H148)*(G151/H70)</f>
        <v>0</v>
      </c>
      <c r="I151" s="280"/>
      <c r="J151" s="280"/>
      <c r="K151" s="283"/>
      <c r="L151" s="265"/>
      <c r="M151" s="107" t="n">
        <f aca="false">IF((1200-N108) &lt;= 0, 0, (1200-N108))</f>
        <v>0</v>
      </c>
      <c r="N151" s="38" t="n">
        <f aca="false">(N145+P145+M148+N148)*(M151/N70)</f>
        <v>0</v>
      </c>
      <c r="O151" s="280"/>
      <c r="P151" s="280"/>
      <c r="Q151" s="283"/>
      <c r="R151" s="265"/>
      <c r="S151" s="265"/>
      <c r="T151" s="265"/>
      <c r="U151" s="265"/>
      <c r="V151" s="265"/>
      <c r="W151" s="265"/>
      <c r="X151" s="265"/>
      <c r="Y151" s="265"/>
      <c r="Z151" s="265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265"/>
      <c r="G152" s="281"/>
      <c r="H152" s="280"/>
      <c r="I152" s="280"/>
      <c r="J152" s="280"/>
      <c r="K152" s="283"/>
      <c r="L152" s="265"/>
      <c r="M152" s="107"/>
      <c r="N152" s="38"/>
      <c r="O152" s="280"/>
      <c r="P152" s="280"/>
      <c r="Q152" s="283"/>
      <c r="R152" s="265"/>
      <c r="S152" s="265"/>
      <c r="T152" s="265"/>
      <c r="U152" s="265"/>
      <c r="V152" s="265"/>
      <c r="W152" s="265"/>
      <c r="X152" s="265"/>
      <c r="Y152" s="265"/>
      <c r="Z152" s="265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265"/>
      <c r="G153" s="281"/>
      <c r="H153" s="280"/>
      <c r="I153" s="280"/>
      <c r="J153" s="280"/>
      <c r="K153" s="283"/>
      <c r="L153" s="265"/>
      <c r="M153" s="60" t="s">
        <v>328</v>
      </c>
      <c r="N153" s="39" t="s">
        <v>329</v>
      </c>
      <c r="O153" s="280"/>
      <c r="P153" s="280"/>
      <c r="Q153" s="283"/>
      <c r="R153" s="265"/>
      <c r="S153" s="265"/>
      <c r="T153" s="265"/>
      <c r="U153" s="265"/>
      <c r="V153" s="265"/>
      <c r="W153" s="265"/>
      <c r="X153" s="265"/>
      <c r="Y153" s="265"/>
      <c r="Z153" s="265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265"/>
      <c r="G154" s="293" t="s">
        <v>330</v>
      </c>
      <c r="H154" s="280"/>
      <c r="I154" s="280"/>
      <c r="J154" s="294"/>
      <c r="K154" s="295"/>
      <c r="L154" s="265"/>
      <c r="M154" s="363" t="n">
        <f aca="false">H40</f>
        <v>9647.5</v>
      </c>
      <c r="N154" s="364" t="n">
        <v>0.99</v>
      </c>
      <c r="O154" s="364"/>
      <c r="P154" s="280"/>
      <c r="Q154" s="283"/>
      <c r="R154" s="265"/>
      <c r="S154" s="265"/>
      <c r="T154" s="265"/>
      <c r="U154" s="265"/>
      <c r="V154" s="265"/>
      <c r="W154" s="265"/>
      <c r="X154" s="265"/>
      <c r="Y154" s="265"/>
      <c r="Z154" s="265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265"/>
      <c r="G155" s="281"/>
      <c r="H155" s="296"/>
      <c r="I155" s="296"/>
      <c r="J155" s="280"/>
      <c r="K155" s="283"/>
      <c r="L155" s="265"/>
      <c r="M155" s="281"/>
      <c r="N155" s="280"/>
      <c r="O155" s="280"/>
      <c r="P155" s="280"/>
      <c r="Q155" s="283"/>
      <c r="R155" s="265"/>
      <c r="S155" s="265"/>
      <c r="T155" s="265"/>
      <c r="U155" s="265"/>
      <c r="V155" s="265"/>
      <c r="W155" s="265"/>
      <c r="X155" s="265"/>
      <c r="Y155" s="265"/>
      <c r="Z155" s="265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265"/>
      <c r="G156" s="246" t="s">
        <v>85</v>
      </c>
      <c r="H156" s="247" t="s">
        <v>86</v>
      </c>
      <c r="I156" s="247"/>
      <c r="J156" s="280"/>
      <c r="K156" s="283"/>
      <c r="L156" s="265"/>
      <c r="M156" s="281"/>
      <c r="N156" s="280"/>
      <c r="O156" s="280"/>
      <c r="P156" s="280"/>
      <c r="Q156" s="283"/>
      <c r="R156" s="265"/>
      <c r="S156" s="265"/>
      <c r="T156" s="265"/>
      <c r="U156" s="265"/>
      <c r="V156" s="265"/>
      <c r="W156" s="265"/>
      <c r="X156" s="265"/>
      <c r="Y156" s="265"/>
      <c r="Z156" s="265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265"/>
      <c r="G157" s="246"/>
      <c r="H157" s="248" t="n">
        <f aca="false">B57</f>
        <v>5000</v>
      </c>
      <c r="I157" s="248"/>
      <c r="J157" s="280"/>
      <c r="K157" s="283"/>
      <c r="L157" s="265"/>
      <c r="M157" s="293" t="s">
        <v>330</v>
      </c>
      <c r="N157" s="280"/>
      <c r="O157" s="280"/>
      <c r="P157" s="294"/>
      <c r="Q157" s="295"/>
      <c r="R157" s="265"/>
      <c r="S157" s="265"/>
      <c r="T157" s="265"/>
      <c r="U157" s="265"/>
      <c r="V157" s="265"/>
      <c r="W157" s="265"/>
      <c r="X157" s="265"/>
      <c r="Y157" s="265"/>
      <c r="Z157" s="265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265"/>
      <c r="G158" s="250" t="n">
        <f aca="false">A58</f>
        <v>12</v>
      </c>
      <c r="H158" s="74" t="e">
        <f aca="false">H97</f>
        <v>#DIV/0!</v>
      </c>
      <c r="I158" s="74"/>
      <c r="J158" s="280"/>
      <c r="K158" s="283"/>
      <c r="L158" s="265"/>
      <c r="M158" s="281"/>
      <c r="N158" s="296"/>
      <c r="O158" s="296"/>
      <c r="P158" s="280"/>
      <c r="Q158" s="283"/>
      <c r="R158" s="265"/>
      <c r="S158" s="265"/>
      <c r="T158" s="265"/>
      <c r="U158" s="265"/>
      <c r="V158" s="265"/>
      <c r="W158" s="265"/>
      <c r="X158" s="265"/>
      <c r="Y158" s="265"/>
      <c r="Z158" s="265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265"/>
      <c r="G159" s="281"/>
      <c r="H159" s="280"/>
      <c r="I159" s="280"/>
      <c r="J159" s="280"/>
      <c r="K159" s="283"/>
      <c r="L159" s="265"/>
      <c r="M159" s="246" t="s">
        <v>85</v>
      </c>
      <c r="N159" s="247" t="s">
        <v>86</v>
      </c>
      <c r="O159" s="247"/>
      <c r="P159" s="280"/>
      <c r="Q159" s="283"/>
      <c r="R159" s="265"/>
      <c r="S159" s="265"/>
      <c r="T159" s="265"/>
      <c r="U159" s="265"/>
      <c r="V159" s="265"/>
      <c r="W159" s="265"/>
      <c r="X159" s="265"/>
      <c r="Y159" s="265"/>
      <c r="Z159" s="265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265"/>
      <c r="G160" s="281"/>
      <c r="H160" s="280"/>
      <c r="I160" s="280"/>
      <c r="J160" s="280"/>
      <c r="K160" s="283"/>
      <c r="L160" s="265"/>
      <c r="M160" s="246"/>
      <c r="N160" s="248" t="n">
        <f aca="false">B57</f>
        <v>5000</v>
      </c>
      <c r="O160" s="248"/>
      <c r="P160" s="280"/>
      <c r="Q160" s="283"/>
      <c r="R160" s="265"/>
      <c r="S160" s="265"/>
      <c r="T160" s="265"/>
      <c r="U160" s="265"/>
      <c r="V160" s="265"/>
      <c r="W160" s="265"/>
      <c r="X160" s="265"/>
      <c r="Y160" s="265"/>
      <c r="Z160" s="265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265"/>
      <c r="G161" s="281"/>
      <c r="H161" s="280"/>
      <c r="I161" s="280"/>
      <c r="J161" s="280"/>
      <c r="K161" s="283"/>
      <c r="L161" s="265"/>
      <c r="M161" s="250" t="n">
        <f aca="false">A58</f>
        <v>12</v>
      </c>
      <c r="N161" s="74" t="e">
        <f aca="false">N97</f>
        <v>#DIV/0!</v>
      </c>
      <c r="O161" s="74"/>
      <c r="P161" s="280"/>
      <c r="Q161" s="283"/>
      <c r="R161" s="265"/>
      <c r="S161" s="265"/>
      <c r="T161" s="265"/>
      <c r="U161" s="265"/>
      <c r="V161" s="265"/>
      <c r="W161" s="265"/>
      <c r="X161" s="265"/>
      <c r="Y161" s="265"/>
      <c r="Z161" s="265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265"/>
      <c r="G162" s="281"/>
      <c r="H162" s="280"/>
      <c r="I162" s="280"/>
      <c r="J162" s="280"/>
      <c r="K162" s="283"/>
      <c r="L162" s="265"/>
      <c r="M162" s="281"/>
      <c r="N162" s="280"/>
      <c r="O162" s="280"/>
      <c r="P162" s="280"/>
      <c r="Q162" s="283"/>
      <c r="R162" s="265"/>
      <c r="S162" s="265"/>
      <c r="T162" s="265"/>
      <c r="U162" s="265"/>
      <c r="V162" s="265"/>
      <c r="W162" s="265"/>
      <c r="X162" s="265"/>
      <c r="Y162" s="265"/>
      <c r="Z162" s="265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265"/>
      <c r="G163" s="298"/>
      <c r="H163" s="299"/>
      <c r="I163" s="299"/>
      <c r="J163" s="299"/>
      <c r="K163" s="300"/>
      <c r="L163" s="265"/>
      <c r="M163" s="281"/>
      <c r="N163" s="280"/>
      <c r="O163" s="280"/>
      <c r="P163" s="280"/>
      <c r="Q163" s="283"/>
      <c r="R163" s="265"/>
      <c r="S163" s="265"/>
      <c r="T163" s="265"/>
      <c r="U163" s="265"/>
      <c r="V163" s="265"/>
      <c r="W163" s="265"/>
      <c r="X163" s="265"/>
      <c r="Y163" s="265"/>
      <c r="Z163" s="265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265"/>
      <c r="G164" s="265"/>
      <c r="H164" s="265"/>
      <c r="I164" s="265"/>
      <c r="J164" s="265"/>
      <c r="K164" s="265"/>
      <c r="L164" s="265"/>
      <c r="M164" s="281"/>
      <c r="N164" s="280"/>
      <c r="O164" s="280"/>
      <c r="P164" s="280"/>
      <c r="Q164" s="283"/>
      <c r="R164" s="265"/>
      <c r="S164" s="265"/>
      <c r="T164" s="265"/>
      <c r="U164" s="265"/>
      <c r="V164" s="265"/>
      <c r="W164" s="265"/>
      <c r="X164" s="265"/>
      <c r="Y164" s="265"/>
      <c r="Z164" s="265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265"/>
      <c r="G165" s="265"/>
      <c r="H165" s="265"/>
      <c r="I165" s="265"/>
      <c r="J165" s="265"/>
      <c r="K165" s="265"/>
      <c r="L165" s="265"/>
      <c r="M165" s="281"/>
      <c r="N165" s="280"/>
      <c r="O165" s="280"/>
      <c r="P165" s="280"/>
      <c r="Q165" s="283"/>
      <c r="R165" s="265"/>
      <c r="S165" s="265"/>
      <c r="T165" s="265"/>
      <c r="U165" s="265"/>
      <c r="V165" s="265"/>
      <c r="W165" s="265"/>
      <c r="X165" s="265"/>
      <c r="Y165" s="265"/>
      <c r="Z165" s="265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265"/>
      <c r="G166" s="265"/>
      <c r="H166" s="265"/>
      <c r="I166" s="265"/>
      <c r="J166" s="265"/>
      <c r="K166" s="265"/>
      <c r="L166" s="265"/>
      <c r="M166" s="281"/>
      <c r="N166" s="280"/>
      <c r="O166" s="280"/>
      <c r="P166" s="280"/>
      <c r="Q166" s="283"/>
      <c r="R166" s="265"/>
      <c r="S166" s="265"/>
      <c r="T166" s="265"/>
      <c r="U166" s="265"/>
      <c r="V166" s="265"/>
      <c r="W166" s="265"/>
      <c r="X166" s="265"/>
      <c r="Y166" s="265"/>
      <c r="Z166" s="265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-97.481343283582</v>
      </c>
      <c r="C167" s="74"/>
      <c r="D167" s="280"/>
      <c r="E167" s="283"/>
      <c r="F167" s="265"/>
      <c r="G167" s="265"/>
      <c r="H167" s="265"/>
      <c r="I167" s="265"/>
      <c r="J167" s="265"/>
      <c r="K167" s="265"/>
      <c r="L167" s="265"/>
      <c r="M167" s="281"/>
      <c r="N167" s="280"/>
      <c r="O167" s="280"/>
      <c r="P167" s="280"/>
      <c r="Q167" s="283"/>
      <c r="R167" s="265"/>
      <c r="S167" s="265"/>
      <c r="T167" s="265"/>
      <c r="U167" s="265"/>
      <c r="V167" s="265"/>
      <c r="W167" s="265"/>
      <c r="X167" s="265"/>
      <c r="Y167" s="265"/>
      <c r="Z167" s="265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265"/>
      <c r="G168" s="265"/>
      <c r="H168" s="265"/>
      <c r="I168" s="265"/>
      <c r="J168" s="265"/>
      <c r="K168" s="265"/>
      <c r="L168" s="265"/>
      <c r="M168" s="298"/>
      <c r="N168" s="299"/>
      <c r="O168" s="299"/>
      <c r="P168" s="299"/>
      <c r="Q168" s="300"/>
      <c r="R168" s="265"/>
      <c r="S168" s="265"/>
      <c r="T168" s="265"/>
      <c r="U168" s="265"/>
      <c r="V168" s="265"/>
      <c r="W168" s="265"/>
      <c r="X168" s="265"/>
      <c r="Y168" s="265"/>
      <c r="Z168" s="265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265"/>
      <c r="G174" s="392" t="n">
        <f aca="false">ISNUMBER(B183)</f>
        <v>1</v>
      </c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</row>
    <row r="177" customFormat="false" ht="18.75" hidden="false" customHeight="true" outlineLevel="0" collapsed="false">
      <c r="A177" s="340" t="n">
        <f aca="false">B96</f>
        <v>-97.481343283582</v>
      </c>
      <c r="B177" s="367" t="n">
        <f aca="false">IF(A111="YES", B95, 0)</f>
        <v>0</v>
      </c>
      <c r="C177" s="395"/>
      <c r="D177" s="367" t="n">
        <f aca="false">B91</f>
        <v>2806.45</v>
      </c>
      <c r="E177" s="339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-877.332089552238</v>
      </c>
      <c r="C180" s="282"/>
      <c r="D180" s="99" t="n">
        <f aca="false">IF(A111="YES", B95*B63, 0)</f>
        <v>0</v>
      </c>
      <c r="E180" s="283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</row>
    <row r="183" customFormat="false" ht="18.75" hidden="false" customHeight="true" outlineLevel="0" collapsed="false">
      <c r="A183" s="107" t="n">
        <f aca="false">B97*B63</f>
        <v>-877.332089552238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</row>
    <row r="186" customFormat="false" ht="18.75" hidden="false" customHeight="true" outlineLevel="0" collapsed="false">
      <c r="A186" s="107" t="n">
        <f aca="false">B96</f>
        <v>-97.481343283582</v>
      </c>
      <c r="B186" s="99" t="n">
        <f aca="false">IF(A111="YES", B95, 0)</f>
        <v>0</v>
      </c>
      <c r="C186" s="282"/>
      <c r="D186" s="99" t="n">
        <f aca="false">B97</f>
        <v>-97.481343283582</v>
      </c>
      <c r="E186" s="283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D70</f>
        <v>4051.95</v>
      </c>
      <c r="E209" s="339"/>
      <c r="F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</v>
      </c>
      <c r="E211" s="339"/>
      <c r="F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</v>
      </c>
      <c r="C213" s="342"/>
      <c r="D213" s="338"/>
      <c r="E213" s="339"/>
      <c r="F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</v>
      </c>
      <c r="F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23.7738805970149</v>
      </c>
      <c r="F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</row>
    <row r="243" customFormat="false" ht="18.75" hidden="false" customHeight="true" outlineLevel="0" collapsed="false">
      <c r="A243" s="281"/>
      <c r="B243" s="280"/>
      <c r="C243" s="280"/>
      <c r="D243" s="280"/>
      <c r="E243" s="283"/>
      <c r="F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</row>
    <row r="245" customFormat="false" ht="18.75" hidden="false" customHeight="true" outlineLevel="0" collapsed="false">
      <c r="A245" s="281"/>
      <c r="B245" s="280"/>
      <c r="C245" s="280"/>
      <c r="D245" s="280"/>
      <c r="E245" s="283"/>
      <c r="F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</row>
    <row r="246" customFormat="false" ht="18.75" hidden="false" customHeight="true" outlineLevel="0" collapsed="false">
      <c r="A246" s="281"/>
      <c r="B246" s="280"/>
      <c r="C246" s="280"/>
      <c r="D246" s="280"/>
      <c r="E246" s="283"/>
      <c r="F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</row>
    <row r="247" customFormat="false" ht="18.75" hidden="false" customHeight="true" outlineLevel="0" collapsed="false">
      <c r="A247" s="107"/>
      <c r="B247" s="38"/>
      <c r="C247" s="280"/>
      <c r="D247" s="280"/>
      <c r="E247" s="283"/>
      <c r="F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</row>
    <row r="248" customFormat="false" ht="18.75" hidden="false" customHeight="true" outlineLevel="0" collapsed="false">
      <c r="A248" s="298"/>
      <c r="B248" s="299"/>
      <c r="C248" s="299"/>
      <c r="D248" s="299"/>
      <c r="E248" s="300"/>
      <c r="F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</row>
    <row r="249" customFormat="false" ht="18.75" hidden="false" customHeight="true" outlineLevel="0" collapsed="false">
      <c r="A249" s="265"/>
      <c r="B249" s="265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</row>
    <row r="250" customFormat="false" ht="18.75" hidden="false" customHeight="true" outlineLevel="0" collapsed="false">
      <c r="A250" s="265"/>
      <c r="B250" s="265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</row>
    <row r="251" customFormat="false" ht="18.75" hidden="false" customHeight="true" outlineLevel="0" collapsed="false">
      <c r="A251" s="265"/>
      <c r="B251" s="265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</row>
    <row r="252" customFormat="false" ht="18.75" hidden="false" customHeight="true" outlineLevel="0" collapsed="false">
      <c r="A252" s="265"/>
      <c r="B252" s="265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</row>
    <row r="253" customFormat="false" ht="18.75" hidden="false" customHeight="true" outlineLevel="0" collapsed="false">
      <c r="A253" s="265"/>
      <c r="B253" s="26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</row>
    <row r="254" customFormat="false" ht="18.75" hidden="false" customHeight="true" outlineLevel="0" collapsed="false">
      <c r="A254" s="265"/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</row>
    <row r="255" customFormat="false" ht="18.75" hidden="false" customHeight="true" outlineLevel="0" collapsed="false">
      <c r="A255" s="265"/>
      <c r="B255" s="265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</row>
    <row r="256" customFormat="false" ht="18.75" hidden="false" customHeight="true" outlineLevel="0" collapsed="false">
      <c r="A256" s="265"/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</row>
    <row r="257" customFormat="false" ht="18.75" hidden="false" customHeight="true" outlineLevel="0" collapsed="false">
      <c r="A257" s="265"/>
      <c r="B257" s="265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</row>
    <row r="258" customFormat="false" ht="18.75" hidden="false" customHeight="true" outlineLevel="0" collapsed="false">
      <c r="A258" s="265"/>
      <c r="B258" s="265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</row>
    <row r="259" customFormat="false" ht="18.75" hidden="false" customHeight="true" outlineLevel="0" collapsed="false">
      <c r="A259" s="265"/>
      <c r="B259" s="265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</row>
    <row r="260" customFormat="false" ht="18.75" hidden="false" customHeight="true" outlineLevel="0" collapsed="false">
      <c r="A260" s="265"/>
      <c r="B260" s="265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</row>
    <row r="261" customFormat="false" ht="18.75" hidden="false" customHeight="true" outlineLevel="0" collapsed="false">
      <c r="A261" s="265"/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</row>
    <row r="262" customFormat="false" ht="18.75" hidden="false" customHeight="true" outlineLevel="0" collapsed="false">
      <c r="A262" s="265"/>
      <c r="B262" s="265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</row>
    <row r="263" customFormat="false" ht="18.75" hidden="false" customHeight="true" outlineLevel="0" collapsed="false">
      <c r="A263" s="265"/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</row>
    <row r="264" customFormat="false" ht="18.75" hidden="false" customHeight="true" outlineLevel="0" collapsed="false">
      <c r="A264" s="265"/>
      <c r="B264" s="265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</row>
    <row r="265" customFormat="false" ht="18.75" hidden="false" customHeight="true" outlineLevel="0" collapsed="false">
      <c r="A265" s="265"/>
      <c r="B265" s="265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</row>
    <row r="266" customFormat="false" ht="18.75" hidden="false" customHeight="true" outlineLevel="0" collapsed="false">
      <c r="A266" s="265"/>
      <c r="B266" s="265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</row>
    <row r="267" customFormat="false" ht="18.75" hidden="false" customHeight="true" outlineLevel="0" collapsed="false">
      <c r="A267" s="265"/>
      <c r="B267" s="265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</row>
    <row r="268" customFormat="false" ht="18.75" hidden="false" customHeight="true" outlineLevel="0" collapsed="false">
      <c r="A268" s="265"/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</row>
    <row r="269" customFormat="false" ht="18.75" hidden="false" customHeight="true" outlineLevel="0" collapsed="false">
      <c r="A269" s="265"/>
      <c r="B269" s="265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</row>
    <row r="270" customFormat="false" ht="18.75" hidden="false" customHeight="true" outlineLevel="0" collapsed="false">
      <c r="A270" s="265"/>
      <c r="B270" s="265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</row>
    <row r="271" customFormat="false" ht="18.75" hidden="false" customHeight="true" outlineLevel="0" collapsed="false">
      <c r="A271" s="265"/>
      <c r="B271" s="265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</row>
    <row r="272" customFormat="false" ht="18.75" hidden="false" customHeight="true" outlineLevel="0" collapsed="false">
      <c r="A272" s="265"/>
      <c r="B272" s="265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</row>
    <row r="273" customFormat="false" ht="18.75" hidden="false" customHeight="true" outlineLevel="0" collapsed="false">
      <c r="A273" s="265"/>
      <c r="B273" s="265"/>
      <c r="C273" s="265"/>
      <c r="D273" s="265"/>
      <c r="E273" s="265"/>
      <c r="F273" s="265"/>
      <c r="G273" s="265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</row>
    <row r="274" customFormat="false" ht="18.75" hidden="false" customHeight="true" outlineLevel="0" collapsed="false">
      <c r="A274" s="265"/>
      <c r="B274" s="265"/>
      <c r="C274" s="265"/>
      <c r="D274" s="265"/>
      <c r="E274" s="265"/>
      <c r="F274" s="265"/>
      <c r="G274" s="265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</row>
    <row r="275" customFormat="false" ht="18.75" hidden="false" customHeight="true" outlineLevel="0" collapsed="false">
      <c r="A275" s="265"/>
      <c r="B275" s="265"/>
      <c r="C275" s="265"/>
      <c r="D275" s="265"/>
      <c r="E275" s="265"/>
      <c r="F275" s="265"/>
      <c r="G275" s="265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</row>
    <row r="276" customFormat="false" ht="18.75" hidden="false" customHeight="true" outlineLevel="0" collapsed="false">
      <c r="A276" s="265"/>
      <c r="B276" s="265"/>
      <c r="C276" s="265"/>
      <c r="D276" s="265"/>
      <c r="E276" s="265"/>
      <c r="F276" s="265"/>
      <c r="G276" s="265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</row>
    <row r="277" customFormat="false" ht="18.75" hidden="false" customHeight="true" outlineLevel="0" collapsed="false">
      <c r="A277" s="265"/>
      <c r="B277" s="265"/>
      <c r="C277" s="265"/>
      <c r="D277" s="265"/>
      <c r="E277" s="265"/>
      <c r="F277" s="265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</row>
    <row r="278" customFormat="false" ht="18.75" hidden="false" customHeight="true" outlineLevel="0" collapsed="false">
      <c r="A278" s="265"/>
      <c r="B278" s="265"/>
      <c r="C278" s="265"/>
      <c r="D278" s="265"/>
      <c r="E278" s="265"/>
      <c r="F278" s="265"/>
      <c r="G278" s="265"/>
      <c r="H278" s="265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</row>
    <row r="279" customFormat="false" ht="18.75" hidden="false" customHeight="true" outlineLevel="0" collapsed="false">
      <c r="A279" s="265"/>
      <c r="B279" s="265"/>
      <c r="C279" s="265"/>
      <c r="D279" s="265"/>
      <c r="E279" s="265"/>
      <c r="F279" s="265"/>
      <c r="G279" s="265"/>
      <c r="H279" s="265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</row>
    <row r="280" customFormat="false" ht="18.75" hidden="false" customHeight="true" outlineLevel="0" collapsed="false">
      <c r="A280" s="265"/>
      <c r="B280" s="265"/>
      <c r="C280" s="265"/>
      <c r="D280" s="265"/>
      <c r="E280" s="265"/>
      <c r="F280" s="265"/>
      <c r="G280" s="265"/>
      <c r="H280" s="265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</row>
    <row r="281" customFormat="false" ht="18.75" hidden="false" customHeight="true" outlineLevel="0" collapsed="false">
      <c r="A281" s="265"/>
      <c r="B281" s="265"/>
      <c r="C281" s="265"/>
      <c r="D281" s="265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</row>
    <row r="282" customFormat="false" ht="18.75" hidden="false" customHeight="true" outlineLevel="0" collapsed="false">
      <c r="A282" s="265"/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</row>
    <row r="283" customFormat="false" ht="18.75" hidden="false" customHeight="true" outlineLevel="0" collapsed="false">
      <c r="A283" s="265"/>
      <c r="B283" s="265"/>
      <c r="C283" s="265"/>
      <c r="D283" s="265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</row>
    <row r="284" customFormat="false" ht="18.75" hidden="false" customHeight="true" outlineLevel="0" collapsed="false">
      <c r="A284" s="265"/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</row>
    <row r="285" customFormat="false" ht="18.75" hidden="false" customHeight="true" outlineLevel="0" collapsed="false">
      <c r="A285" s="265"/>
      <c r="B285" s="265"/>
      <c r="C285" s="265"/>
      <c r="D285" s="265"/>
      <c r="E285" s="265"/>
      <c r="F285" s="265"/>
      <c r="G285" s="265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</row>
    <row r="286" customFormat="false" ht="18.75" hidden="false" customHeight="true" outlineLevel="0" collapsed="false">
      <c r="A286" s="265"/>
      <c r="B286" s="265"/>
      <c r="C286" s="265"/>
      <c r="D286" s="265"/>
      <c r="E286" s="265"/>
      <c r="F286" s="265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</row>
    <row r="287" customFormat="false" ht="18.75" hidden="false" customHeight="true" outlineLevel="0" collapsed="false">
      <c r="A287" s="265"/>
      <c r="B287" s="265"/>
      <c r="C287" s="265"/>
      <c r="D287" s="265"/>
      <c r="E287" s="265"/>
      <c r="F287" s="265"/>
      <c r="G287" s="265"/>
      <c r="H287" s="265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</row>
    <row r="288" customFormat="false" ht="18.75" hidden="false" customHeight="true" outlineLevel="0" collapsed="false">
      <c r="A288" s="265"/>
      <c r="B288" s="265"/>
      <c r="C288" s="265"/>
      <c r="D288" s="265"/>
      <c r="E288" s="265"/>
      <c r="F288" s="265"/>
      <c r="G288" s="265"/>
      <c r="H288" s="265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</row>
    <row r="289" customFormat="false" ht="18.75" hidden="false" customHeight="true" outlineLevel="0" collapsed="false">
      <c r="A289" s="265"/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</row>
    <row r="290" customFormat="false" ht="18.75" hidden="false" customHeight="true" outlineLevel="0" collapsed="false">
      <c r="A290" s="265"/>
      <c r="B290" s="265"/>
      <c r="C290" s="265"/>
      <c r="D290" s="265"/>
      <c r="E290" s="265"/>
      <c r="F290" s="265"/>
      <c r="G290" s="265"/>
      <c r="H290" s="265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</row>
    <row r="291" customFormat="false" ht="18.75" hidden="false" customHeight="true" outlineLevel="0" collapsed="false">
      <c r="A291" s="265"/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</row>
    <row r="292" customFormat="false" ht="18.75" hidden="false" customHeight="true" outlineLevel="0" collapsed="false">
      <c r="A292" s="265"/>
      <c r="B292" s="265"/>
      <c r="C292" s="265"/>
      <c r="D292" s="265"/>
      <c r="E292" s="265"/>
      <c r="F292" s="265"/>
      <c r="G292" s="265"/>
      <c r="H292" s="265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</row>
    <row r="293" customFormat="false" ht="18.75" hidden="false" customHeight="true" outlineLevel="0" collapsed="false">
      <c r="A293" s="265"/>
      <c r="B293" s="265"/>
      <c r="C293" s="265"/>
      <c r="D293" s="265"/>
      <c r="E293" s="265"/>
      <c r="F293" s="265"/>
      <c r="G293" s="265"/>
      <c r="H293" s="265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</row>
    <row r="294" customFormat="false" ht="18.75" hidden="false" customHeight="true" outlineLevel="0" collapsed="false">
      <c r="A294" s="265"/>
      <c r="B294" s="265"/>
      <c r="C294" s="265"/>
      <c r="D294" s="265"/>
      <c r="E294" s="265"/>
      <c r="F294" s="265"/>
      <c r="G294" s="265"/>
      <c r="H294" s="265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</row>
    <row r="295" customFormat="false" ht="18.75" hidden="false" customHeight="true" outlineLevel="0" collapsed="false">
      <c r="A295" s="265"/>
      <c r="B295" s="265"/>
      <c r="C295" s="265"/>
      <c r="D295" s="265"/>
      <c r="E295" s="265"/>
      <c r="F295" s="265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</row>
    <row r="296" customFormat="false" ht="18.75" hidden="false" customHeight="true" outlineLevel="0" collapsed="false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</row>
    <row r="297" customFormat="false" ht="18.75" hidden="false" customHeight="true" outlineLevel="0" collapsed="false">
      <c r="A297" s="265"/>
      <c r="B297" s="265"/>
      <c r="C297" s="265"/>
      <c r="D297" s="265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</row>
    <row r="298" customFormat="false" ht="18.75" hidden="false" customHeight="true" outlineLevel="0" collapsed="false">
      <c r="A298" s="265"/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</row>
    <row r="299" customFormat="false" ht="18.75" hidden="false" customHeight="true" outlineLevel="0" collapsed="false">
      <c r="A299" s="265"/>
      <c r="B299" s="265"/>
      <c r="C299" s="265"/>
      <c r="D299" s="265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</row>
    <row r="300" customFormat="false" ht="18.75" hidden="false" customHeight="true" outlineLevel="0" collapsed="false">
      <c r="A300" s="265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</row>
    <row r="301" customFormat="false" ht="18.75" hidden="false" customHeight="true" outlineLevel="0" collapsed="false">
      <c r="A301" s="265"/>
      <c r="B301" s="265"/>
      <c r="C301" s="265"/>
      <c r="D301" s="265"/>
      <c r="E301" s="265"/>
      <c r="F301" s="265"/>
      <c r="G301" s="265"/>
      <c r="H301" s="265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</row>
    <row r="302" customFormat="false" ht="18.75" hidden="false" customHeight="true" outlineLevel="0" collapsed="false">
      <c r="A302" s="265"/>
      <c r="B302" s="265"/>
      <c r="C302" s="265"/>
      <c r="D302" s="265"/>
      <c r="E302" s="265"/>
      <c r="F302" s="265"/>
      <c r="G302" s="265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</row>
    <row r="303" customFormat="false" ht="18.75" hidden="false" customHeight="true" outlineLevel="0" collapsed="false">
      <c r="A303" s="265"/>
      <c r="B303" s="265"/>
      <c r="C303" s="265"/>
      <c r="D303" s="265"/>
      <c r="E303" s="265"/>
      <c r="F303" s="265"/>
      <c r="G303" s="265"/>
      <c r="H303" s="265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</row>
    <row r="304" customFormat="false" ht="18.75" hidden="false" customHeight="true" outlineLevel="0" collapsed="false">
      <c r="A304" s="265"/>
      <c r="B304" s="265"/>
      <c r="C304" s="265"/>
      <c r="D304" s="265"/>
      <c r="E304" s="265"/>
      <c r="F304" s="265"/>
      <c r="G304" s="265"/>
      <c r="H304" s="265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</row>
    <row r="305" customFormat="false" ht="18.75" hidden="false" customHeight="true" outlineLevel="0" collapsed="false">
      <c r="A305" s="265"/>
      <c r="B305" s="265"/>
      <c r="C305" s="265"/>
      <c r="D305" s="265"/>
      <c r="E305" s="265"/>
      <c r="F305" s="265"/>
      <c r="G305" s="265"/>
      <c r="H305" s="265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</row>
    <row r="306" customFormat="false" ht="18.75" hidden="false" customHeight="true" outlineLevel="0" collapsed="false">
      <c r="A306" s="265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</row>
    <row r="307" customFormat="false" ht="18.75" hidden="false" customHeight="true" outlineLevel="0" collapsed="false">
      <c r="A307" s="265"/>
      <c r="B307" s="265"/>
      <c r="C307" s="265"/>
      <c r="D307" s="265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</row>
    <row r="308" customFormat="false" ht="18.75" hidden="false" customHeight="true" outlineLevel="0" collapsed="false">
      <c r="A308" s="265"/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</row>
    <row r="309" customFormat="false" ht="18.75" hidden="false" customHeight="true" outlineLevel="0" collapsed="false">
      <c r="A309" s="265"/>
      <c r="B309" s="265"/>
      <c r="C309" s="265"/>
      <c r="D309" s="265"/>
      <c r="E309" s="265"/>
      <c r="F309" s="265"/>
      <c r="G309" s="265"/>
      <c r="H309" s="265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</row>
    <row r="310" customFormat="false" ht="18.75" hidden="false" customHeight="true" outlineLevel="0" collapsed="false">
      <c r="A310" s="265"/>
      <c r="B310" s="265"/>
      <c r="C310" s="265"/>
      <c r="D310" s="265"/>
      <c r="E310" s="265"/>
      <c r="F310" s="265"/>
      <c r="G310" s="265"/>
      <c r="H310" s="265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</row>
    <row r="311" customFormat="false" ht="18.75" hidden="false" customHeight="true" outlineLevel="0" collapsed="false">
      <c r="A311" s="265"/>
      <c r="B311" s="265"/>
      <c r="C311" s="265"/>
      <c r="D311" s="265"/>
      <c r="E311" s="265"/>
      <c r="F311" s="265"/>
      <c r="G311" s="265"/>
      <c r="H311" s="265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</row>
    <row r="312" customFormat="false" ht="18.75" hidden="false" customHeight="true" outlineLevel="0" collapsed="false">
      <c r="A312" s="265"/>
      <c r="B312" s="265"/>
      <c r="C312" s="265"/>
      <c r="D312" s="265"/>
      <c r="E312" s="265"/>
      <c r="F312" s="265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</row>
    <row r="313" customFormat="false" ht="18.75" hidden="false" customHeight="true" outlineLevel="0" collapsed="false">
      <c r="A313" s="265"/>
      <c r="B313" s="265"/>
      <c r="C313" s="265"/>
      <c r="D313" s="265"/>
      <c r="E313" s="265"/>
      <c r="F313" s="265"/>
      <c r="G313" s="265"/>
      <c r="H313" s="265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</row>
    <row r="314" customFormat="false" ht="18.75" hidden="false" customHeight="true" outlineLevel="0" collapsed="false">
      <c r="A314" s="265"/>
      <c r="B314" s="265"/>
      <c r="C314" s="265"/>
      <c r="D314" s="265"/>
      <c r="E314" s="265"/>
      <c r="F314" s="265"/>
      <c r="G314" s="265"/>
      <c r="H314" s="265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</row>
    <row r="315" customFormat="false" ht="18.75" hidden="false" customHeight="true" outlineLevel="0" collapsed="false">
      <c r="A315" s="265"/>
      <c r="B315" s="265"/>
      <c r="C315" s="265"/>
      <c r="D315" s="265"/>
      <c r="E315" s="265"/>
      <c r="F315" s="265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</row>
    <row r="316" customFormat="false" ht="18.75" hidden="false" customHeight="true" outlineLevel="0" collapsed="false">
      <c r="A316" s="265"/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</row>
    <row r="317" customFormat="false" ht="18.75" hidden="false" customHeight="true" outlineLevel="0" collapsed="false">
      <c r="A317" s="265"/>
      <c r="B317" s="265"/>
      <c r="C317" s="265"/>
      <c r="D317" s="265"/>
      <c r="E317" s="265"/>
      <c r="F317" s="265"/>
      <c r="G317" s="265"/>
      <c r="H317" s="265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</row>
    <row r="318" customFormat="false" ht="18.75" hidden="false" customHeight="true" outlineLevel="0" collapsed="false">
      <c r="A318" s="265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</row>
    <row r="319" customFormat="false" ht="18.75" hidden="false" customHeight="true" outlineLevel="0" collapsed="false">
      <c r="A319" s="265"/>
      <c r="B319" s="265"/>
      <c r="C319" s="265"/>
      <c r="D319" s="265"/>
      <c r="E319" s="265"/>
      <c r="F319" s="265"/>
      <c r="G319" s="265"/>
      <c r="H319" s="265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</row>
    <row r="320" customFormat="false" ht="18.75" hidden="false" customHeight="true" outlineLevel="0" collapsed="false">
      <c r="A320" s="265"/>
      <c r="B320" s="265"/>
      <c r="C320" s="265"/>
      <c r="D320" s="265"/>
      <c r="E320" s="265"/>
      <c r="F320" s="265"/>
      <c r="G320" s="265"/>
      <c r="H320" s="265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</row>
    <row r="321" customFormat="false" ht="18.75" hidden="false" customHeight="true" outlineLevel="0" collapsed="false">
      <c r="A321" s="265"/>
      <c r="B321" s="265"/>
      <c r="C321" s="265"/>
      <c r="D321" s="265"/>
      <c r="E321" s="265"/>
      <c r="F321" s="265"/>
      <c r="G321" s="265"/>
      <c r="H321" s="265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</row>
    <row r="322" customFormat="false" ht="18.75" hidden="false" customHeight="true" outlineLevel="0" collapsed="false">
      <c r="A322" s="265"/>
      <c r="B322" s="265"/>
      <c r="C322" s="265"/>
      <c r="D322" s="265"/>
      <c r="E322" s="265"/>
      <c r="F322" s="265"/>
      <c r="G322" s="265"/>
      <c r="H322" s="265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</row>
    <row r="323" customFormat="false" ht="18.75" hidden="false" customHeight="true" outlineLevel="0" collapsed="false">
      <c r="A323" s="265"/>
      <c r="B323" s="265"/>
      <c r="C323" s="265"/>
      <c r="D323" s="265"/>
      <c r="E323" s="265"/>
      <c r="F323" s="265"/>
      <c r="G323" s="265"/>
      <c r="H323" s="265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</row>
    <row r="324" customFormat="false" ht="18.75" hidden="false" customHeight="true" outlineLevel="0" collapsed="false">
      <c r="A324" s="265"/>
      <c r="B324" s="265"/>
      <c r="C324" s="265"/>
      <c r="D324" s="265"/>
      <c r="E324" s="265"/>
      <c r="F324" s="265"/>
      <c r="G324" s="265"/>
      <c r="H324" s="265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</row>
    <row r="325" customFormat="false" ht="18.75" hidden="false" customHeight="true" outlineLevel="0" collapsed="false">
      <c r="A325" s="265"/>
      <c r="B325" s="265"/>
      <c r="C325" s="265"/>
      <c r="D325" s="265"/>
      <c r="E325" s="265"/>
      <c r="F325" s="265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</row>
    <row r="326" customFormat="false" ht="18.75" hidden="false" customHeight="true" outlineLevel="0" collapsed="false">
      <c r="A326" s="265"/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</row>
    <row r="327" customFormat="false" ht="18.75" hidden="false" customHeight="true" outlineLevel="0" collapsed="false">
      <c r="A327" s="265"/>
      <c r="B327" s="265"/>
      <c r="C327" s="265"/>
      <c r="D327" s="265"/>
      <c r="E327" s="265"/>
      <c r="F327" s="265"/>
      <c r="G327" s="265"/>
      <c r="H327" s="265"/>
      <c r="I327" s="265"/>
      <c r="J327" s="265"/>
      <c r="K327" s="265"/>
      <c r="L327" s="265"/>
      <c r="M327" s="265"/>
      <c r="N327" s="265"/>
      <c r="O327" s="265"/>
      <c r="P327" s="265"/>
      <c r="Q327" s="265"/>
      <c r="R327" s="265"/>
      <c r="S327" s="265"/>
      <c r="T327" s="265"/>
      <c r="U327" s="265"/>
      <c r="V327" s="265"/>
      <c r="W327" s="265"/>
      <c r="X327" s="265"/>
      <c r="Y327" s="265"/>
      <c r="Z327" s="265"/>
    </row>
    <row r="328" customFormat="false" ht="18.75" hidden="false" customHeight="true" outlineLevel="0" collapsed="false">
      <c r="A328" s="265"/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265"/>
      <c r="T328" s="265"/>
      <c r="U328" s="265"/>
      <c r="V328" s="265"/>
      <c r="W328" s="265"/>
      <c r="X328" s="265"/>
      <c r="Y328" s="265"/>
      <c r="Z328" s="265"/>
    </row>
    <row r="329" customFormat="false" ht="18.75" hidden="false" customHeight="true" outlineLevel="0" collapsed="false">
      <c r="A329" s="265"/>
      <c r="B329" s="265"/>
      <c r="C329" s="265"/>
      <c r="D329" s="265"/>
      <c r="E329" s="265"/>
      <c r="F329" s="265"/>
      <c r="G329" s="265"/>
      <c r="H329" s="265"/>
      <c r="I329" s="265"/>
      <c r="J329" s="265"/>
      <c r="K329" s="265"/>
      <c r="L329" s="265"/>
      <c r="M329" s="265"/>
      <c r="N329" s="265"/>
      <c r="O329" s="265"/>
      <c r="P329" s="265"/>
      <c r="Q329" s="265"/>
      <c r="R329" s="265"/>
      <c r="S329" s="265"/>
      <c r="T329" s="265"/>
      <c r="U329" s="265"/>
      <c r="V329" s="265"/>
      <c r="W329" s="265"/>
      <c r="X329" s="265"/>
      <c r="Y329" s="265"/>
      <c r="Z329" s="265"/>
    </row>
    <row r="330" customFormat="false" ht="18.75" hidden="false" customHeight="true" outlineLevel="0" collapsed="false">
      <c r="A330" s="265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5"/>
      <c r="Q330" s="265"/>
      <c r="R330" s="265"/>
      <c r="S330" s="265"/>
      <c r="T330" s="265"/>
      <c r="U330" s="265"/>
      <c r="V330" s="265"/>
      <c r="W330" s="265"/>
      <c r="X330" s="265"/>
      <c r="Y330" s="265"/>
      <c r="Z330" s="265"/>
    </row>
    <row r="331" customFormat="false" ht="18.75" hidden="false" customHeight="true" outlineLevel="0" collapsed="false">
      <c r="A331" s="265"/>
      <c r="B331" s="265"/>
      <c r="C331" s="265"/>
      <c r="D331" s="265"/>
      <c r="E331" s="265"/>
      <c r="F331" s="265"/>
      <c r="G331" s="265"/>
      <c r="H331" s="265"/>
      <c r="I331" s="265"/>
      <c r="J331" s="265"/>
      <c r="K331" s="265"/>
      <c r="L331" s="265"/>
      <c r="M331" s="265"/>
      <c r="N331" s="265"/>
      <c r="O331" s="265"/>
      <c r="P331" s="265"/>
      <c r="Q331" s="265"/>
      <c r="R331" s="265"/>
      <c r="S331" s="265"/>
      <c r="T331" s="265"/>
      <c r="U331" s="265"/>
      <c r="V331" s="265"/>
      <c r="W331" s="265"/>
      <c r="X331" s="265"/>
      <c r="Y331" s="265"/>
      <c r="Z331" s="265"/>
    </row>
    <row r="332" customFormat="false" ht="18.75" hidden="false" customHeight="true" outlineLevel="0" collapsed="false">
      <c r="A332" s="265"/>
      <c r="B332" s="265"/>
      <c r="C332" s="265"/>
      <c r="D332" s="265"/>
      <c r="E332" s="265"/>
      <c r="F332" s="265"/>
      <c r="G332" s="265"/>
      <c r="H332" s="265"/>
      <c r="I332" s="265"/>
      <c r="J332" s="265"/>
      <c r="K332" s="265"/>
      <c r="L332" s="265"/>
      <c r="M332" s="265"/>
      <c r="N332" s="265"/>
      <c r="O332" s="265"/>
      <c r="P332" s="265"/>
      <c r="Q332" s="265"/>
      <c r="R332" s="265"/>
      <c r="S332" s="265"/>
      <c r="T332" s="265"/>
      <c r="U332" s="265"/>
      <c r="V332" s="265"/>
      <c r="W332" s="265"/>
      <c r="X332" s="265"/>
      <c r="Y332" s="265"/>
      <c r="Z332" s="265"/>
    </row>
    <row r="333" customFormat="false" ht="18.75" hidden="false" customHeight="true" outlineLevel="0" collapsed="false">
      <c r="A333" s="265"/>
      <c r="B333" s="265"/>
      <c r="C333" s="265"/>
      <c r="D333" s="265"/>
      <c r="E333" s="265"/>
      <c r="F333" s="265"/>
      <c r="G333" s="265"/>
      <c r="H333" s="265"/>
      <c r="I333" s="265"/>
      <c r="J333" s="265"/>
      <c r="K333" s="265"/>
      <c r="L333" s="265"/>
      <c r="M333" s="265"/>
      <c r="N333" s="265"/>
      <c r="O333" s="265"/>
      <c r="P333" s="265"/>
      <c r="Q333" s="265"/>
      <c r="R333" s="265"/>
      <c r="S333" s="265"/>
      <c r="T333" s="265"/>
      <c r="U333" s="265"/>
      <c r="V333" s="265"/>
      <c r="W333" s="265"/>
      <c r="X333" s="265"/>
      <c r="Y333" s="265"/>
      <c r="Z333" s="265"/>
    </row>
    <row r="334" customFormat="false" ht="18.75" hidden="false" customHeight="true" outlineLevel="0" collapsed="false">
      <c r="A334" s="265"/>
      <c r="B334" s="265"/>
      <c r="C334" s="265"/>
      <c r="D334" s="265"/>
      <c r="E334" s="265"/>
      <c r="F334" s="265"/>
      <c r="G334" s="265"/>
      <c r="H334" s="265"/>
      <c r="I334" s="265"/>
      <c r="J334" s="265"/>
      <c r="K334" s="265"/>
      <c r="L334" s="265"/>
      <c r="M334" s="265"/>
      <c r="N334" s="265"/>
      <c r="O334" s="265"/>
      <c r="P334" s="265"/>
      <c r="Q334" s="265"/>
      <c r="R334" s="265"/>
      <c r="S334" s="265"/>
      <c r="T334" s="265"/>
      <c r="U334" s="265"/>
      <c r="V334" s="265"/>
      <c r="W334" s="265"/>
      <c r="X334" s="265"/>
      <c r="Y334" s="265"/>
      <c r="Z334" s="265"/>
    </row>
    <row r="335" customFormat="false" ht="18.75" hidden="false" customHeight="true" outlineLevel="0" collapsed="false">
      <c r="A335" s="265"/>
      <c r="B335" s="265"/>
      <c r="C335" s="265"/>
      <c r="D335" s="265"/>
      <c r="E335" s="265"/>
      <c r="F335" s="265"/>
      <c r="G335" s="265"/>
      <c r="H335" s="265"/>
      <c r="I335" s="265"/>
      <c r="J335" s="265"/>
      <c r="K335" s="265"/>
      <c r="L335" s="265"/>
      <c r="M335" s="265"/>
      <c r="N335" s="265"/>
      <c r="O335" s="265"/>
      <c r="P335" s="265"/>
      <c r="Q335" s="265"/>
      <c r="R335" s="265"/>
      <c r="S335" s="265"/>
      <c r="T335" s="265"/>
      <c r="U335" s="265"/>
      <c r="V335" s="265"/>
      <c r="W335" s="265"/>
      <c r="X335" s="265"/>
      <c r="Y335" s="265"/>
      <c r="Z335" s="265"/>
    </row>
    <row r="336" customFormat="false" ht="18.75" hidden="false" customHeight="true" outlineLevel="0" collapsed="false">
      <c r="A336" s="265"/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265"/>
      <c r="T336" s="265"/>
      <c r="U336" s="265"/>
      <c r="V336" s="265"/>
      <c r="W336" s="265"/>
      <c r="X336" s="265"/>
      <c r="Y336" s="265"/>
      <c r="Z336" s="265"/>
    </row>
    <row r="337" customFormat="false" ht="18.75" hidden="false" customHeight="true" outlineLevel="0" collapsed="false">
      <c r="A337" s="265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5"/>
      <c r="U337" s="265"/>
      <c r="V337" s="265"/>
      <c r="W337" s="265"/>
      <c r="X337" s="265"/>
      <c r="Y337" s="265"/>
      <c r="Z337" s="265"/>
    </row>
    <row r="338" customFormat="false" ht="18.75" hidden="false" customHeight="true" outlineLevel="0" collapsed="false">
      <c r="A338" s="265"/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265"/>
      <c r="T338" s="265"/>
      <c r="U338" s="265"/>
      <c r="V338" s="265"/>
      <c r="W338" s="265"/>
      <c r="X338" s="265"/>
      <c r="Y338" s="265"/>
      <c r="Z338" s="265"/>
    </row>
    <row r="339" customFormat="false" ht="18.75" hidden="false" customHeight="true" outlineLevel="0" collapsed="false">
      <c r="A339" s="265"/>
      <c r="B339" s="265"/>
      <c r="C339" s="265"/>
      <c r="D339" s="265"/>
      <c r="E339" s="265"/>
      <c r="F339" s="265"/>
      <c r="G339" s="265"/>
      <c r="H339" s="265"/>
      <c r="I339" s="265"/>
      <c r="J339" s="265"/>
      <c r="K339" s="265"/>
      <c r="L339" s="265"/>
      <c r="M339" s="265"/>
      <c r="N339" s="265"/>
      <c r="O339" s="265"/>
      <c r="P339" s="265"/>
      <c r="Q339" s="265"/>
      <c r="R339" s="265"/>
      <c r="S339" s="265"/>
      <c r="T339" s="265"/>
      <c r="U339" s="265"/>
      <c r="V339" s="265"/>
      <c r="W339" s="265"/>
      <c r="X339" s="265"/>
      <c r="Y339" s="265"/>
      <c r="Z339" s="265"/>
    </row>
    <row r="340" customFormat="false" ht="18.75" hidden="false" customHeight="true" outlineLevel="0" collapsed="false">
      <c r="A340" s="265"/>
      <c r="B340" s="265"/>
      <c r="C340" s="265"/>
      <c r="D340" s="265"/>
      <c r="E340" s="265"/>
      <c r="F340" s="265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5"/>
      <c r="U340" s="265"/>
      <c r="V340" s="265"/>
      <c r="W340" s="265"/>
      <c r="X340" s="265"/>
      <c r="Y340" s="265"/>
      <c r="Z340" s="265"/>
    </row>
    <row r="341" customFormat="false" ht="18.75" hidden="false" customHeight="true" outlineLevel="0" collapsed="false">
      <c r="A341" s="265"/>
      <c r="B341" s="265"/>
      <c r="C341" s="265"/>
      <c r="D341" s="265"/>
      <c r="E341" s="265"/>
      <c r="F341" s="265"/>
      <c r="G341" s="265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</row>
    <row r="342" customFormat="false" ht="18.75" hidden="false" customHeight="true" outlineLevel="0" collapsed="false">
      <c r="A342" s="265"/>
      <c r="B342" s="265"/>
      <c r="C342" s="265"/>
      <c r="D342" s="265"/>
      <c r="E342" s="265"/>
      <c r="F342" s="265"/>
      <c r="G342" s="265"/>
      <c r="H342" s="265"/>
      <c r="I342" s="265"/>
      <c r="J342" s="265"/>
      <c r="K342" s="265"/>
      <c r="L342" s="265"/>
      <c r="M342" s="265"/>
      <c r="N342" s="265"/>
      <c r="O342" s="265"/>
      <c r="P342" s="265"/>
      <c r="Q342" s="265"/>
      <c r="R342" s="265"/>
      <c r="S342" s="265"/>
      <c r="T342" s="265"/>
      <c r="U342" s="265"/>
      <c r="V342" s="265"/>
      <c r="W342" s="265"/>
      <c r="X342" s="265"/>
      <c r="Y342" s="265"/>
      <c r="Z342" s="265"/>
    </row>
    <row r="343" customFormat="false" ht="18.75" hidden="false" customHeight="true" outlineLevel="0" collapsed="false">
      <c r="A343" s="265"/>
      <c r="B343" s="265"/>
      <c r="C343" s="265"/>
      <c r="D343" s="265"/>
      <c r="E343" s="265"/>
      <c r="F343" s="265"/>
      <c r="G343" s="265"/>
      <c r="H343" s="265"/>
      <c r="I343" s="265"/>
      <c r="J343" s="265"/>
      <c r="K343" s="265"/>
      <c r="L343" s="265"/>
      <c r="M343" s="265"/>
      <c r="N343" s="265"/>
      <c r="O343" s="265"/>
      <c r="P343" s="265"/>
      <c r="Q343" s="265"/>
      <c r="R343" s="265"/>
      <c r="S343" s="265"/>
      <c r="T343" s="265"/>
      <c r="U343" s="265"/>
      <c r="V343" s="265"/>
      <c r="W343" s="265"/>
      <c r="X343" s="265"/>
      <c r="Y343" s="265"/>
      <c r="Z343" s="265"/>
    </row>
    <row r="344" customFormat="false" ht="18.75" hidden="false" customHeight="true" outlineLevel="0" collapsed="false">
      <c r="A344" s="265"/>
      <c r="B344" s="265"/>
      <c r="C344" s="265"/>
      <c r="D344" s="265"/>
      <c r="E344" s="265"/>
      <c r="F344" s="265"/>
      <c r="G344" s="265"/>
      <c r="H344" s="265"/>
      <c r="I344" s="265"/>
      <c r="J344" s="265"/>
      <c r="K344" s="265"/>
      <c r="L344" s="265"/>
      <c r="M344" s="265"/>
      <c r="N344" s="265"/>
      <c r="O344" s="265"/>
      <c r="P344" s="265"/>
      <c r="Q344" s="265"/>
      <c r="R344" s="265"/>
      <c r="S344" s="265"/>
      <c r="T344" s="265"/>
      <c r="U344" s="265"/>
      <c r="V344" s="265"/>
      <c r="W344" s="265"/>
      <c r="X344" s="265"/>
      <c r="Y344" s="265"/>
      <c r="Z344" s="265"/>
    </row>
    <row r="345" customFormat="false" ht="18.75" hidden="false" customHeight="true" outlineLevel="0" collapsed="false">
      <c r="A345" s="265"/>
      <c r="B345" s="265"/>
      <c r="C345" s="265"/>
      <c r="D345" s="265"/>
      <c r="E345" s="265"/>
      <c r="F345" s="265"/>
      <c r="G345" s="265"/>
      <c r="H345" s="265"/>
      <c r="I345" s="265"/>
      <c r="J345" s="265"/>
      <c r="K345" s="265"/>
      <c r="L345" s="265"/>
      <c r="M345" s="265"/>
      <c r="N345" s="265"/>
      <c r="O345" s="265"/>
      <c r="P345" s="265"/>
      <c r="Q345" s="265"/>
      <c r="R345" s="265"/>
      <c r="S345" s="265"/>
      <c r="T345" s="265"/>
      <c r="U345" s="265"/>
      <c r="V345" s="265"/>
      <c r="W345" s="265"/>
      <c r="X345" s="265"/>
      <c r="Y345" s="265"/>
      <c r="Z345" s="265"/>
    </row>
    <row r="346" customFormat="false" ht="18.75" hidden="false" customHeight="true" outlineLevel="0" collapsed="false">
      <c r="A346" s="265"/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265"/>
      <c r="T346" s="265"/>
      <c r="U346" s="265"/>
      <c r="V346" s="265"/>
      <c r="W346" s="265"/>
      <c r="X346" s="265"/>
      <c r="Y346" s="265"/>
      <c r="Z346" s="265"/>
    </row>
    <row r="347" customFormat="false" ht="18.75" hidden="false" customHeight="true" outlineLevel="0" collapsed="false">
      <c r="A347" s="265"/>
      <c r="B347" s="265"/>
      <c r="C347" s="265"/>
      <c r="D347" s="265"/>
      <c r="E347" s="265"/>
      <c r="F347" s="265"/>
      <c r="G347" s="265"/>
      <c r="H347" s="265"/>
      <c r="I347" s="265"/>
      <c r="J347" s="265"/>
      <c r="K347" s="265"/>
      <c r="L347" s="265"/>
      <c r="M347" s="265"/>
      <c r="N347" s="265"/>
      <c r="O347" s="265"/>
      <c r="P347" s="265"/>
      <c r="Q347" s="265"/>
      <c r="R347" s="265"/>
      <c r="S347" s="265"/>
      <c r="T347" s="265"/>
      <c r="U347" s="265"/>
      <c r="V347" s="265"/>
      <c r="W347" s="265"/>
      <c r="X347" s="265"/>
      <c r="Y347" s="265"/>
      <c r="Z347" s="265"/>
    </row>
    <row r="348" customFormat="false" ht="18.75" hidden="false" customHeight="true" outlineLevel="0" collapsed="false">
      <c r="A348" s="265"/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265"/>
      <c r="T348" s="265"/>
      <c r="U348" s="265"/>
      <c r="V348" s="265"/>
      <c r="W348" s="265"/>
      <c r="X348" s="265"/>
      <c r="Y348" s="265"/>
      <c r="Z348" s="265"/>
    </row>
    <row r="349" customFormat="false" ht="18.75" hidden="false" customHeight="true" outlineLevel="0" collapsed="false">
      <c r="A349" s="265"/>
      <c r="B349" s="265"/>
      <c r="C349" s="265"/>
      <c r="D349" s="265"/>
      <c r="E349" s="265"/>
      <c r="F349" s="265"/>
      <c r="G349" s="265"/>
      <c r="H349" s="265"/>
      <c r="I349" s="265"/>
      <c r="J349" s="265"/>
      <c r="K349" s="265"/>
      <c r="L349" s="265"/>
      <c r="M349" s="265"/>
      <c r="N349" s="265"/>
      <c r="O349" s="265"/>
      <c r="P349" s="265"/>
      <c r="Q349" s="265"/>
      <c r="R349" s="265"/>
      <c r="S349" s="265"/>
      <c r="T349" s="265"/>
      <c r="U349" s="265"/>
      <c r="V349" s="265"/>
      <c r="W349" s="265"/>
      <c r="X349" s="265"/>
      <c r="Y349" s="265"/>
      <c r="Z349" s="265"/>
    </row>
    <row r="350" customFormat="false" ht="18.75" hidden="false" customHeight="true" outlineLevel="0" collapsed="false">
      <c r="A350" s="265"/>
      <c r="B350" s="265"/>
      <c r="C350" s="265"/>
      <c r="D350" s="265"/>
      <c r="E350" s="265"/>
      <c r="F350" s="265"/>
      <c r="G350" s="265"/>
      <c r="H350" s="265"/>
      <c r="I350" s="265"/>
      <c r="J350" s="265"/>
      <c r="K350" s="265"/>
      <c r="L350" s="265"/>
      <c r="M350" s="265"/>
      <c r="N350" s="265"/>
      <c r="O350" s="265"/>
      <c r="P350" s="265"/>
      <c r="Q350" s="265"/>
      <c r="R350" s="265"/>
      <c r="S350" s="265"/>
      <c r="T350" s="265"/>
      <c r="U350" s="265"/>
      <c r="V350" s="265"/>
      <c r="W350" s="265"/>
      <c r="X350" s="265"/>
      <c r="Y350" s="265"/>
      <c r="Z350" s="265"/>
    </row>
    <row r="351" customFormat="false" ht="18.75" hidden="false" customHeight="true" outlineLevel="0" collapsed="false">
      <c r="A351" s="265"/>
      <c r="B351" s="265"/>
      <c r="C351" s="265"/>
      <c r="D351" s="265"/>
      <c r="E351" s="265"/>
      <c r="F351" s="265"/>
      <c r="G351" s="265"/>
      <c r="H351" s="265"/>
      <c r="I351" s="265"/>
      <c r="J351" s="265"/>
      <c r="K351" s="265"/>
      <c r="L351" s="265"/>
      <c r="M351" s="265"/>
      <c r="N351" s="265"/>
      <c r="O351" s="265"/>
      <c r="P351" s="265"/>
      <c r="Q351" s="265"/>
      <c r="R351" s="265"/>
      <c r="S351" s="265"/>
      <c r="T351" s="265"/>
      <c r="U351" s="265"/>
      <c r="V351" s="265"/>
      <c r="W351" s="265"/>
      <c r="X351" s="265"/>
      <c r="Y351" s="265"/>
      <c r="Z351" s="265"/>
    </row>
    <row r="352" customFormat="false" ht="18.75" hidden="false" customHeight="true" outlineLevel="0" collapsed="false">
      <c r="A352" s="265"/>
      <c r="B352" s="265"/>
      <c r="C352" s="265"/>
      <c r="D352" s="265"/>
      <c r="E352" s="265"/>
      <c r="F352" s="265"/>
      <c r="G352" s="265"/>
      <c r="H352" s="265"/>
      <c r="I352" s="265"/>
      <c r="J352" s="265"/>
      <c r="K352" s="265"/>
      <c r="L352" s="265"/>
      <c r="M352" s="265"/>
      <c r="N352" s="265"/>
      <c r="O352" s="265"/>
      <c r="P352" s="265"/>
      <c r="Q352" s="265"/>
      <c r="R352" s="265"/>
      <c r="S352" s="265"/>
      <c r="T352" s="265"/>
      <c r="U352" s="265"/>
      <c r="V352" s="265"/>
      <c r="W352" s="265"/>
      <c r="X352" s="265"/>
      <c r="Y352" s="265"/>
      <c r="Z352" s="265"/>
    </row>
    <row r="353" customFormat="false" ht="18.75" hidden="false" customHeight="true" outlineLevel="0" collapsed="false">
      <c r="A353" s="265"/>
      <c r="B353" s="265"/>
      <c r="C353" s="265"/>
      <c r="D353" s="265"/>
      <c r="E353" s="265"/>
      <c r="F353" s="265"/>
      <c r="G353" s="265"/>
      <c r="H353" s="265"/>
      <c r="I353" s="265"/>
      <c r="J353" s="265"/>
      <c r="K353" s="265"/>
      <c r="L353" s="265"/>
      <c r="M353" s="265"/>
      <c r="N353" s="265"/>
      <c r="O353" s="265"/>
      <c r="P353" s="265"/>
      <c r="Q353" s="265"/>
      <c r="R353" s="265"/>
      <c r="S353" s="265"/>
      <c r="T353" s="265"/>
      <c r="U353" s="265"/>
      <c r="V353" s="265"/>
      <c r="W353" s="265"/>
      <c r="X353" s="265"/>
      <c r="Y353" s="265"/>
      <c r="Z353" s="265"/>
    </row>
    <row r="354" customFormat="false" ht="18.75" hidden="false" customHeight="true" outlineLevel="0" collapsed="false">
      <c r="A354" s="265"/>
      <c r="B354" s="265"/>
      <c r="C354" s="265"/>
      <c r="D354" s="265"/>
      <c r="E354" s="265"/>
      <c r="F354" s="265"/>
      <c r="G354" s="265"/>
      <c r="H354" s="265"/>
      <c r="I354" s="265"/>
      <c r="J354" s="265"/>
      <c r="K354" s="265"/>
      <c r="L354" s="265"/>
      <c r="M354" s="265"/>
      <c r="N354" s="265"/>
      <c r="O354" s="265"/>
      <c r="P354" s="265"/>
      <c r="Q354" s="265"/>
      <c r="R354" s="265"/>
      <c r="S354" s="265"/>
      <c r="T354" s="265"/>
      <c r="U354" s="265"/>
      <c r="V354" s="265"/>
      <c r="W354" s="265"/>
      <c r="X354" s="265"/>
      <c r="Y354" s="265"/>
      <c r="Z354" s="265"/>
    </row>
    <row r="355" customFormat="false" ht="18.75" hidden="false" customHeight="true" outlineLevel="0" collapsed="false">
      <c r="A355" s="265"/>
      <c r="B355" s="265"/>
      <c r="C355" s="265"/>
      <c r="D355" s="265"/>
      <c r="E355" s="265"/>
      <c r="F355" s="265"/>
      <c r="G355" s="265"/>
      <c r="H355" s="265"/>
      <c r="I355" s="265"/>
      <c r="J355" s="265"/>
      <c r="K355" s="265"/>
      <c r="L355" s="265"/>
      <c r="M355" s="265"/>
      <c r="N355" s="265"/>
      <c r="O355" s="265"/>
      <c r="P355" s="265"/>
      <c r="Q355" s="265"/>
      <c r="R355" s="265"/>
      <c r="S355" s="265"/>
      <c r="T355" s="265"/>
      <c r="U355" s="265"/>
      <c r="V355" s="265"/>
      <c r="W355" s="265"/>
      <c r="X355" s="265"/>
      <c r="Y355" s="265"/>
      <c r="Z355" s="265"/>
    </row>
    <row r="356" customFormat="false" ht="18.75" hidden="false" customHeight="true" outlineLevel="0" collapsed="false">
      <c r="A356" s="265"/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265"/>
      <c r="T356" s="265"/>
      <c r="U356" s="265"/>
      <c r="V356" s="265"/>
      <c r="W356" s="265"/>
      <c r="X356" s="265"/>
      <c r="Y356" s="265"/>
      <c r="Z356" s="265"/>
    </row>
    <row r="357" customFormat="false" ht="18.75" hidden="false" customHeight="true" outlineLevel="0" collapsed="false">
      <c r="A357" s="265"/>
      <c r="B357" s="265"/>
      <c r="C357" s="265"/>
      <c r="D357" s="265"/>
      <c r="E357" s="265"/>
      <c r="F357" s="265"/>
      <c r="G357" s="265"/>
      <c r="H357" s="265"/>
      <c r="I357" s="265"/>
      <c r="J357" s="265"/>
      <c r="K357" s="265"/>
      <c r="L357" s="265"/>
      <c r="M357" s="265"/>
      <c r="N357" s="265"/>
      <c r="O357" s="265"/>
      <c r="P357" s="265"/>
      <c r="Q357" s="265"/>
      <c r="R357" s="265"/>
      <c r="S357" s="265"/>
      <c r="T357" s="265"/>
      <c r="U357" s="265"/>
      <c r="V357" s="265"/>
      <c r="W357" s="265"/>
      <c r="X357" s="265"/>
      <c r="Y357" s="265"/>
      <c r="Z357" s="265"/>
    </row>
    <row r="358" customFormat="false" ht="18.75" hidden="false" customHeight="true" outlineLevel="0" collapsed="false">
      <c r="A358" s="265"/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265"/>
      <c r="T358" s="265"/>
      <c r="U358" s="265"/>
      <c r="V358" s="265"/>
      <c r="W358" s="265"/>
      <c r="X358" s="265"/>
      <c r="Y358" s="265"/>
      <c r="Z358" s="265"/>
    </row>
    <row r="359" customFormat="false" ht="18.75" hidden="false" customHeight="true" outlineLevel="0" collapsed="false">
      <c r="A359" s="265"/>
      <c r="B359" s="265"/>
      <c r="C359" s="265"/>
      <c r="D359" s="265"/>
      <c r="E359" s="265"/>
      <c r="F359" s="265"/>
      <c r="G359" s="265"/>
      <c r="H359" s="265"/>
      <c r="I359" s="265"/>
      <c r="J359" s="265"/>
      <c r="K359" s="265"/>
      <c r="L359" s="265"/>
      <c r="M359" s="265"/>
      <c r="N359" s="265"/>
      <c r="O359" s="265"/>
      <c r="P359" s="265"/>
      <c r="Q359" s="265"/>
      <c r="R359" s="265"/>
      <c r="S359" s="265"/>
      <c r="T359" s="265"/>
      <c r="U359" s="265"/>
      <c r="V359" s="265"/>
      <c r="W359" s="265"/>
      <c r="X359" s="265"/>
      <c r="Y359" s="265"/>
      <c r="Z359" s="265"/>
    </row>
    <row r="360" customFormat="false" ht="18.75" hidden="false" customHeight="true" outlineLevel="0" collapsed="false">
      <c r="A360" s="265"/>
      <c r="B360" s="265"/>
      <c r="C360" s="265"/>
      <c r="D360" s="265"/>
      <c r="E360" s="265"/>
      <c r="F360" s="265"/>
      <c r="G360" s="265"/>
      <c r="H360" s="265"/>
      <c r="I360" s="265"/>
      <c r="J360" s="265"/>
      <c r="K360" s="265"/>
      <c r="L360" s="265"/>
      <c r="M360" s="265"/>
      <c r="N360" s="265"/>
      <c r="O360" s="265"/>
      <c r="P360" s="265"/>
      <c r="Q360" s="265"/>
      <c r="R360" s="265"/>
      <c r="S360" s="265"/>
      <c r="T360" s="265"/>
      <c r="U360" s="265"/>
      <c r="V360" s="265"/>
      <c r="W360" s="265"/>
      <c r="X360" s="265"/>
      <c r="Y360" s="265"/>
      <c r="Z360" s="265"/>
    </row>
    <row r="361" customFormat="false" ht="18.75" hidden="false" customHeight="true" outlineLevel="0" collapsed="false">
      <c r="A361" s="265"/>
      <c r="B361" s="265"/>
      <c r="C361" s="265"/>
      <c r="D361" s="265"/>
      <c r="E361" s="265"/>
      <c r="F361" s="265"/>
      <c r="G361" s="265"/>
      <c r="H361" s="265"/>
      <c r="I361" s="265"/>
      <c r="J361" s="265"/>
      <c r="K361" s="265"/>
      <c r="L361" s="265"/>
      <c r="M361" s="265"/>
      <c r="N361" s="265"/>
      <c r="O361" s="265"/>
      <c r="P361" s="265"/>
      <c r="Q361" s="265"/>
      <c r="R361" s="265"/>
      <c r="S361" s="265"/>
      <c r="T361" s="265"/>
      <c r="U361" s="265"/>
      <c r="V361" s="265"/>
      <c r="W361" s="265"/>
      <c r="X361" s="265"/>
      <c r="Y361" s="265"/>
      <c r="Z361" s="26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70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/>
      <c r="F13" s="151"/>
      <c r="G13" s="153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0.072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52464.3332978415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0.137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0.0114166666666667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4125.32107917265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26.6800219733353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43752.1789208274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1639.88541555755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52476.3332978415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52476.3332978415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1639.88541555755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1639.88541555755</v>
      </c>
      <c r="C105" s="32"/>
      <c r="D105" s="32"/>
      <c r="E105" s="23" t="s">
        <v>18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263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0.137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1639.88541555755</v>
      </c>
      <c r="B176" s="174" t="n">
        <f aca="false">B103</f>
        <v>0</v>
      </c>
      <c r="C176" s="171"/>
      <c r="D176" s="171"/>
      <c r="E176" s="174" t="n">
        <f aca="false">B105</f>
        <v>1639.88541555755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-48.666702158509</v>
      </c>
      <c r="B191" s="99" t="str">
        <f aca="false">B123</f>
        <v>199.99</v>
      </c>
      <c r="C191" s="99"/>
      <c r="D191" s="23"/>
      <c r="E191" s="99" t="n">
        <f aca="false">E188+A191+B191+A194</f>
        <v>58686.3232978415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1639.88541555755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1639.88541555755</v>
      </c>
      <c r="B221" s="174" t="n">
        <f aca="false">B176</f>
        <v>0</v>
      </c>
      <c r="C221" s="171"/>
      <c r="D221" s="171"/>
      <c r="E221" s="174" t="n">
        <f aca="false">E176</f>
        <v>1639.88541555755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-48.666702158509</v>
      </c>
      <c r="B233" s="99" t="str">
        <f aca="false">B191</f>
        <v>199.99</v>
      </c>
      <c r="C233" s="99"/>
      <c r="D233" s="109"/>
      <c r="E233" s="99" t="n">
        <f aca="false">E191</f>
        <v>58686.3232978415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1639.88541555755</v>
      </c>
      <c r="B239" s="99" t="n">
        <f aca="false">B176</f>
        <v>0</v>
      </c>
      <c r="C239" s="183"/>
      <c r="D239" s="183"/>
      <c r="E239" s="99" t="n">
        <f aca="false">E176</f>
        <v>1639.88541555755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</v>
      </c>
      <c r="C264" s="194"/>
      <c r="D264" s="195" t="s">
        <v>218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0.072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0.137</v>
      </c>
      <c r="C269" s="43"/>
      <c r="D269" s="163" t="s">
        <v>215</v>
      </c>
      <c r="E269" s="163"/>
      <c r="F269" s="143" t="n">
        <f aca="false">(B98*B68)-(C98*B68)</f>
        <v>52476.3332978415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</v>
      </c>
      <c r="C272" s="32"/>
      <c r="D272" s="39" t="s">
        <v>218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" colorId="64" zoomScale="75" zoomScaleNormal="7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/>
      <c r="F9" s="149"/>
      <c r="G9" s="136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/>
      <c r="F10" s="151"/>
      <c r="G10" s="153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3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/>
      <c r="F13" s="151"/>
      <c r="G13" s="153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/>
      <c r="F14" s="151"/>
      <c r="G14" s="153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3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/>
      <c r="F16" s="151"/>
      <c r="G16" s="153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39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39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39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str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45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40" t="s">
        <v>64</v>
      </c>
      <c r="B43" s="32"/>
      <c r="C43" s="41" t="s">
        <v>65</v>
      </c>
      <c r="D43" s="41"/>
      <c r="E43" s="32"/>
      <c r="F43" s="41" t="s">
        <v>18</v>
      </c>
      <c r="G43" s="41"/>
      <c r="H43" s="47"/>
      <c r="J43" s="2" t="s">
        <v>66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67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68</v>
      </c>
      <c r="B45" s="32"/>
      <c r="C45" s="38" t="s">
        <v>69</v>
      </c>
      <c r="D45" s="39"/>
      <c r="E45" s="32"/>
      <c r="F45" s="38" t="s">
        <v>70</v>
      </c>
      <c r="G45" s="39"/>
      <c r="H45" s="47"/>
      <c r="J45" s="2" t="s">
        <v>71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73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74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75</v>
      </c>
      <c r="B48" s="43"/>
      <c r="C48" s="43"/>
      <c r="D48" s="43"/>
      <c r="E48" s="43"/>
      <c r="F48" s="43"/>
      <c r="G48" s="43"/>
      <c r="H48" s="47"/>
      <c r="J48" s="55" t="s">
        <v>76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78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79</v>
      </c>
      <c r="B52" s="32"/>
      <c r="C52" s="32" t="s">
        <v>80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81</v>
      </c>
      <c r="K53" s="64" t="s">
        <v>376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83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84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85</v>
      </c>
      <c r="B58" s="71" t="s">
        <v>86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87</v>
      </c>
      <c r="B67" s="32" t="n">
        <v>1</v>
      </c>
      <c r="C67" s="32"/>
      <c r="D67" s="32"/>
      <c r="E67" s="23"/>
      <c r="F67" s="23"/>
      <c r="G67" s="23"/>
      <c r="H67" s="33"/>
      <c r="J67" s="31" t="s">
        <v>87</v>
      </c>
      <c r="K67" s="32" t="n">
        <v>1</v>
      </c>
      <c r="L67" s="32"/>
      <c r="M67" s="32"/>
      <c r="N67" s="23"/>
      <c r="O67" s="23"/>
      <c r="P67" s="23"/>
      <c r="Q67" s="33"/>
      <c r="S67" s="31" t="s">
        <v>87</v>
      </c>
      <c r="T67" s="32" t="n">
        <v>1</v>
      </c>
      <c r="U67" s="32"/>
      <c r="V67" s="32"/>
      <c r="W67" s="23"/>
      <c r="X67" s="23"/>
      <c r="Y67" s="23"/>
      <c r="Z67" s="33"/>
      <c r="AB67" s="31" t="s">
        <v>87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88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88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88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88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89</v>
      </c>
      <c r="B69" s="77" t="n">
        <v>10</v>
      </c>
      <c r="C69" s="32"/>
      <c r="D69" s="32"/>
      <c r="E69" s="23"/>
      <c r="F69" s="23"/>
      <c r="G69" s="23"/>
      <c r="H69" s="33"/>
      <c r="J69" s="76" t="s">
        <v>89</v>
      </c>
      <c r="K69" s="77" t="n">
        <v>20</v>
      </c>
      <c r="L69" s="32"/>
      <c r="M69" s="32"/>
      <c r="N69" s="23"/>
      <c r="O69" s="23"/>
      <c r="P69" s="23"/>
      <c r="Q69" s="33"/>
      <c r="S69" s="76" t="s">
        <v>89</v>
      </c>
      <c r="T69" s="77" t="n">
        <v>10</v>
      </c>
      <c r="U69" s="32"/>
      <c r="V69" s="32"/>
      <c r="W69" s="23"/>
      <c r="X69" s="23"/>
      <c r="Y69" s="23"/>
      <c r="Z69" s="33"/>
      <c r="AB69" s="76" t="s">
        <v>89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90</v>
      </c>
      <c r="B71" s="79" t="n">
        <v>0</v>
      </c>
      <c r="C71" s="32"/>
      <c r="D71" s="32"/>
      <c r="E71" s="23"/>
      <c r="F71" s="23"/>
      <c r="G71" s="23"/>
      <c r="H71" s="33"/>
      <c r="J71" s="78" t="s">
        <v>90</v>
      </c>
      <c r="K71" s="79" t="n">
        <v>0.06</v>
      </c>
      <c r="L71" s="32"/>
      <c r="M71" s="32"/>
      <c r="N71" s="23"/>
      <c r="O71" s="23"/>
      <c r="P71" s="23"/>
      <c r="Q71" s="33"/>
      <c r="S71" s="78" t="s">
        <v>90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90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91</v>
      </c>
      <c r="B72" s="81" t="n">
        <v>0.065</v>
      </c>
      <c r="C72" s="32"/>
      <c r="D72" s="32"/>
      <c r="E72" s="23"/>
      <c r="F72" s="23"/>
      <c r="G72" s="23"/>
      <c r="H72" s="33"/>
      <c r="J72" s="80" t="s">
        <v>91</v>
      </c>
      <c r="K72" s="81" t="n">
        <v>0.08</v>
      </c>
      <c r="L72" s="32"/>
      <c r="M72" s="32"/>
      <c r="N72" s="23"/>
      <c r="O72" s="23"/>
      <c r="P72" s="23"/>
      <c r="Q72" s="33"/>
      <c r="S72" s="80" t="s">
        <v>91</v>
      </c>
      <c r="T72" s="81" t="n">
        <v>0.059</v>
      </c>
      <c r="U72" s="32"/>
      <c r="V72" s="32"/>
      <c r="W72" s="23"/>
      <c r="X72" s="23"/>
      <c r="Y72" s="23"/>
      <c r="Z72" s="33"/>
      <c r="AB72" s="80" t="s">
        <v>91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92</v>
      </c>
      <c r="B73" s="83" t="n">
        <v>0.05</v>
      </c>
      <c r="C73" s="32"/>
      <c r="D73" s="32"/>
      <c r="E73" s="23"/>
      <c r="F73" s="23"/>
      <c r="G73" s="23"/>
      <c r="H73" s="33"/>
      <c r="J73" s="82" t="s">
        <v>92</v>
      </c>
      <c r="K73" s="83" t="n">
        <v>0.1</v>
      </c>
      <c r="L73" s="32"/>
      <c r="M73" s="32"/>
      <c r="N73" s="23"/>
      <c r="O73" s="23"/>
      <c r="P73" s="23"/>
      <c r="Q73" s="33"/>
      <c r="S73" s="82" t="s">
        <v>92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92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93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93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93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93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94</v>
      </c>
      <c r="B75" s="79" t="n">
        <v>0.005</v>
      </c>
      <c r="C75" s="32"/>
      <c r="D75" s="32"/>
      <c r="E75" s="23"/>
      <c r="F75" s="23"/>
      <c r="G75" s="23"/>
      <c r="H75" s="33"/>
      <c r="J75" s="78" t="s">
        <v>94</v>
      </c>
      <c r="K75" s="79" t="n">
        <v>0.05</v>
      </c>
      <c r="L75" s="32"/>
      <c r="M75" s="32"/>
      <c r="N75" s="23"/>
      <c r="O75" s="23"/>
      <c r="P75" s="23"/>
      <c r="Q75" s="33"/>
      <c r="S75" s="78" t="s">
        <v>94</v>
      </c>
      <c r="T75" s="79" t="n">
        <v>0.005</v>
      </c>
      <c r="U75" s="32"/>
      <c r="V75" s="32"/>
      <c r="W75" s="23"/>
      <c r="X75" s="23"/>
      <c r="Y75" s="23"/>
      <c r="Z75" s="33"/>
      <c r="AB75" s="78" t="s">
        <v>94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95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95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95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95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96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96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96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96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97</v>
      </c>
      <c r="B78" s="79" t="n">
        <v>0</v>
      </c>
      <c r="C78" s="32"/>
      <c r="D78" s="32"/>
      <c r="E78" s="23"/>
      <c r="F78" s="23"/>
      <c r="G78" s="23"/>
      <c r="H78" s="33"/>
      <c r="J78" s="78" t="s">
        <v>97</v>
      </c>
      <c r="K78" s="79" t="n">
        <v>0</v>
      </c>
      <c r="L78" s="32"/>
      <c r="M78" s="32"/>
      <c r="N78" s="23"/>
      <c r="O78" s="23"/>
      <c r="P78" s="23"/>
      <c r="Q78" s="33"/>
      <c r="S78" s="78" t="s">
        <v>97</v>
      </c>
      <c r="T78" s="79" t="n">
        <v>0</v>
      </c>
      <c r="U78" s="32"/>
      <c r="V78" s="32"/>
      <c r="W78" s="23"/>
      <c r="X78" s="23"/>
      <c r="Y78" s="23"/>
      <c r="Z78" s="33"/>
      <c r="AB78" s="78" t="s">
        <v>97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98</v>
      </c>
      <c r="B79" s="81" t="n">
        <v>0</v>
      </c>
      <c r="C79" s="32"/>
      <c r="D79" s="32"/>
      <c r="E79" s="23"/>
      <c r="F79" s="23"/>
      <c r="G79" s="23"/>
      <c r="H79" s="33"/>
      <c r="J79" s="80" t="s">
        <v>98</v>
      </c>
      <c r="K79" s="81" t="n">
        <v>0</v>
      </c>
      <c r="L79" s="32"/>
      <c r="M79" s="32"/>
      <c r="N79" s="23"/>
      <c r="O79" s="23"/>
      <c r="P79" s="23"/>
      <c r="Q79" s="33"/>
      <c r="S79" s="80" t="s">
        <v>98</v>
      </c>
      <c r="T79" s="81" t="n">
        <v>0</v>
      </c>
      <c r="U79" s="32"/>
      <c r="V79" s="32"/>
      <c r="W79" s="23"/>
      <c r="X79" s="23"/>
      <c r="Y79" s="23"/>
      <c r="Z79" s="33"/>
      <c r="AB79" s="80" t="s">
        <v>98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99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99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99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99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100</v>
      </c>
      <c r="B81" s="86" t="n">
        <v>0</v>
      </c>
      <c r="C81" s="32"/>
      <c r="D81" s="32"/>
      <c r="E81" s="23"/>
      <c r="F81" s="23"/>
      <c r="G81" s="23"/>
      <c r="H81" s="33"/>
      <c r="J81" s="78" t="s">
        <v>100</v>
      </c>
      <c r="K81" s="86" t="n">
        <v>0</v>
      </c>
      <c r="L81" s="32"/>
      <c r="M81" s="32"/>
      <c r="N81" s="23"/>
      <c r="O81" s="23"/>
      <c r="P81" s="23"/>
      <c r="Q81" s="33"/>
      <c r="S81" s="78" t="s">
        <v>100</v>
      </c>
      <c r="T81" s="86" t="n">
        <v>0</v>
      </c>
      <c r="U81" s="32"/>
      <c r="V81" s="32"/>
      <c r="W81" s="23"/>
      <c r="X81" s="23"/>
      <c r="Y81" s="23"/>
      <c r="Z81" s="33"/>
      <c r="AB81" s="78" t="s">
        <v>100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101</v>
      </c>
      <c r="B82" s="77" t="n">
        <v>0</v>
      </c>
      <c r="C82" s="32"/>
      <c r="D82" s="32"/>
      <c r="E82" s="23"/>
      <c r="F82" s="23"/>
      <c r="G82" s="23"/>
      <c r="H82" s="33"/>
      <c r="J82" s="80" t="s">
        <v>101</v>
      </c>
      <c r="K82" s="77" t="n">
        <v>0</v>
      </c>
      <c r="L82" s="32"/>
      <c r="M82" s="32"/>
      <c r="N82" s="23"/>
      <c r="O82" s="23"/>
      <c r="P82" s="23"/>
      <c r="Q82" s="33"/>
      <c r="S82" s="80" t="s">
        <v>101</v>
      </c>
      <c r="T82" s="77" t="n">
        <v>0</v>
      </c>
      <c r="U82" s="32"/>
      <c r="V82" s="32"/>
      <c r="W82" s="23"/>
      <c r="X82" s="23"/>
      <c r="Y82" s="23"/>
      <c r="Z82" s="33"/>
      <c r="AB82" s="80" t="s">
        <v>101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102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102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102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102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103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103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103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103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104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104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104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104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105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105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105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105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106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106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106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106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107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107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107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107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108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108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108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108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109</v>
      </c>
      <c r="B91" s="33" t="str">
        <f aca="false">IF(A120 = "Yes", A43, 0)</f>
        <v>6000</v>
      </c>
      <c r="C91" s="32"/>
      <c r="D91" s="32"/>
      <c r="E91" s="23"/>
      <c r="F91" s="23"/>
      <c r="G91" s="23"/>
      <c r="H91" s="33"/>
      <c r="J91" s="31" t="s">
        <v>109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109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109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110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110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110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110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111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111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111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111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112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112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112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112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113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113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113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113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114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114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114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114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115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115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115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115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116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116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116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116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117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117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117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117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118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118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118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118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119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119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119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119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120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120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120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120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121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121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121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121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122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122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122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122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123</v>
      </c>
      <c r="B109" s="96"/>
      <c r="C109" s="96"/>
      <c r="D109" s="96"/>
      <c r="E109" s="96"/>
      <c r="F109" s="96"/>
      <c r="G109" s="96"/>
      <c r="H109" s="96"/>
      <c r="J109" s="24" t="s">
        <v>124</v>
      </c>
      <c r="K109" s="24"/>
      <c r="L109" s="24"/>
      <c r="M109" s="24"/>
      <c r="N109" s="24"/>
      <c r="O109" s="24"/>
      <c r="P109" s="24"/>
      <c r="Q109" s="24"/>
      <c r="S109" s="96" t="s">
        <v>125</v>
      </c>
      <c r="T109" s="96"/>
      <c r="U109" s="96"/>
      <c r="V109" s="96"/>
      <c r="W109" s="96"/>
      <c r="X109" s="96"/>
      <c r="Y109" s="96"/>
      <c r="Z109" s="96"/>
      <c r="AB109" s="96" t="s">
        <v>126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127</v>
      </c>
      <c r="K111" s="28"/>
      <c r="L111" s="28"/>
      <c r="M111" s="28"/>
      <c r="N111" s="28"/>
      <c r="O111" s="28"/>
      <c r="P111" s="28"/>
      <c r="Q111" s="28"/>
      <c r="S111" s="28" t="s">
        <v>127</v>
      </c>
      <c r="T111" s="28"/>
      <c r="U111" s="28"/>
      <c r="V111" s="28"/>
      <c r="W111" s="28"/>
      <c r="X111" s="28"/>
      <c r="Y111" s="28"/>
      <c r="Z111" s="28"/>
      <c r="AB111" s="28" t="s">
        <v>127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128</v>
      </c>
      <c r="B113" s="32" t="s">
        <v>23</v>
      </c>
      <c r="C113" s="32"/>
      <c r="D113" s="32"/>
      <c r="E113" s="32" t="s">
        <v>129</v>
      </c>
      <c r="F113" s="32"/>
      <c r="G113" s="32"/>
      <c r="H113" s="33"/>
      <c r="J113" s="31" t="s">
        <v>128</v>
      </c>
      <c r="K113" s="32" t="s">
        <v>23</v>
      </c>
      <c r="L113" s="32"/>
      <c r="M113" s="32"/>
      <c r="N113" s="32" t="s">
        <v>129</v>
      </c>
      <c r="O113" s="32"/>
      <c r="P113" s="32"/>
      <c r="Q113" s="33"/>
      <c r="S113" s="31" t="s">
        <v>128</v>
      </c>
      <c r="T113" s="32" t="s">
        <v>23</v>
      </c>
      <c r="U113" s="32"/>
      <c r="V113" s="32"/>
      <c r="W113" s="32" t="s">
        <v>129</v>
      </c>
      <c r="X113" s="32"/>
      <c r="Y113" s="32"/>
      <c r="Z113" s="33"/>
      <c r="AB113" s="31" t="s">
        <v>128</v>
      </c>
      <c r="AC113" s="32" t="s">
        <v>23</v>
      </c>
      <c r="AD113" s="32"/>
      <c r="AE113" s="32"/>
      <c r="AF113" s="32" t="s">
        <v>129</v>
      </c>
      <c r="AG113" s="32"/>
      <c r="AH113" s="32"/>
      <c r="AI113" s="33"/>
    </row>
    <row r="114" customFormat="false" ht="17.35" hidden="false" customHeight="false" outlineLevel="0" collapsed="false">
      <c r="A114" s="36" t="s">
        <v>130</v>
      </c>
      <c r="B114" s="99" t="s">
        <v>131</v>
      </c>
      <c r="C114" s="99"/>
      <c r="D114" s="99"/>
      <c r="E114" s="100" t="s">
        <v>19</v>
      </c>
      <c r="F114" s="100"/>
      <c r="G114" s="100"/>
      <c r="H114" s="98"/>
      <c r="J114" s="36" t="s">
        <v>130</v>
      </c>
      <c r="K114" s="101" t="s">
        <v>131</v>
      </c>
      <c r="L114" s="101"/>
      <c r="M114" s="101"/>
      <c r="N114" s="100" t="s">
        <v>18</v>
      </c>
      <c r="O114" s="100"/>
      <c r="P114" s="100"/>
      <c r="Q114" s="98"/>
      <c r="S114" s="36" t="s">
        <v>130</v>
      </c>
      <c r="T114" s="99" t="s">
        <v>131</v>
      </c>
      <c r="U114" s="99"/>
      <c r="V114" s="99"/>
      <c r="W114" s="100" t="s">
        <v>18</v>
      </c>
      <c r="X114" s="100"/>
      <c r="Y114" s="100"/>
      <c r="Z114" s="98"/>
      <c r="AB114" s="36" t="s">
        <v>130</v>
      </c>
      <c r="AC114" s="99" t="s">
        <v>131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132</v>
      </c>
      <c r="B116" s="32" t="s">
        <v>133</v>
      </c>
      <c r="C116" s="32"/>
      <c r="D116" s="23"/>
      <c r="E116" s="32" t="s">
        <v>134</v>
      </c>
      <c r="F116" s="32"/>
      <c r="G116" s="23"/>
      <c r="H116" s="98"/>
      <c r="J116" s="31" t="s">
        <v>132</v>
      </c>
      <c r="K116" s="32" t="s">
        <v>133</v>
      </c>
      <c r="L116" s="32"/>
      <c r="M116" s="23"/>
      <c r="N116" s="32" t="s">
        <v>134</v>
      </c>
      <c r="O116" s="32"/>
      <c r="P116" s="23"/>
      <c r="Q116" s="98"/>
      <c r="S116" s="31" t="s">
        <v>132</v>
      </c>
      <c r="T116" s="32" t="s">
        <v>133</v>
      </c>
      <c r="U116" s="32"/>
      <c r="V116" s="23"/>
      <c r="W116" s="32" t="s">
        <v>134</v>
      </c>
      <c r="X116" s="32"/>
      <c r="Y116" s="23"/>
      <c r="Z116" s="98"/>
      <c r="AB116" s="31" t="s">
        <v>132</v>
      </c>
      <c r="AC116" s="32" t="s">
        <v>133</v>
      </c>
      <c r="AD116" s="32"/>
      <c r="AE116" s="23"/>
      <c r="AF116" s="32" t="s">
        <v>134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135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135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136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136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137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135</v>
      </c>
    </row>
    <row r="119" customFormat="false" ht="17.35" hidden="false" customHeight="false" outlineLevel="0" collapsed="false">
      <c r="A119" s="31" t="s">
        <v>138</v>
      </c>
      <c r="B119" s="32" t="s">
        <v>139</v>
      </c>
      <c r="C119" s="32"/>
      <c r="D119" s="32"/>
      <c r="E119" s="32" t="s">
        <v>140</v>
      </c>
      <c r="F119" s="32"/>
      <c r="G119" s="32"/>
      <c r="H119" s="33"/>
      <c r="J119" s="31" t="s">
        <v>138</v>
      </c>
      <c r="K119" s="32" t="s">
        <v>139</v>
      </c>
      <c r="L119" s="32"/>
      <c r="M119" s="32"/>
      <c r="N119" s="32" t="s">
        <v>140</v>
      </c>
      <c r="O119" s="32"/>
      <c r="P119" s="32"/>
      <c r="Q119" s="33"/>
      <c r="S119" s="31" t="s">
        <v>138</v>
      </c>
      <c r="T119" s="32" t="s">
        <v>139</v>
      </c>
      <c r="U119" s="32"/>
      <c r="V119" s="32"/>
      <c r="W119" s="32" t="s">
        <v>140</v>
      </c>
      <c r="X119" s="32"/>
      <c r="Y119" s="32"/>
      <c r="Z119" s="33"/>
      <c r="AB119" s="31" t="s">
        <v>138</v>
      </c>
      <c r="AC119" s="32" t="s">
        <v>139</v>
      </c>
      <c r="AD119" s="32"/>
      <c r="AE119" s="32"/>
      <c r="AF119" s="32" t="s">
        <v>140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141</v>
      </c>
      <c r="B122" s="32" t="s">
        <v>142</v>
      </c>
      <c r="C122" s="32"/>
      <c r="D122" s="32"/>
      <c r="E122" s="32" t="s">
        <v>143</v>
      </c>
      <c r="F122" s="32"/>
      <c r="G122" s="23"/>
      <c r="H122" s="98"/>
      <c r="J122" s="106" t="s">
        <v>141</v>
      </c>
      <c r="K122" s="32" t="s">
        <v>142</v>
      </c>
      <c r="L122" s="32"/>
      <c r="M122" s="32"/>
      <c r="N122" s="32" t="s">
        <v>143</v>
      </c>
      <c r="O122" s="32"/>
      <c r="P122" s="23"/>
      <c r="Q122" s="98"/>
      <c r="S122" s="106" t="s">
        <v>141</v>
      </c>
      <c r="T122" s="32" t="s">
        <v>142</v>
      </c>
      <c r="U122" s="32"/>
      <c r="V122" s="32"/>
      <c r="W122" s="32" t="s">
        <v>143</v>
      </c>
      <c r="X122" s="32"/>
      <c r="Y122" s="23"/>
      <c r="Z122" s="98"/>
      <c r="AB122" s="106" t="s">
        <v>141</v>
      </c>
      <c r="AC122" s="32" t="s">
        <v>142</v>
      </c>
      <c r="AD122" s="32"/>
      <c r="AE122" s="32"/>
      <c r="AF122" s="32" t="s">
        <v>143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144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145</v>
      </c>
      <c r="B126" s="28"/>
      <c r="C126" s="28"/>
      <c r="D126" s="28"/>
      <c r="E126" s="28"/>
      <c r="F126" s="28"/>
      <c r="G126" s="28"/>
      <c r="H126" s="28"/>
      <c r="J126" s="28" t="s">
        <v>145</v>
      </c>
      <c r="K126" s="28"/>
      <c r="L126" s="28"/>
      <c r="M126" s="28"/>
      <c r="N126" s="28"/>
      <c r="O126" s="28"/>
      <c r="P126" s="28"/>
      <c r="Q126" s="28"/>
      <c r="S126" s="28" t="s">
        <v>145</v>
      </c>
      <c r="T126" s="28"/>
      <c r="U126" s="28"/>
      <c r="V126" s="28"/>
      <c r="W126" s="28"/>
      <c r="X126" s="28"/>
      <c r="Y126" s="28"/>
      <c r="Z126" s="28"/>
      <c r="AB126" s="28" t="s">
        <v>145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146</v>
      </c>
      <c r="C128" s="110"/>
      <c r="D128" s="110" t="s">
        <v>147</v>
      </c>
      <c r="E128" s="110"/>
      <c r="F128" s="110" t="s">
        <v>148</v>
      </c>
      <c r="G128" s="110"/>
      <c r="H128" s="111" t="s">
        <v>149</v>
      </c>
      <c r="J128" s="78"/>
      <c r="K128" s="110" t="s">
        <v>146</v>
      </c>
      <c r="L128" s="110"/>
      <c r="M128" s="110" t="s">
        <v>147</v>
      </c>
      <c r="N128" s="110"/>
      <c r="O128" s="110" t="s">
        <v>148</v>
      </c>
      <c r="P128" s="110"/>
      <c r="Q128" s="111" t="s">
        <v>149</v>
      </c>
      <c r="S128" s="78"/>
      <c r="T128" s="110" t="s">
        <v>146</v>
      </c>
      <c r="U128" s="110"/>
      <c r="V128" s="110" t="s">
        <v>147</v>
      </c>
      <c r="W128" s="110"/>
      <c r="X128" s="110" t="s">
        <v>148</v>
      </c>
      <c r="Y128" s="110"/>
      <c r="Z128" s="111" t="s">
        <v>149</v>
      </c>
      <c r="AB128" s="78"/>
      <c r="AC128" s="110" t="s">
        <v>146</v>
      </c>
      <c r="AD128" s="110"/>
      <c r="AE128" s="110" t="s">
        <v>147</v>
      </c>
      <c r="AF128" s="110"/>
      <c r="AG128" s="110" t="s">
        <v>148</v>
      </c>
      <c r="AH128" s="110"/>
      <c r="AI128" s="111" t="s">
        <v>149</v>
      </c>
    </row>
    <row r="129" customFormat="false" ht="19.7" hidden="false" customHeight="false" outlineLevel="0" collapsed="false">
      <c r="A129" s="80"/>
      <c r="B129" s="112" t="s">
        <v>150</v>
      </c>
      <c r="C129" s="113" t="s">
        <v>151</v>
      </c>
      <c r="D129" s="112" t="s">
        <v>150</v>
      </c>
      <c r="E129" s="114" t="s">
        <v>151</v>
      </c>
      <c r="F129" s="112" t="s">
        <v>150</v>
      </c>
      <c r="G129" s="114" t="s">
        <v>151</v>
      </c>
      <c r="H129" s="115"/>
      <c r="J129" s="80"/>
      <c r="K129" s="112" t="s">
        <v>150</v>
      </c>
      <c r="L129" s="113" t="s">
        <v>151</v>
      </c>
      <c r="M129" s="112" t="s">
        <v>150</v>
      </c>
      <c r="N129" s="114" t="s">
        <v>151</v>
      </c>
      <c r="O129" s="112" t="s">
        <v>150</v>
      </c>
      <c r="P129" s="114" t="s">
        <v>151</v>
      </c>
      <c r="Q129" s="115"/>
      <c r="S129" s="80"/>
      <c r="T129" s="112" t="s">
        <v>150</v>
      </c>
      <c r="U129" s="113" t="s">
        <v>151</v>
      </c>
      <c r="V129" s="112" t="s">
        <v>150</v>
      </c>
      <c r="W129" s="114" t="s">
        <v>151</v>
      </c>
      <c r="X129" s="112" t="s">
        <v>150</v>
      </c>
      <c r="Y129" s="114" t="s">
        <v>151</v>
      </c>
      <c r="Z129" s="115"/>
      <c r="AB129" s="80"/>
      <c r="AC129" s="112" t="s">
        <v>150</v>
      </c>
      <c r="AD129" s="113" t="s">
        <v>151</v>
      </c>
      <c r="AE129" s="112" t="s">
        <v>150</v>
      </c>
      <c r="AF129" s="114" t="s">
        <v>151</v>
      </c>
      <c r="AG129" s="112" t="s">
        <v>150</v>
      </c>
      <c r="AH129" s="114" t="s">
        <v>151</v>
      </c>
      <c r="AI129" s="115"/>
    </row>
    <row r="130" customFormat="false" ht="17.35" hidden="false" customHeight="false" outlineLevel="0" collapsed="false">
      <c r="A130" s="25" t="s">
        <v>152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152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152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152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153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153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153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153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154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154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154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154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155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155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155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155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156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156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156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156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150</v>
      </c>
      <c r="H136" s="134" t="s">
        <v>151</v>
      </c>
      <c r="J136" s="131"/>
      <c r="K136" s="135"/>
      <c r="L136" s="135"/>
      <c r="M136" s="135"/>
      <c r="N136" s="135"/>
      <c r="O136" s="135"/>
      <c r="P136" s="136" t="s">
        <v>150</v>
      </c>
      <c r="Q136" s="134" t="s">
        <v>151</v>
      </c>
      <c r="S136" s="131"/>
      <c r="T136" s="135"/>
      <c r="U136" s="135"/>
      <c r="V136" s="135"/>
      <c r="W136" s="135"/>
      <c r="X136" s="135"/>
      <c r="Y136" s="136" t="s">
        <v>150</v>
      </c>
      <c r="Z136" s="134" t="s">
        <v>151</v>
      </c>
      <c r="AB136" s="131"/>
      <c r="AC136" s="135"/>
      <c r="AD136" s="135"/>
      <c r="AE136" s="135"/>
      <c r="AF136" s="135"/>
      <c r="AG136" s="135"/>
      <c r="AH136" s="136" t="s">
        <v>150</v>
      </c>
      <c r="AI136" s="134" t="s">
        <v>151</v>
      </c>
    </row>
    <row r="137" customFormat="false" ht="17.35" hidden="false" customHeight="false" outlineLevel="0" collapsed="false">
      <c r="A137" s="137" t="s">
        <v>157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157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157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157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158</v>
      </c>
      <c r="B139" s="141" t="s">
        <v>159</v>
      </c>
      <c r="C139" s="141"/>
      <c r="D139" s="141" t="s">
        <v>160</v>
      </c>
      <c r="E139" s="141"/>
      <c r="F139" s="141" t="s">
        <v>154</v>
      </c>
      <c r="G139" s="141"/>
      <c r="H139" s="142" t="s">
        <v>151</v>
      </c>
      <c r="J139" s="144" t="s">
        <v>158</v>
      </c>
      <c r="K139" s="145" t="s">
        <v>159</v>
      </c>
      <c r="L139" s="145"/>
      <c r="M139" s="141" t="s">
        <v>160</v>
      </c>
      <c r="N139" s="141"/>
      <c r="O139" s="141" t="s">
        <v>154</v>
      </c>
      <c r="P139" s="141"/>
      <c r="Q139" s="142" t="s">
        <v>151</v>
      </c>
      <c r="S139" s="144" t="s">
        <v>158</v>
      </c>
      <c r="T139" s="141" t="s">
        <v>159</v>
      </c>
      <c r="U139" s="141"/>
      <c r="V139" s="141" t="s">
        <v>160</v>
      </c>
      <c r="W139" s="141"/>
      <c r="X139" s="141" t="s">
        <v>154</v>
      </c>
      <c r="Y139" s="141"/>
      <c r="Z139" s="142" t="s">
        <v>151</v>
      </c>
      <c r="AB139" s="144" t="s">
        <v>158</v>
      </c>
      <c r="AC139" s="141" t="s">
        <v>159</v>
      </c>
      <c r="AD139" s="141"/>
      <c r="AE139" s="141" t="s">
        <v>160</v>
      </c>
      <c r="AF139" s="141"/>
      <c r="AG139" s="141" t="s">
        <v>154</v>
      </c>
      <c r="AH139" s="141"/>
      <c r="AI139" s="142" t="s">
        <v>151</v>
      </c>
    </row>
    <row r="140" customFormat="false" ht="17.35" hidden="false" customHeight="false" outlineLevel="0" collapsed="false">
      <c r="A140" s="31" t="s">
        <v>161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161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161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161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162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162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162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162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163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163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163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163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164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164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164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164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165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165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165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165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166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166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166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166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167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167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167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167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168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168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168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168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169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169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169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169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170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170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170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170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171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171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171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171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172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172</v>
      </c>
      <c r="K152" s="156"/>
      <c r="L152" s="156"/>
      <c r="M152" s="156"/>
      <c r="N152" s="156"/>
      <c r="O152" s="156"/>
      <c r="P152" s="38"/>
      <c r="Q152" s="33"/>
      <c r="S152" s="107" t="s">
        <v>172</v>
      </c>
      <c r="T152" s="107"/>
      <c r="U152" s="107"/>
      <c r="V152" s="107"/>
      <c r="W152" s="107"/>
      <c r="X152" s="107"/>
      <c r="Y152" s="38"/>
      <c r="Z152" s="33"/>
      <c r="AB152" s="107" t="s">
        <v>172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173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173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173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173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173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173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173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173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173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173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173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173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174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174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174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174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175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175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175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175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176</v>
      </c>
      <c r="B159" s="28"/>
      <c r="C159" s="28"/>
      <c r="D159" s="28"/>
      <c r="E159" s="28"/>
      <c r="F159" s="28"/>
      <c r="G159" s="28"/>
      <c r="H159" s="28"/>
      <c r="J159" s="28" t="s">
        <v>176</v>
      </c>
      <c r="K159" s="28"/>
      <c r="L159" s="28"/>
      <c r="M159" s="28"/>
      <c r="N159" s="28"/>
      <c r="O159" s="28"/>
      <c r="P159" s="28"/>
      <c r="Q159" s="28"/>
      <c r="S159" s="28" t="s">
        <v>176</v>
      </c>
      <c r="T159" s="28"/>
      <c r="U159" s="28"/>
      <c r="V159" s="28"/>
      <c r="W159" s="28"/>
      <c r="X159" s="28"/>
      <c r="Y159" s="28"/>
      <c r="Z159" s="28"/>
      <c r="AB159" s="28" t="s">
        <v>176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177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177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177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177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178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178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178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178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179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179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179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179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180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180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180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180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181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181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181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181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182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182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182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182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183</v>
      </c>
      <c r="B171" s="28"/>
      <c r="C171" s="28"/>
      <c r="D171" s="28"/>
      <c r="E171" s="28"/>
      <c r="F171" s="28"/>
      <c r="G171" s="28"/>
      <c r="H171" s="28"/>
      <c r="J171" s="28" t="s">
        <v>183</v>
      </c>
      <c r="K171" s="28"/>
      <c r="L171" s="28"/>
      <c r="M171" s="28"/>
      <c r="N171" s="28"/>
      <c r="O171" s="28"/>
      <c r="P171" s="28"/>
      <c r="Q171" s="28"/>
      <c r="S171" s="28" t="s">
        <v>183</v>
      </c>
      <c r="T171" s="28"/>
      <c r="U171" s="28"/>
      <c r="V171" s="28"/>
      <c r="W171" s="28"/>
      <c r="X171" s="28"/>
      <c r="Y171" s="28"/>
      <c r="Z171" s="28"/>
      <c r="AB171" s="28" t="s">
        <v>183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184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184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184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184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185</v>
      </c>
      <c r="B175" s="171" t="s">
        <v>186</v>
      </c>
      <c r="C175" s="171"/>
      <c r="D175" s="171"/>
      <c r="E175" s="171" t="s">
        <v>187</v>
      </c>
      <c r="F175" s="23"/>
      <c r="G175" s="23"/>
      <c r="H175" s="33"/>
      <c r="J175" s="170" t="s">
        <v>185</v>
      </c>
      <c r="K175" s="172" t="s">
        <v>186</v>
      </c>
      <c r="L175" s="172"/>
      <c r="M175" s="172"/>
      <c r="N175" s="172" t="s">
        <v>187</v>
      </c>
      <c r="O175" s="23"/>
      <c r="P175" s="23"/>
      <c r="Q175" s="33"/>
      <c r="S175" s="170" t="s">
        <v>185</v>
      </c>
      <c r="T175" s="172" t="s">
        <v>186</v>
      </c>
      <c r="U175" s="172"/>
      <c r="V175" s="172"/>
      <c r="W175" s="172" t="s">
        <v>187</v>
      </c>
      <c r="X175" s="23"/>
      <c r="Y175" s="23"/>
      <c r="Z175" s="33"/>
      <c r="AB175" s="170" t="s">
        <v>185</v>
      </c>
      <c r="AC175" s="172" t="s">
        <v>186</v>
      </c>
      <c r="AD175" s="172"/>
      <c r="AE175" s="172"/>
      <c r="AF175" s="172" t="s">
        <v>187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85</v>
      </c>
      <c r="B178" s="130" t="s">
        <v>86</v>
      </c>
      <c r="C178" s="130"/>
      <c r="D178" s="23"/>
      <c r="E178" s="130" t="s">
        <v>188</v>
      </c>
      <c r="F178" s="23"/>
      <c r="G178" s="23"/>
      <c r="H178" s="33"/>
      <c r="J178" s="31" t="s">
        <v>85</v>
      </c>
      <c r="K178" s="32" t="s">
        <v>86</v>
      </c>
      <c r="L178" s="32"/>
      <c r="M178" s="23"/>
      <c r="N178" s="32" t="s">
        <v>188</v>
      </c>
      <c r="O178" s="23"/>
      <c r="P178" s="23"/>
      <c r="Q178" s="33"/>
      <c r="S178" s="31" t="s">
        <v>85</v>
      </c>
      <c r="T178" s="32" t="s">
        <v>86</v>
      </c>
      <c r="U178" s="32"/>
      <c r="V178" s="23"/>
      <c r="W178" s="32" t="s">
        <v>188</v>
      </c>
      <c r="X178" s="23"/>
      <c r="Y178" s="23"/>
      <c r="Z178" s="33"/>
      <c r="AB178" s="31" t="s">
        <v>85</v>
      </c>
      <c r="AC178" s="32" t="s">
        <v>86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130" t="s">
        <v>190</v>
      </c>
      <c r="C181" s="130"/>
      <c r="D181" s="23"/>
      <c r="E181" s="130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139</v>
      </c>
      <c r="C184" s="130"/>
      <c r="D184" s="23"/>
      <c r="E184" s="130" t="s">
        <v>140</v>
      </c>
      <c r="F184" s="23"/>
      <c r="G184" s="23"/>
      <c r="H184" s="33"/>
      <c r="J184" s="31" t="s">
        <v>192</v>
      </c>
      <c r="K184" s="32" t="s">
        <v>139</v>
      </c>
      <c r="L184" s="32"/>
      <c r="M184" s="23"/>
      <c r="N184" s="32" t="s">
        <v>140</v>
      </c>
      <c r="O184" s="23"/>
      <c r="P184" s="23"/>
      <c r="Q184" s="33"/>
      <c r="S184" s="31" t="s">
        <v>192</v>
      </c>
      <c r="T184" s="32" t="s">
        <v>139</v>
      </c>
      <c r="U184" s="32"/>
      <c r="V184" s="23"/>
      <c r="W184" s="32" t="s">
        <v>140</v>
      </c>
      <c r="X184" s="23"/>
      <c r="Y184" s="23"/>
      <c r="Z184" s="33"/>
      <c r="AB184" s="31" t="s">
        <v>192</v>
      </c>
      <c r="AC184" s="32" t="s">
        <v>139</v>
      </c>
      <c r="AD184" s="32"/>
      <c r="AE184" s="23"/>
      <c r="AF184" s="32" t="s">
        <v>140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141</v>
      </c>
      <c r="B187" s="130" t="s">
        <v>177</v>
      </c>
      <c r="C187" s="130"/>
      <c r="D187" s="23"/>
      <c r="E187" s="130" t="s">
        <v>182</v>
      </c>
      <c r="F187" s="23"/>
      <c r="G187" s="23"/>
      <c r="H187" s="33"/>
      <c r="J187" s="31" t="s">
        <v>141</v>
      </c>
      <c r="K187" s="32" t="s">
        <v>177</v>
      </c>
      <c r="L187" s="32"/>
      <c r="M187" s="23"/>
      <c r="N187" s="32" t="s">
        <v>182</v>
      </c>
      <c r="O187" s="23"/>
      <c r="P187" s="23"/>
      <c r="Q187" s="33"/>
      <c r="S187" s="31" t="s">
        <v>141</v>
      </c>
      <c r="T187" s="32" t="s">
        <v>177</v>
      </c>
      <c r="U187" s="32"/>
      <c r="V187" s="23"/>
      <c r="W187" s="32" t="s">
        <v>182</v>
      </c>
      <c r="X187" s="23"/>
      <c r="Y187" s="23"/>
      <c r="Z187" s="33"/>
      <c r="AB187" s="31" t="s">
        <v>141</v>
      </c>
      <c r="AC187" s="32" t="s">
        <v>177</v>
      </c>
      <c r="AD187" s="32"/>
      <c r="AE187" s="23"/>
      <c r="AF187" s="32" t="s">
        <v>182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130" t="s">
        <v>53</v>
      </c>
      <c r="C190" s="130"/>
      <c r="D190" s="23"/>
      <c r="E190" s="130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130" t="s">
        <v>196</v>
      </c>
      <c r="C193" s="130"/>
      <c r="D193" s="23"/>
      <c r="E193" s="130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130" t="s">
        <v>199</v>
      </c>
      <c r="C196" s="130"/>
      <c r="D196" s="130"/>
      <c r="E196" s="163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3" t="s">
        <v>202</v>
      </c>
      <c r="C199" s="130"/>
      <c r="D199" s="130"/>
      <c r="E199" s="163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130"/>
      <c r="C202" s="130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85</v>
      </c>
      <c r="B204" s="71" t="s">
        <v>86</v>
      </c>
      <c r="C204" s="71"/>
      <c r="D204" s="71"/>
      <c r="E204" s="23"/>
      <c r="F204" s="23"/>
      <c r="G204" s="23"/>
      <c r="H204" s="33"/>
      <c r="J204" s="184" t="s">
        <v>85</v>
      </c>
      <c r="K204" s="185" t="s">
        <v>86</v>
      </c>
      <c r="L204" s="185"/>
      <c r="M204" s="185"/>
      <c r="N204" s="23"/>
      <c r="O204" s="23"/>
      <c r="P204" s="23"/>
      <c r="Q204" s="33"/>
      <c r="S204" s="184" t="s">
        <v>85</v>
      </c>
      <c r="T204" s="71" t="s">
        <v>86</v>
      </c>
      <c r="U204" s="71"/>
      <c r="V204" s="71"/>
      <c r="W204" s="23"/>
      <c r="X204" s="23"/>
      <c r="Y204" s="23"/>
      <c r="Z204" s="33"/>
      <c r="AB204" s="184" t="s">
        <v>85</v>
      </c>
      <c r="AC204" s="71" t="s">
        <v>86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183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128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205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185</v>
      </c>
      <c r="B220" s="189" t="s">
        <v>186</v>
      </c>
      <c r="C220" s="189"/>
      <c r="D220" s="189"/>
      <c r="E220" s="189" t="s">
        <v>187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189</v>
      </c>
      <c r="B223" s="130" t="s">
        <v>190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139</v>
      </c>
      <c r="C226" s="130"/>
      <c r="D226" s="109"/>
      <c r="E226" s="130" t="s">
        <v>140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141</v>
      </c>
      <c r="B229" s="130" t="s">
        <v>177</v>
      </c>
      <c r="C229" s="130"/>
      <c r="D229" s="109"/>
      <c r="E229" s="130" t="s">
        <v>182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193</v>
      </c>
      <c r="B232" s="130" t="s">
        <v>53</v>
      </c>
      <c r="C232" s="130"/>
      <c r="D232" s="109"/>
      <c r="E232" s="130" t="s">
        <v>194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195</v>
      </c>
      <c r="B235" s="130" t="s">
        <v>196</v>
      </c>
      <c r="C235" s="130"/>
      <c r="D235" s="109"/>
      <c r="E235" s="130" t="s">
        <v>206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185</v>
      </c>
      <c r="B238" s="130" t="s">
        <v>186</v>
      </c>
      <c r="C238" s="130"/>
      <c r="D238" s="130"/>
      <c r="E238" s="130" t="s">
        <v>187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207</v>
      </c>
      <c r="B241" s="130" t="s">
        <v>208</v>
      </c>
      <c r="C241" s="130"/>
      <c r="D241" s="130"/>
      <c r="E241" s="130" t="s">
        <v>69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209</v>
      </c>
      <c r="B244" s="163" t="s">
        <v>75</v>
      </c>
      <c r="C244" s="130"/>
      <c r="D244" s="130"/>
      <c r="E244" s="163" t="s">
        <v>133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210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211</v>
      </c>
      <c r="B248" s="130" t="s">
        <v>199</v>
      </c>
      <c r="C248" s="130"/>
      <c r="D248" s="130"/>
      <c r="E248" s="163" t="s">
        <v>200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201</v>
      </c>
      <c r="B251" s="163" t="s">
        <v>202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212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213</v>
      </c>
      <c r="B262" s="193" t="n">
        <f aca="false">B72</f>
        <v>0.065</v>
      </c>
      <c r="C262" s="194"/>
      <c r="D262" s="195" t="s">
        <v>214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215</v>
      </c>
      <c r="B263" s="196"/>
      <c r="C263" s="194"/>
      <c r="D263" s="195" t="s">
        <v>216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217</v>
      </c>
      <c r="B264" s="196" t="n">
        <f aca="false">F271+B272</f>
        <v>99.9916666666667</v>
      </c>
      <c r="C264" s="194"/>
      <c r="D264" s="195" t="s">
        <v>218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213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219</v>
      </c>
      <c r="B268" s="201" t="n">
        <f aca="false">B73</f>
        <v>0.05</v>
      </c>
      <c r="C268" s="32"/>
      <c r="D268" s="163" t="s">
        <v>220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214</v>
      </c>
      <c r="B269" s="205" t="n">
        <f aca="false">B92</f>
        <v>0.115</v>
      </c>
      <c r="C269" s="43"/>
      <c r="D269" s="163" t="s">
        <v>215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5" t="n">
        <f aca="false">B76</f>
        <v>0.009375</v>
      </c>
      <c r="C270" s="32"/>
      <c r="D270" s="163" t="s">
        <v>221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1" t="n">
        <f aca="false">A117</f>
        <v>0.2</v>
      </c>
      <c r="C271" s="32"/>
      <c r="D271" s="163" t="s">
        <v>222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3" t="n">
        <f aca="false">A252</f>
        <v>99.9916666666667</v>
      </c>
      <c r="C272" s="32"/>
      <c r="D272" s="39" t="s">
        <v>218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224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225</v>
      </c>
      <c r="B275" s="148" t="n">
        <v>0</v>
      </c>
      <c r="C275" s="32"/>
      <c r="D275" s="206" t="s">
        <v>226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227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07" t="s">
        <v>4</v>
      </c>
      <c r="C277" s="32"/>
      <c r="D277" s="163" t="s">
        <v>229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230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1" sqref="A37 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71"/>
      <c r="E9" s="271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8"/>
      <c r="B20" s="63"/>
      <c r="C20" s="63"/>
      <c r="D20" s="63"/>
      <c r="E20" s="279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347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1096.67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2094.93478535204</v>
      </c>
      <c r="E33" s="212"/>
      <c r="F33" s="63"/>
      <c r="G33" s="215" t="s">
        <v>349</v>
      </c>
      <c r="H33" s="459" t="n">
        <f aca="false">E21-E11</f>
        <v>23958.33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2067.51803535204</v>
      </c>
      <c r="B36" s="99" t="n">
        <f aca="false">IF(B26="YES", H42, "")</f>
        <v>27.41675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23958.33</v>
      </c>
      <c r="I39" s="234" t="n">
        <f aca="false">(I48*H46)+H44</f>
        <v>15905.4488975102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27.41675</v>
      </c>
      <c r="C40" s="103"/>
      <c r="D40" s="181" t="n">
        <f aca="false">I32</f>
        <v>1096.67</v>
      </c>
      <c r="E40" s="212"/>
      <c r="F40" s="63"/>
      <c r="G40" s="63" t="s">
        <v>109</v>
      </c>
      <c r="H40" s="234" t="n">
        <f aca="false">A40/1.2</f>
        <v>0</v>
      </c>
      <c r="I40" s="234" t="n">
        <f aca="false">H39-I39</f>
        <v>8052.8811024898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27.41675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369</v>
      </c>
      <c r="H45" s="234" t="n">
        <f aca="false">(H39-H44)</f>
        <v>23958.33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2067.51803535204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2094.93478535204</v>
      </c>
      <c r="I48" s="234" t="n">
        <f aca="false">I49-H42</f>
        <v>1372.58325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2094.93478535204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371</v>
      </c>
      <c r="B60" s="211" t="n">
        <f aca="false">E19</f>
        <v>28749.996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v>37404</v>
      </c>
      <c r="C61" s="211"/>
      <c r="D61" s="211"/>
      <c r="E61" s="212"/>
      <c r="F61" s="63"/>
      <c r="G61" s="210" t="s">
        <v>14</v>
      </c>
      <c r="H61" s="277" t="n">
        <f aca="false">G18</f>
        <v>0</v>
      </c>
      <c r="I61" s="211"/>
      <c r="J61" s="211"/>
      <c r="K61" s="212"/>
      <c r="L61" s="63"/>
      <c r="M61" s="210" t="s">
        <v>14</v>
      </c>
      <c r="N61" s="277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B60*B63</f>
        <v>2012.49972</v>
      </c>
      <c r="C64" s="464" t="n">
        <v>10000</v>
      </c>
      <c r="D64" s="277" t="n">
        <f aca="false">B64</f>
        <v>2012.49972</v>
      </c>
      <c r="E64" s="465" t="n">
        <f aca="false">D64/(B58+B57)</f>
        <v>167.70831</v>
      </c>
      <c r="F64" s="63"/>
      <c r="G64" s="310" t="s">
        <v>93</v>
      </c>
      <c r="H64" s="129" t="n">
        <f aca="false">H61*H63</f>
        <v>0</v>
      </c>
      <c r="I64" s="211"/>
      <c r="J64" s="277" t="n">
        <f aca="false">H64-G145</f>
        <v>0</v>
      </c>
      <c r="K64" s="212"/>
      <c r="L64" s="63"/>
      <c r="M64" s="310" t="s">
        <v>93</v>
      </c>
      <c r="N64" s="129" t="n">
        <f aca="false">N61*N63</f>
        <v>0</v>
      </c>
      <c r="O64" s="211"/>
      <c r="P64" s="277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374.04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0</v>
      </c>
      <c r="I67" s="211"/>
      <c r="J67" s="277"/>
      <c r="K67" s="212"/>
      <c r="L67" s="63"/>
      <c r="M67" s="310" t="s">
        <v>96</v>
      </c>
      <c r="N67" s="129" t="n">
        <f aca="false">(N61*N66)/1.2</f>
        <v>0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471" t="n">
        <f aca="false">B73+B71</f>
        <v>260</v>
      </c>
      <c r="E73" s="212" t="s">
        <v>227</v>
      </c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310" t="s">
        <v>102</v>
      </c>
      <c r="N73" s="129" t="n">
        <f aca="false">N72*H29</f>
        <v>54</v>
      </c>
      <c r="O73" s="211"/>
      <c r="P73" s="277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165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((B74+B75)/12)*(H29+1)</f>
        <v>178.75</v>
      </c>
      <c r="C76" s="211"/>
      <c r="D76" s="277" t="n">
        <f aca="false">B76</f>
        <v>178.75</v>
      </c>
      <c r="E76" s="212"/>
      <c r="F76" s="63"/>
      <c r="G76" s="310" t="s">
        <v>280</v>
      </c>
      <c r="H76" s="129" t="n">
        <f aca="false">((H74+H75)/12)*(H29-11)</f>
        <v>13.75</v>
      </c>
      <c r="I76" s="211"/>
      <c r="J76" s="277" t="n">
        <f aca="false">H76</f>
        <v>13.75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37.037037037037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</v>
      </c>
      <c r="C80" s="472"/>
      <c r="D80" s="277" t="n">
        <f aca="false">B80</f>
        <v>200</v>
      </c>
      <c r="E80" s="465" t="n">
        <f aca="false">(D73+D76+D79+D80)/(B58+B57)</f>
        <v>69.8958333333333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3517.91638666667</v>
      </c>
      <c r="C81" s="472"/>
      <c r="D81" s="473"/>
      <c r="E81" s="465"/>
      <c r="F81" s="63"/>
      <c r="G81" s="422" t="s">
        <v>105</v>
      </c>
      <c r="H81" s="423" t="n">
        <f aca="false">SUM(J64:J80)</f>
        <v>627.75</v>
      </c>
      <c r="I81" s="211"/>
      <c r="J81" s="211"/>
      <c r="K81" s="212"/>
      <c r="L81" s="63"/>
      <c r="M81" s="422" t="s">
        <v>105</v>
      </c>
      <c r="N81" s="42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293.159698888889</v>
      </c>
      <c r="C82" s="472"/>
      <c r="D82" s="211"/>
      <c r="E82" s="465"/>
      <c r="F82" s="63"/>
      <c r="G82" s="210" t="s">
        <v>106</v>
      </c>
      <c r="H82" s="419" t="n">
        <f aca="false">H81/H29</f>
        <v>52.3125</v>
      </c>
      <c r="I82" s="211"/>
      <c r="J82" s="211"/>
      <c r="K82" s="212"/>
      <c r="L82" s="63"/>
      <c r="M82" s="210" t="s">
        <v>106</v>
      </c>
      <c r="N82" s="41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2067.51803535204</v>
      </c>
      <c r="C83" s="472"/>
      <c r="D83" s="211"/>
      <c r="E83" s="465" t="n">
        <f aca="false">B83+E80+E77+E64</f>
        <v>2342.15921572241</v>
      </c>
      <c r="F83" s="63"/>
      <c r="G83" s="424" t="s">
        <v>107</v>
      </c>
      <c r="H83" s="425" t="n">
        <f aca="false">H47</f>
        <v>2067.51803535204</v>
      </c>
      <c r="I83" s="211"/>
      <c r="J83" s="211"/>
      <c r="K83" s="212"/>
      <c r="L83" s="63"/>
      <c r="M83" s="424" t="s">
        <v>107</v>
      </c>
      <c r="N83" s="425" t="n">
        <f aca="false">H47</f>
        <v>2067.51803535204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28328.1328108911</v>
      </c>
      <c r="C85" s="472"/>
      <c r="D85" s="472"/>
      <c r="E85" s="465" t="n">
        <f aca="false">B85/(B58+B57)</f>
        <v>2360.67773424092</v>
      </c>
      <c r="F85" s="63"/>
      <c r="G85" s="404" t="s">
        <v>117</v>
      </c>
      <c r="H85" s="127" t="n">
        <f aca="false">((H83*H29)+H81)*1.2</f>
        <v>30525.5597090693</v>
      </c>
      <c r="I85" s="211"/>
      <c r="J85" s="211"/>
      <c r="K85" s="212"/>
      <c r="L85" s="63"/>
      <c r="M85" s="404" t="s">
        <v>117</v>
      </c>
      <c r="N85" s="127" t="n">
        <f aca="false">((N83*H29)+N81)</f>
        <v>25424.2164242244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239.972081092664</v>
      </c>
      <c r="C86" s="472" t="s">
        <v>230</v>
      </c>
      <c r="D86" s="211"/>
      <c r="E86" s="465" t="n">
        <f aca="false">B86/(B58+B57)</f>
        <v>19.9976734243886</v>
      </c>
      <c r="F86" s="63"/>
      <c r="G86" s="210" t="s">
        <v>118</v>
      </c>
      <c r="H86" s="419" t="n">
        <f aca="false">((((H83*H29)+H81))/(1-H70))*H70</f>
        <v>215.489025780038</v>
      </c>
      <c r="I86" s="211"/>
      <c r="J86" s="211"/>
      <c r="K86" s="212"/>
      <c r="L86" s="63"/>
      <c r="M86" s="210" t="s">
        <v>118</v>
      </c>
      <c r="N86" s="419" t="n">
        <f aca="false">(N85/(1-N70))*N70</f>
        <v>215.37254736132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28568.1048919838</v>
      </c>
      <c r="C87" s="472"/>
      <c r="D87" s="474"/>
      <c r="E87" s="465" t="n">
        <f aca="false">E86+E85</f>
        <v>2380.67540766531</v>
      </c>
      <c r="F87" s="63"/>
      <c r="G87" s="310" t="s">
        <v>119</v>
      </c>
      <c r="H87" s="129" t="n">
        <f aca="false">IF(H110="YES",((H85+H86)-K114),(H85+H86))</f>
        <v>30741.0487348493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25639.5889715857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35.641775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92.8944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77.412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2380.67540766531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1808.2969844029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1508.21111597563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2416.31718266531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1901.1913844029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1585.62311597563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400</v>
      </c>
      <c r="C102" s="103"/>
      <c r="D102" s="103" t="n">
        <v>200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18</v>
      </c>
      <c r="B105" s="334" t="n">
        <v>0.3</v>
      </c>
      <c r="C105" s="334"/>
      <c r="D105" s="103" t="n">
        <v>200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19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</v>
      </c>
      <c r="E112" s="103" t="n">
        <v>6000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1808.2969844029</v>
      </c>
      <c r="H127" s="174" t="n">
        <f aca="false">IF(G105="YES", H89*H57, 0)</f>
        <v>557.3664</v>
      </c>
      <c r="I127" s="174"/>
      <c r="J127" s="349" t="n">
        <f aca="false">H91</f>
        <v>1901.1913844029</v>
      </c>
      <c r="K127" s="212"/>
      <c r="L127" s="63"/>
      <c r="M127" s="348" t="n">
        <f aca="false">N90</f>
        <v>1508.21111597563</v>
      </c>
      <c r="N127" s="174" t="n">
        <f aca="false">IF(M105="YES", N89*N57, 0)</f>
        <v>464.472</v>
      </c>
      <c r="O127" s="174"/>
      <c r="P127" s="174" t="n">
        <f aca="false">N91</f>
        <v>1585.62311597563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2380.67540766531</v>
      </c>
      <c r="B128" s="338" t="n">
        <f aca="false">IF(A105="YES", B89, 0)</f>
        <v>35.641775</v>
      </c>
      <c r="C128" s="342"/>
      <c r="D128" s="338" t="n">
        <f aca="false">B91</f>
        <v>2416.31718266531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2380.67540766531</v>
      </c>
      <c r="C131" s="280"/>
      <c r="D131" s="38" t="n">
        <f aca="false">IF(A105="YES", B89*B57, 0)</f>
        <v>35.641775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10849.7819064174</v>
      </c>
      <c r="H133" s="99" t="n">
        <f aca="false">IF(G105="YES", H89*H57, 0)</f>
        <v>557.3664</v>
      </c>
      <c r="I133" s="217"/>
      <c r="J133" s="181" t="n">
        <f aca="false">H91*H57</f>
        <v>11407.1483064174</v>
      </c>
      <c r="K133" s="212"/>
      <c r="L133" s="63"/>
      <c r="M133" s="182" t="n">
        <f aca="false">N90*N57</f>
        <v>9049.26669585379</v>
      </c>
      <c r="N133" s="99" t="n">
        <f aca="false">IF(M105="YES", N89*N57, 0)</f>
        <v>464.472</v>
      </c>
      <c r="O133" s="217"/>
      <c r="P133" s="181" t="n">
        <f aca="false">N91*N57</f>
        <v>9513.73869585379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2416.31718266531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2380.67540766531</v>
      </c>
      <c r="B137" s="38" t="n">
        <f aca="false">IF(A105="YES", B89, 0)</f>
        <v>35.641775</v>
      </c>
      <c r="C137" s="280"/>
      <c r="D137" s="38" t="n">
        <f aca="false">B91</f>
        <v>2416.31718266531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(B61*0.000006)*1.2*100</f>
        <v>26.93088</v>
      </c>
      <c r="B140" s="358" t="n">
        <f aca="false">IF(A105="YES", B61*0.000002, 0)*1.2*100</f>
        <v>8.97696</v>
      </c>
      <c r="C140" s="280"/>
      <c r="D140" s="358" t="n">
        <f aca="false">A140+B140</f>
        <v>35.90784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6.58002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6.58002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374.04</v>
      </c>
      <c r="B148" s="99" t="n">
        <f aca="false">B102</f>
        <v>400</v>
      </c>
      <c r="C148" s="38"/>
      <c r="D148" s="38" t="n">
        <f aca="false">IF(A105="YES", (B40*B105)*B125, 0)*0.1</f>
        <v>9.87003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883.90003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1901.1913844029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1585.62311597563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2416.31718266531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12</v>
      </c>
      <c r="C174" s="369"/>
      <c r="D174" s="341" t="n">
        <f aca="false">D125</f>
        <v>35000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2380.67540766531</v>
      </c>
      <c r="B177" s="367" t="n">
        <f aca="false">IF(A105="YES", B89, 0)</f>
        <v>35.641775</v>
      </c>
      <c r="C177" s="369"/>
      <c r="D177" s="367" t="n">
        <f aca="false">B91</f>
        <v>2416.31718266531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2380.67540766531</v>
      </c>
      <c r="C180" s="282"/>
      <c r="D180" s="99" t="n">
        <f aca="false">IF(A105="YES", B89*B57, 0)</f>
        <v>35.641775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2416.31718266531</v>
      </c>
      <c r="B183" s="99" t="n">
        <f aca="false">E114</f>
        <v>4000</v>
      </c>
      <c r="C183" s="282"/>
      <c r="D183" s="371" t="n">
        <f aca="false">B58</f>
        <v>11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2380.67540766531</v>
      </c>
      <c r="B186" s="99" t="n">
        <f aca="false">IF(A105="YES", B89, 0)</f>
        <v>35.641775</v>
      </c>
      <c r="C186" s="282"/>
      <c r="D186" s="99" t="n">
        <f aca="false">B91</f>
        <v>2416.31718266531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A140</f>
        <v>26.93088</v>
      </c>
      <c r="B189" s="375" t="n">
        <f aca="false">B140</f>
        <v>8.97696</v>
      </c>
      <c r="C189" s="282"/>
      <c r="D189" s="375" t="n">
        <f aca="false">A189+B189</f>
        <v>35.90784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374.04</v>
      </c>
      <c r="B197" s="99" t="n">
        <f aca="false">B102</f>
        <v>400</v>
      </c>
      <c r="C197" s="99"/>
      <c r="D197" s="99" t="n">
        <f aca="false">IF(A105="YES", (B40*B105)*B125, 0)*0.1</f>
        <v>9.87003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883.90003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2012.49972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374.04</v>
      </c>
      <c r="C211" s="337" t="s">
        <v>217</v>
      </c>
      <c r="D211" s="377" t="n">
        <f aca="false">B225+E221+B221+B223</f>
        <v>438.6903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2077.15002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2012.49972</v>
      </c>
      <c r="C217" s="381" t="s">
        <v>221</v>
      </c>
      <c r="D217" s="280"/>
      <c r="E217" s="309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374.04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2077.15002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98.7003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239.972081092664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1" sqref="A37 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 t="n">
        <v>0</v>
      </c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1" sqref="A37 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D41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151</v>
      </c>
      <c r="D120" s="112" t="s">
        <v>150</v>
      </c>
      <c r="E120" s="114" t="n">
        <v>0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1" sqref="A37 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45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268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571.318229166667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571.318229166667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240.991666666667</v>
      </c>
      <c r="C255" s="194"/>
      <c r="D255" s="195" t="s">
        <v>218</v>
      </c>
      <c r="E255" s="195"/>
      <c r="F255" s="196" t="n">
        <f aca="false">(B254-F254)+B255</f>
        <v>-307.680208333333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-307.680208333333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1" sqref="A37 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630.789698086146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286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6.864</v>
      </c>
      <c r="C134" s="394"/>
      <c r="D134" s="338" t="n">
        <f aca="false">B97</f>
        <v>630.789698086146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5677.10728277531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6.864</v>
      </c>
      <c r="C143" s="280"/>
      <c r="D143" s="38" t="n">
        <f aca="false">B97</f>
        <v>630.789698086146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630.789698086146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6.864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5677.10728277531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6.864</v>
      </c>
      <c r="C186" s="282"/>
      <c r="D186" s="99" t="n">
        <f aca="false">B97</f>
        <v>630.789698086146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1" sqref="A37 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0</v>
      </c>
      <c r="I44" s="292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818.133232822375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19</v>
      </c>
      <c r="B111" s="331" t="n">
        <v>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0</v>
      </c>
      <c r="C134" s="394"/>
      <c r="D134" s="338" t="n">
        <f aca="false">B97</f>
        <v>818.133232822375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0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7363.19909540137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0</v>
      </c>
      <c r="C143" s="280"/>
      <c r="D143" s="38" t="n">
        <f aca="false">B97</f>
        <v>818.133232822375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818.133232822375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0</v>
      </c>
      <c r="C177" s="395"/>
      <c r="D177" s="367" t="n">
        <f aca="false">B91</f>
        <v>13720.74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7363.19909540137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0</v>
      </c>
      <c r="C186" s="282"/>
      <c r="D186" s="99" t="n">
        <f aca="false">B97</f>
        <v>818.133232822375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3813.09166666667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1" sqref="A37 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0</v>
      </c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str">
        <f aca="false">H32</f>
        <v>5.28</v>
      </c>
      <c r="I44" s="292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634.431399489041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6.864</v>
      </c>
      <c r="C134" s="394"/>
      <c r="D134" s="338" t="n">
        <f aca="false">B97</f>
        <v>634.431399489041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61.776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5709.88259540137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6.864</v>
      </c>
      <c r="C143" s="280"/>
      <c r="D143" s="38" t="n">
        <f aca="false">B97</f>
        <v>634.431399489041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634.431399489041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6.864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61.776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5709.88259540137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6.864</v>
      </c>
      <c r="C186" s="282"/>
      <c r="D186" s="99" t="n">
        <f aca="false">B97</f>
        <v>634.431399489041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358.998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3832.098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19.008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1" sqref="A37 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241</v>
      </c>
      <c r="H32" s="221" t="n">
        <f aca="false">A41</f>
        <v>14.2424242424242</v>
      </c>
      <c r="I32" s="0"/>
      <c r="J32" s="44" t="s">
        <v>37</v>
      </c>
      <c r="K32" s="262" t="s">
        <v>377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81</v>
      </c>
      <c r="H36" s="64" t="s">
        <v>376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253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85</v>
      </c>
      <c r="B51" s="247" t="s">
        <v>86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87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88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89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90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91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93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95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96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97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98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100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101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102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103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104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106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107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108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109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115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116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119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120</v>
      </c>
      <c r="B94" s="259" t="n">
        <f aca="false">IF(B38="YES",((H36/B85)*(1+A108)),"0")</f>
        <v>19.09375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121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122</v>
      </c>
      <c r="B96" s="94" t="n">
        <f aca="false">B94+B95</f>
        <v>1603.91015136705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131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259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260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261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262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264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265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266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267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n">
        <f aca="false">B94</f>
        <v>19.09375</v>
      </c>
      <c r="C167" s="171"/>
      <c r="D167" s="171"/>
      <c r="E167" s="174" t="n">
        <f aca="false">B96</f>
        <v>1603.91015136705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E179+A182+B182+A185</f>
        <v>56924.1148437457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571.3165625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1603.91015136705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19.09375</v>
      </c>
      <c r="C212" s="171"/>
      <c r="D212" s="171"/>
      <c r="E212" s="174" t="n">
        <f aca="false">E167</f>
        <v>1603.91015136705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56924.1148437457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19.09375</v>
      </c>
      <c r="C230" s="183"/>
      <c r="D230" s="183"/>
      <c r="E230" s="99" t="n">
        <f aca="false">E167</f>
        <v>1603.91015136705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571.3165625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B63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240.99</v>
      </c>
      <c r="C255" s="194"/>
      <c r="D255" s="195" t="s">
        <v>218</v>
      </c>
      <c r="E255" s="195"/>
      <c r="F255" s="196" t="n">
        <f aca="false">(B254-F254)+B255</f>
        <v>-307.681875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0.009375</v>
      </c>
      <c r="C261" s="32"/>
      <c r="D261" s="163" t="s">
        <v>221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-307.681875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1" sqref="A37 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341</v>
      </c>
      <c r="B41" s="237" t="n">
        <f aca="false">IF(B38="YES", D38+A41, D38)</f>
        <v>560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342</v>
      </c>
      <c r="E44" s="100"/>
      <c r="F44" s="63"/>
      <c r="G44" s="63" t="s">
        <v>253</v>
      </c>
      <c r="H44" s="234" t="str">
        <f aca="false">H32</f>
        <v>60</v>
      </c>
      <c r="I44" s="292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273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13" t="s">
        <v>278</v>
      </c>
      <c r="B80" s="414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15" t="s">
        <v>279</v>
      </c>
      <c r="B81" s="416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5378.61666666667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448.218055555556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11390.6166666667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96.4917103670835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7487.10837703375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623.925698086146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701.925698086146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30</v>
      </c>
      <c r="C111" s="334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623.925698086146</v>
      </c>
      <c r="B134" s="338" t="n">
        <f aca="false">IF(A111="YES", B95, 0)</f>
        <v>78</v>
      </c>
      <c r="C134" s="394"/>
      <c r="D134" s="338" t="n">
        <f aca="false">B97</f>
        <v>701.925698086146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5615.33128277531</v>
      </c>
      <c r="C137" s="280"/>
      <c r="D137" s="38" t="n">
        <f aca="false">IF(A111="YES", B95*B63, 0)</f>
        <v>702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6317.33128277531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623.925698086146</v>
      </c>
      <c r="B143" s="38" t="n">
        <f aca="false">IF(A111="YES", B95, 0)</f>
        <v>78</v>
      </c>
      <c r="C143" s="280"/>
      <c r="D143" s="38" t="n">
        <f aca="false">B97</f>
        <v>701.925698086146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701.925698086146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623.925698086146</v>
      </c>
      <c r="B177" s="367" t="n">
        <f aca="false">IF(A111="YES", B95, 0)</f>
        <v>78</v>
      </c>
      <c r="C177" s="395"/>
      <c r="D177" s="367" t="n">
        <f aca="false">B91</f>
        <v>11390.6166666667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5615.33128277531</v>
      </c>
      <c r="C180" s="282"/>
      <c r="D180" s="99" t="n">
        <f aca="false">IF(A111="YES", B95*B63, 0)</f>
        <v>702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6317.33128277531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623.925698086146</v>
      </c>
      <c r="B186" s="99" t="n">
        <f aca="false">IF(A111="YES", B95, 0)</f>
        <v>78</v>
      </c>
      <c r="C186" s="282"/>
      <c r="D186" s="99" t="n">
        <f aca="false">B97</f>
        <v>701.925698086146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555.99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4029.09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216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1" sqref="A37 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 t="s">
        <v>4</v>
      </c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((B89*H29)+B87)*1.2</f>
        <v>13720.74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9817.5987938685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818.133232822375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890.133232822375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285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239.99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20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239.99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-2760.01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818.133232822375</v>
      </c>
      <c r="B134" s="338" t="n">
        <f aca="false">IF(A111="YES", B95, 0)</f>
        <v>72</v>
      </c>
      <c r="C134" s="394"/>
      <c r="D134" s="338" t="n">
        <f aca="false">B97</f>
        <v>890.133232822375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7363.19909540137</v>
      </c>
      <c r="C137" s="280"/>
      <c r="D137" s="38" t="n">
        <f aca="false">IF(A111="YES", B95*B63, 0)</f>
        <v>648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8011.19909540137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818.133232822375</v>
      </c>
      <c r="B143" s="38" t="n">
        <f aca="false">IF(A111="YES", B95, 0)</f>
        <v>72</v>
      </c>
      <c r="C143" s="280"/>
      <c r="D143" s="38" t="n">
        <f aca="false">B97</f>
        <v>890.133232822375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1090.84166666667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890.133232822375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818.133232822375</v>
      </c>
      <c r="B177" s="367" t="n">
        <f aca="false">IF(A111="YES", B95, 0)</f>
        <v>72</v>
      </c>
      <c r="C177" s="395"/>
      <c r="D177" s="367" t="n">
        <f aca="false">B97</f>
        <v>890.133232822375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7363.19909540137</v>
      </c>
      <c r="C180" s="282"/>
      <c r="D180" s="99" t="n">
        <f aca="false">IF(A111="YES", B95*B63, 0)</f>
        <v>648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8011.19909540137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818.133232822375</v>
      </c>
      <c r="B186" s="99" t="n">
        <f aca="false">IF(A111="YES", B95, 0)</f>
        <v>72</v>
      </c>
      <c r="C186" s="282"/>
      <c r="D186" s="99" t="n">
        <f aca="false">B97</f>
        <v>890.133232822375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1090.84166666667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459.991666666667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3933.09166666667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3933.09166666667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120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1" sqref="A37 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72</v>
      </c>
      <c r="B41" s="237" t="n">
        <f aca="false">IF(B38="YES", D38+A41, D38)</f>
        <v>550</v>
      </c>
      <c r="C41" s="237"/>
      <c r="D41" s="100" t="s">
        <v>64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271</v>
      </c>
      <c r="C44" s="100"/>
      <c r="D44" s="100" t="s">
        <v>343</v>
      </c>
      <c r="E44" s="100"/>
      <c r="F44" s="63"/>
      <c r="G44" s="63" t="s">
        <v>253</v>
      </c>
      <c r="H44" s="234" t="str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s">
        <v>343</v>
      </c>
      <c r="C47" s="396"/>
      <c r="D47" s="100" t="s">
        <v>343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272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 t="n">
        <v>10000</v>
      </c>
      <c r="D70" s="277" t="n">
        <f aca="false">B70-A149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165</v>
      </c>
      <c r="C80" s="211"/>
      <c r="D80" s="211"/>
      <c r="E80" s="412" t="n">
        <f aca="false">E79+D82</f>
        <v>703.333333333333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355</v>
      </c>
      <c r="C81" s="211"/>
      <c r="D81" s="211"/>
      <c r="E81" s="212" t="n">
        <f aca="false">E80/12</f>
        <v>58.6111111111111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43.3333333333333</v>
      </c>
      <c r="C82" s="211"/>
      <c r="D82" s="277" t="n">
        <f aca="false">IF(A50="YES", 0, B82)</f>
        <v>43.3333333333333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f aca="false">B108/(1-0.1)</f>
        <v>444.444444444444</v>
      </c>
      <c r="C83" s="211"/>
      <c r="D83" s="277" t="n">
        <f aca="false">B83</f>
        <v>444.444444444444</v>
      </c>
      <c r="E83" s="212" t="n">
        <f aca="false">D83/12</f>
        <v>37.037037037037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f aca="false">D108/(1-0.1)</f>
        <v>222.222222222222</v>
      </c>
      <c r="C84" s="211"/>
      <c r="D84" s="277" t="n">
        <f aca="false">B84</f>
        <v>222.222222222222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5421.95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451.829166666667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11433.95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96.8587938684954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7530.8087938685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IF(B105=Z104, (B93-D111)/(B64), B93/(B63+B64))</f>
        <v>627.567399489041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692.567399489041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/>
      <c r="B105" s="331" t="s">
        <v>339</v>
      </c>
      <c r="C105" s="331"/>
      <c r="D105" s="332" t="n">
        <v>1000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400</v>
      </c>
      <c r="C108" s="103"/>
      <c r="D108" s="103" t="n">
        <v>200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1" t="n">
        <v>30</v>
      </c>
      <c r="C111" s="331"/>
      <c r="D111" s="103" t="s">
        <v>340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18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10000</v>
      </c>
      <c r="E118" s="103" t="n">
        <v>6000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4000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1000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-2800.01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6" t="s">
        <v>128</v>
      </c>
      <c r="B130" s="337" t="n">
        <v>0</v>
      </c>
      <c r="C130" s="338"/>
      <c r="D130" s="337" t="s">
        <v>86</v>
      </c>
      <c r="E130" s="339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40" t="s">
        <v>288</v>
      </c>
      <c r="B131" s="341" t="n">
        <f aca="false">A167</f>
        <v>12</v>
      </c>
      <c r="C131" s="342"/>
      <c r="D131" s="341" t="n">
        <f aca="false">B166</f>
        <v>5000</v>
      </c>
      <c r="E131" s="339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36"/>
      <c r="B132" s="337"/>
      <c r="C132" s="337"/>
      <c r="D132" s="337"/>
      <c r="E132" s="339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36" t="s">
        <v>121</v>
      </c>
      <c r="B133" s="337" t="s">
        <v>297</v>
      </c>
      <c r="C133" s="338"/>
      <c r="D133" s="337" t="s">
        <v>298</v>
      </c>
      <c r="E133" s="339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40" t="n">
        <f aca="false">B96</f>
        <v>627.567399489041</v>
      </c>
      <c r="B134" s="338" t="n">
        <f aca="false">IF(A111="YES", B95, 0)</f>
        <v>65</v>
      </c>
      <c r="C134" s="394"/>
      <c r="D134" s="338" t="n">
        <f aca="false">B97</f>
        <v>692.567399489041</v>
      </c>
      <c r="E134" s="339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281"/>
      <c r="B135" s="280"/>
      <c r="C135" s="280"/>
      <c r="D135" s="280"/>
      <c r="E135" s="283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6" t="s">
        <v>23</v>
      </c>
      <c r="B136" s="347" t="s">
        <v>303</v>
      </c>
      <c r="C136" s="343"/>
      <c r="D136" s="347" t="s">
        <v>304</v>
      </c>
      <c r="E136" s="283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50" t="str">
        <f aca="false">B105</f>
        <v> Terminal pause with 9 down </v>
      </c>
      <c r="B137" s="38" t="n">
        <f aca="false">B96*B63</f>
        <v>5648.10659540137</v>
      </c>
      <c r="C137" s="280"/>
      <c r="D137" s="38" t="n">
        <f aca="false">IF(A111="YES", B95*B63, 0)</f>
        <v>585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309</v>
      </c>
      <c r="B139" s="39" t="s">
        <v>310</v>
      </c>
      <c r="C139" s="351"/>
      <c r="D139" s="243" t="s">
        <v>206</v>
      </c>
      <c r="E139" s="283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6233.10659540137</v>
      </c>
      <c r="B140" s="38" t="n">
        <f aca="false">E120</f>
        <v>4000</v>
      </c>
      <c r="C140" s="280"/>
      <c r="D140" s="352" t="n">
        <f aca="false">B64</f>
        <v>3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53"/>
      <c r="C141" s="280"/>
      <c r="D141" s="280"/>
      <c r="E141" s="283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121</v>
      </c>
      <c r="B142" s="354" t="s">
        <v>297</v>
      </c>
      <c r="C142" s="280"/>
      <c r="D142" s="280" t="s">
        <v>298</v>
      </c>
      <c r="E142" s="283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627.567399489041</v>
      </c>
      <c r="B143" s="38" t="n">
        <f aca="false">IF(A111="YES", B95, 0)</f>
        <v>65</v>
      </c>
      <c r="C143" s="280"/>
      <c r="D143" s="38" t="n">
        <f aca="false">B97</f>
        <v>692.567399489041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81"/>
      <c r="B144" s="280"/>
      <c r="C144" s="280"/>
      <c r="D144" s="280"/>
      <c r="E144" s="283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5" t="s">
        <v>69</v>
      </c>
      <c r="B145" s="356" t="s">
        <v>317</v>
      </c>
      <c r="C145" s="38"/>
      <c r="D145" s="356" t="s">
        <v>75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 t="n">
        <f aca="false">(G18*0.000006)*1.2*100</f>
        <v>41.6772</v>
      </c>
      <c r="B146" s="358" t="n">
        <f aca="false">G18*0.000002 *1.2*100</f>
        <v>13.8924</v>
      </c>
      <c r="C146" s="280"/>
      <c r="D146" s="358" t="n">
        <f aca="false">A146+B146</f>
        <v>55.5696</v>
      </c>
      <c r="E146" s="283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57"/>
      <c r="B147" s="358"/>
      <c r="C147" s="280"/>
      <c r="D147" s="358"/>
      <c r="E147" s="283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55" t="s">
        <v>321</v>
      </c>
      <c r="B148" s="356" t="s">
        <v>53</v>
      </c>
      <c r="C148" s="38"/>
      <c r="D148" s="356" t="s">
        <v>281</v>
      </c>
      <c r="E148" s="283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280"/>
      <c r="D149" s="148" t="n">
        <f aca="false">B108</f>
        <v>400</v>
      </c>
      <c r="E149" s="283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280"/>
      <c r="D150" s="38"/>
      <c r="E150" s="283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59" t="s">
        <v>324</v>
      </c>
      <c r="B151" s="360"/>
      <c r="C151" s="361"/>
      <c r="D151" s="360"/>
      <c r="E151" s="36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57"/>
      <c r="B152" s="358"/>
      <c r="C152" s="280"/>
      <c r="D152" s="358"/>
      <c r="E152" s="283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325</v>
      </c>
      <c r="B153" s="280" t="s">
        <v>326</v>
      </c>
      <c r="C153" s="280"/>
      <c r="D153" s="280" t="s">
        <v>327</v>
      </c>
      <c r="E153" s="283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 t="s">
        <v>331</v>
      </c>
      <c r="B156" s="280" t="s">
        <v>323</v>
      </c>
      <c r="C156" s="280"/>
      <c r="D156" s="280" t="s">
        <v>320</v>
      </c>
      <c r="E156" s="283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80"/>
      <c r="C158" s="280"/>
      <c r="D158" s="280"/>
      <c r="E158" s="283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81" t="s">
        <v>332</v>
      </c>
      <c r="B159" s="280"/>
      <c r="C159" s="280"/>
      <c r="D159" s="280"/>
      <c r="E159" s="283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280"/>
      <c r="D160" s="280"/>
      <c r="E160" s="283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81"/>
      <c r="B161" s="280"/>
      <c r="C161" s="280"/>
      <c r="D161" s="280"/>
      <c r="E161" s="283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93" t="s">
        <v>330</v>
      </c>
      <c r="B163" s="280"/>
      <c r="C163" s="280"/>
      <c r="D163" s="294"/>
      <c r="E163" s="295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96"/>
      <c r="C164" s="296"/>
      <c r="D164" s="280"/>
      <c r="E164" s="28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85</v>
      </c>
      <c r="B165" s="247" t="s">
        <v>86</v>
      </c>
      <c r="C165" s="247"/>
      <c r="D165" s="280"/>
      <c r="E165" s="28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280"/>
      <c r="E166" s="28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692.567399489041</v>
      </c>
      <c r="C167" s="74"/>
      <c r="D167" s="280"/>
      <c r="E167" s="28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81"/>
      <c r="B168" s="280"/>
      <c r="C168" s="280"/>
      <c r="D168" s="280"/>
      <c r="E168" s="28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81"/>
      <c r="B169" s="280"/>
      <c r="C169" s="280"/>
      <c r="D169" s="280"/>
      <c r="E169" s="28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81"/>
      <c r="B170" s="280"/>
      <c r="C170" s="280"/>
      <c r="D170" s="280"/>
      <c r="E170" s="28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68" t="n">
        <f aca="false">A167</f>
        <v>12</v>
      </c>
      <c r="C174" s="369"/>
      <c r="D174" s="367" t="n">
        <f aca="false">B166</f>
        <v>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B96</f>
        <v>627.567399489041</v>
      </c>
      <c r="B177" s="367" t="n">
        <f aca="false">IF(A111="YES", B95, 0)</f>
        <v>65</v>
      </c>
      <c r="C177" s="395"/>
      <c r="D177" s="367" t="n">
        <f aca="false">B91</f>
        <v>11433.95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B105</f>
        <v> Terminal pause with 9 down </v>
      </c>
      <c r="B180" s="99" t="n">
        <f aca="false">B96*B63</f>
        <v>5648.10659540137</v>
      </c>
      <c r="C180" s="282"/>
      <c r="D180" s="99" t="n">
        <f aca="false">IF(A111="YES", B95*B63, 0)</f>
        <v>585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6233.10659540137</v>
      </c>
      <c r="B183" s="99" t="n">
        <f aca="false">E120</f>
        <v>4000</v>
      </c>
      <c r="C183" s="282"/>
      <c r="D183" s="371" t="n">
        <f aca="false">B64</f>
        <v>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627.567399489041</v>
      </c>
      <c r="B186" s="99" t="n">
        <f aca="false">IF(A111="YES", B95, 0)</f>
        <v>65</v>
      </c>
      <c r="C186" s="282"/>
      <c r="D186" s="99" t="n">
        <f aca="false">B97</f>
        <v>692.567399489041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G18*0.000002 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282"/>
      <c r="D192" s="148" t="n">
        <f aca="false">B108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</v>
      </c>
      <c r="C209" s="338" t="s">
        <v>215</v>
      </c>
      <c r="D209" s="377" t="n">
        <f aca="false">D70</f>
        <v>4051.95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578.85</v>
      </c>
      <c r="C211" s="337" t="s">
        <v>217</v>
      </c>
      <c r="D211" s="377" t="n">
        <f aca="false">B225+E221+B221+B223</f>
        <v>519.99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3993.09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D70</f>
        <v>4051.95</v>
      </c>
      <c r="C217" s="381" t="s">
        <v>221</v>
      </c>
      <c r="D217" s="280"/>
      <c r="E217" s="309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B73</f>
        <v>578.85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B84-(B84*(E219*100))</f>
        <v>200</v>
      </c>
      <c r="C223" s="351" t="s">
        <v>218</v>
      </c>
      <c r="D223" s="280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180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B77</f>
        <v>200</v>
      </c>
      <c r="C229" s="351" t="s">
        <v>226</v>
      </c>
      <c r="D229" s="358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B74</f>
        <v>0.0075</v>
      </c>
      <c r="C231" s="351" t="s">
        <v>229</v>
      </c>
      <c r="D231" s="358"/>
      <c r="E231" s="309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B85</f>
        <v>200</v>
      </c>
      <c r="C233" s="387" t="s">
        <v>337</v>
      </c>
      <c r="D233" s="388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B86</f>
        <v>200</v>
      </c>
      <c r="C235" s="391" t="s">
        <v>338</v>
      </c>
      <c r="D235" s="391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1" sqref="A37 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9000</v>
      </c>
      <c r="P31" s="208"/>
    </row>
    <row r="32" customFormat="false" ht="34.3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/>
      <c r="J32" s="29" t="s">
        <v>36</v>
      </c>
      <c r="K32" s="445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1409.67314916584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1342.68314916584</v>
      </c>
      <c r="B36" s="228" t="n">
        <f aca="false">IF(B26="YES", K42, "0.00")</f>
        <v>66.99</v>
      </c>
      <c r="C36" s="228"/>
      <c r="D36" s="228"/>
      <c r="E36" s="228" t="n">
        <f aca="false">K31</f>
        <v>9000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29487.3203689542</v>
      </c>
      <c r="N39" s="1" t="n">
        <f aca="false">K39-L39</f>
        <v>19390.1796310458</v>
      </c>
      <c r="P39" s="208"/>
    </row>
    <row r="40" customFormat="false" ht="17.35" hidden="false" customHeight="false" outlineLevel="0" collapsed="false">
      <c r="A40" s="103" t="n">
        <f aca="false">E36*A45/100</f>
        <v>9000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109</v>
      </c>
      <c r="K40" s="2" t="n">
        <f aca="false">(A40)/1.2</f>
        <v>7500</v>
      </c>
      <c r="L40" s="2" t="n">
        <f aca="false">K39-L39</f>
        <v>19390.1796310458</v>
      </c>
      <c r="N40" s="1" t="n">
        <f aca="false">N38-N39</f>
        <v>-16478.4996310458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6174.50826496102</v>
      </c>
      <c r="L44" s="2"/>
      <c r="P44" s="208"/>
    </row>
    <row r="45" customFormat="false" ht="17.35" hidden="false" customHeight="false" outlineLevel="0" collapsed="false">
      <c r="A45" s="446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360</v>
      </c>
      <c r="K45" s="2" t="n">
        <f aca="false">(K39-K44)</f>
        <v>42702.991735039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1342.68314916584</v>
      </c>
      <c r="L47" s="2" t="n">
        <f aca="false">L49-K42</f>
        <v>733.01</v>
      </c>
      <c r="M47" s="1" t="n">
        <f aca="false">K47-L47</f>
        <v>609.673149165836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1409.67314916584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1409.67314916584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25106.5530151278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4219.71813983739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278.282275088859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278.282275088859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1342.68314916584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1342.68314916584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1409.67314916584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1409.67314916584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9000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9000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9000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6445.6463636142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6154.67359467891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6154.67359467891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61284.3576363858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39314.0754053211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39314.0754053211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2120.60185988035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1390.35860282039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1390.35860282039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72100.4632359321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47272.1924958931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47272.1924958931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72100.4632359321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47272.1924958931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47272.1924958931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259" t="n">
        <f aca="false">IF(B26="YES",((E40/B85)*(1+A108)),"0")</f>
        <v>89.6483823529412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2120.60185988035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1390.35860282039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1390.35860282039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B94+B95</f>
        <v>2210.2502422333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1473.11095576156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1489.6614263498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447" t="s">
        <v>18</v>
      </c>
      <c r="F105" s="447"/>
      <c r="G105" s="447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44468.749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2120.60185988035</v>
      </c>
      <c r="B167" s="174" t="n">
        <f aca="false">B94</f>
        <v>89.6483823529412</v>
      </c>
      <c r="C167" s="171"/>
      <c r="D167" s="171"/>
      <c r="E167" s="174" t="n">
        <f aca="false">B96</f>
        <v>2210.2502422333</v>
      </c>
      <c r="F167" s="23"/>
      <c r="G167" s="23"/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1390.35860282039</v>
      </c>
      <c r="T167" s="174" t="n">
        <f aca="false">T94</f>
        <v>82.7523529411765</v>
      </c>
      <c r="U167" s="171"/>
      <c r="V167" s="171"/>
      <c r="W167" s="174" t="n">
        <f aca="false">T96</f>
        <v>1473.11095576156</v>
      </c>
      <c r="X167" s="23"/>
      <c r="Y167" s="23"/>
      <c r="Z167" s="33"/>
      <c r="AB167" s="173" t="n">
        <f aca="false">AC95</f>
        <v>1390.35860282039</v>
      </c>
      <c r="AC167" s="174" t="n">
        <f aca="false">AC94</f>
        <v>99.3028235294117</v>
      </c>
      <c r="AD167" s="171"/>
      <c r="AE167" s="171"/>
      <c r="AF167" s="174" t="n">
        <f aca="false">AC96</f>
        <v>1489.6614263498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9000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9000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9000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13370.4592359321</v>
      </c>
      <c r="B182" s="99" t="str">
        <f aca="false">B114</f>
        <v>199.99</v>
      </c>
      <c r="C182" s="99"/>
      <c r="D182" s="23"/>
      <c r="E182" s="99" t="n">
        <f aca="false">E179+A182+B182+A185</f>
        <v>81310.4532359321</v>
      </c>
      <c r="F182" s="23"/>
      <c r="G182" s="23"/>
      <c r="H182" s="101"/>
      <c r="J182" s="107" t="n">
        <f aca="false">(J167*K59)+N185-N179-J185</f>
        <v>22558.6283606416</v>
      </c>
      <c r="K182" s="99" t="n">
        <f aca="false">K114</f>
        <v>239.99</v>
      </c>
      <c r="L182" s="99"/>
      <c r="M182" s="23"/>
      <c r="N182" s="99" t="n">
        <f aca="false">N179+J182+K182+J185</f>
        <v>60473.6183606416</v>
      </c>
      <c r="O182" s="23"/>
      <c r="P182" s="23"/>
      <c r="Q182" s="101"/>
      <c r="S182" s="107" t="n">
        <f aca="false">(S167*T59)+W185-W179-S185</f>
        <v>10803.4434958931</v>
      </c>
      <c r="T182" s="99" t="n">
        <f aca="false">T114</f>
        <v>199.99</v>
      </c>
      <c r="U182" s="99"/>
      <c r="V182" s="23"/>
      <c r="W182" s="99" t="n">
        <f aca="false">W179+S182+T182+S185</f>
        <v>56482.1824958931</v>
      </c>
      <c r="X182" s="23"/>
      <c r="Y182" s="23"/>
      <c r="Z182" s="101"/>
      <c r="AB182" s="107" t="n">
        <f aca="false">(AB167*AC59)+AF185-AF179-AB185</f>
        <v>10803.4434958931</v>
      </c>
      <c r="AC182" s="99" t="n">
        <f aca="false">AC114</f>
        <v>239.99</v>
      </c>
      <c r="AD182" s="99"/>
      <c r="AE182" s="23"/>
      <c r="AF182" s="99" t="n">
        <f aca="false">AF179+AB182+AC182+AB185</f>
        <v>56522.1824958931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2210.2502422333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1473.11095576156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1489.6614263498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2120.60185988035</v>
      </c>
      <c r="B212" s="174" t="n">
        <f aca="false">B167</f>
        <v>89.6483823529412</v>
      </c>
      <c r="C212" s="171"/>
      <c r="D212" s="171"/>
      <c r="E212" s="174" t="n">
        <f aca="false">E167</f>
        <v>2210.2502422333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13370.4592359321</v>
      </c>
      <c r="B224" s="99" t="str">
        <f aca="false">B182</f>
        <v>199.99</v>
      </c>
      <c r="C224" s="99"/>
      <c r="D224" s="109"/>
      <c r="E224" s="99" t="n">
        <f aca="false">E182</f>
        <v>81310.4532359321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2120.60185988035</v>
      </c>
      <c r="B230" s="99" t="n">
        <f aca="false">B167</f>
        <v>89.6483823529412</v>
      </c>
      <c r="C230" s="183"/>
      <c r="D230" s="183"/>
      <c r="E230" s="99" t="n">
        <f aca="false">E167</f>
        <v>2210.2502422333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9000</v>
      </c>
      <c r="B233" s="99" t="n">
        <f aca="false">E185</f>
        <v>9010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803.385</v>
      </c>
      <c r="C255" s="194"/>
      <c r="D255" s="195" t="s">
        <v>218</v>
      </c>
      <c r="E255" s="195"/>
      <c r="F255" s="196" t="n">
        <f aca="false">(B254-F254)+B255</f>
        <v>140.1953775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72100.4632359321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140.1953775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1" sqref="A37 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7200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1875.65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1435.10138046723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1381.51138046723</v>
      </c>
      <c r="B36" s="228" t="n">
        <f aca="false">IF(B26="YES", K42, "0.00")</f>
        <v>53.59</v>
      </c>
      <c r="C36" s="228"/>
      <c r="D36" s="228"/>
      <c r="E36" s="228" t="n">
        <f aca="false">K31</f>
        <v>7200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28678.5952786194</v>
      </c>
      <c r="N39" s="1" t="n">
        <f aca="false">K39-L39</f>
        <v>20198.9047213806</v>
      </c>
      <c r="P39" s="208"/>
    </row>
    <row r="40" customFormat="false" ht="17.35" hidden="false" customHeight="false" outlineLevel="0" collapsed="false">
      <c r="A40" s="103" t="n">
        <f aca="false">E36*A45/100</f>
        <v>7200</v>
      </c>
      <c r="B40" s="103" t="n">
        <f aca="false">IF(B26="YES", K42, "0.00")</f>
        <v>53.59</v>
      </c>
      <c r="C40" s="103"/>
      <c r="D40" s="103"/>
      <c r="E40" s="179" t="n">
        <f aca="false">K32</f>
        <v>1875.65</v>
      </c>
      <c r="F40" s="183"/>
      <c r="G40" s="183"/>
      <c r="H40" s="47"/>
      <c r="J40" s="2" t="s">
        <v>109</v>
      </c>
      <c r="K40" s="2" t="n">
        <f aca="false">(A40)/1.2</f>
        <v>6000</v>
      </c>
      <c r="L40" s="2" t="n">
        <f aca="false">K39-L39</f>
        <v>20198.9047213806</v>
      </c>
      <c r="N40" s="1" t="n">
        <f aca="false">N38-N39</f>
        <v>-17287.2247213806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53.59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4939.60661196881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43937.8933880312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1381.51138046723</v>
      </c>
      <c r="L47" s="2" t="n">
        <f aca="false">L49-K42</f>
        <v>746.41</v>
      </c>
      <c r="M47" s="1" t="n">
        <f aca="false">K47-L47</f>
        <v>635.101380467231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1435.10138046723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1435.10138046723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25264.2132344033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2860.73004428854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17131.9592521278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399.399774889571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1381.51138046723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1381.51138046723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1435.10138046723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1435.10138046723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IF(A111 = "YES", A40, 0)</f>
        <v>7200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7200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7200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5156.51709089136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4923.73887574313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4923.73887574313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62573.4869091086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54460.6986142569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40545.0101242569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2165.20916325754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1926.02522260238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1433.89112033067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73617.1115507564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65484.8575684809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48752.2980912427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73617.1115507564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65484.8575684809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48752.2980912427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n">
        <f aca="false">IF(B26="YES",((E40/B85)*(1+A108)*1.2),"0")</f>
        <v>86.0592352941177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83.6004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66.1994117647059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79.4392941176471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2165.20916325754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1926.02522260238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1433.89112033067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2251.26839855166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1589.8835870777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1992.22463436709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1513.33041444831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124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18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269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2165.20916325754</v>
      </c>
      <c r="B167" s="174" t="n">
        <f aca="false">B94</f>
        <v>86.0592352941177</v>
      </c>
      <c r="C167" s="171"/>
      <c r="D167" s="171"/>
      <c r="E167" s="174" t="n">
        <f aca="false">B96</f>
        <v>2251.26839855166</v>
      </c>
      <c r="F167" s="23"/>
      <c r="G167" s="23"/>
      <c r="H167" s="33"/>
      <c r="J167" s="173" t="n">
        <f aca="false">K95</f>
        <v>1506.2831870777</v>
      </c>
      <c r="K167" s="174" t="n">
        <f aca="false">K94</f>
        <v>83.6004</v>
      </c>
      <c r="L167" s="171"/>
      <c r="M167" s="171"/>
      <c r="N167" s="174" t="n">
        <f aca="false">K96</f>
        <v>1589.8835870777</v>
      </c>
      <c r="O167" s="23"/>
      <c r="P167" s="23"/>
      <c r="Q167" s="33"/>
      <c r="S167" s="173" t="n">
        <f aca="false">T95</f>
        <v>1926.02522260238</v>
      </c>
      <c r="T167" s="174" t="n">
        <f aca="false">T94</f>
        <v>66.1994117647059</v>
      </c>
      <c r="U167" s="171"/>
      <c r="V167" s="171"/>
      <c r="W167" s="174" t="n">
        <f aca="false">T96</f>
        <v>1992.22463436709</v>
      </c>
      <c r="X167" s="23"/>
      <c r="Y167" s="23"/>
      <c r="Z167" s="33"/>
      <c r="AB167" s="173" t="n">
        <f aca="false">AC95</f>
        <v>1433.89112033067</v>
      </c>
      <c r="AC167" s="174" t="n">
        <f aca="false">AC94</f>
        <v>79.4392941176471</v>
      </c>
      <c r="AD167" s="171"/>
      <c r="AE167" s="171"/>
      <c r="AF167" s="174" t="n">
        <f aca="false">AC96</f>
        <v>1513.33041444831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7200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7200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7200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7200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13087.1075507564</v>
      </c>
      <c r="B182" s="99" t="str">
        <f aca="false">B114</f>
        <v>239.99</v>
      </c>
      <c r="C182" s="99"/>
      <c r="D182" s="23"/>
      <c r="E182" s="99" t="n">
        <f aca="false">E179+A182+B182+A185</f>
        <v>81067.1015507564</v>
      </c>
      <c r="F182" s="23"/>
      <c r="G182" s="23"/>
      <c r="H182" s="101"/>
      <c r="J182" s="107" t="n">
        <f aca="false">(J167*K59)+N185-N179-J185</f>
        <v>20758.6283606416</v>
      </c>
      <c r="K182" s="99" t="n">
        <f aca="false">K114</f>
        <v>239.99</v>
      </c>
      <c r="L182" s="99"/>
      <c r="M182" s="23"/>
      <c r="N182" s="99" t="n">
        <f aca="false">N179+J182+K182+J185</f>
        <v>58673.6183606416</v>
      </c>
      <c r="O182" s="23"/>
      <c r="P182" s="23"/>
      <c r="Q182" s="101"/>
      <c r="S182" s="107" t="n">
        <f aca="false">(S167*T59)+W185-W179-S185</f>
        <v>13300.4200784809</v>
      </c>
      <c r="T182" s="99" t="n">
        <f aca="false">T114</f>
        <v>199.99</v>
      </c>
      <c r="U182" s="99"/>
      <c r="V182" s="23"/>
      <c r="W182" s="99" t="n">
        <f aca="false">W179+S182+T182+S185</f>
        <v>72894.8475684809</v>
      </c>
      <c r="X182" s="23"/>
      <c r="Y182" s="23"/>
      <c r="Z182" s="101"/>
      <c r="AB182" s="107" t="n">
        <f aca="false">(AB167*AC59)+AF185-AF179-AB185</f>
        <v>10483.5490912427</v>
      </c>
      <c r="AC182" s="99" t="n">
        <f aca="false">AC114</f>
        <v>239.99</v>
      </c>
      <c r="AD182" s="99"/>
      <c r="AE182" s="23"/>
      <c r="AF182" s="99" t="n">
        <f aca="false">AF179+AB182+AC182+AB185</f>
        <v>56202.2880912427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7210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7220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7210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7210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13.8924</v>
      </c>
      <c r="B188" s="99" t="n">
        <f aca="false">(G158*B67)</f>
        <v>663.1896225</v>
      </c>
      <c r="C188" s="130"/>
      <c r="D188" s="130"/>
      <c r="E188" s="99" t="n">
        <f aca="false">(E40*A108)*0.1</f>
        <v>56.2695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56.2695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37.513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819.450789166667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3517.01036805556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1622.06351424132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1548.51536163194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2251.26839855166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1992.22463436709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1513.33041444831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270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2165.20916325754</v>
      </c>
      <c r="B212" s="174" t="n">
        <f aca="false">B167</f>
        <v>86.0592352941177</v>
      </c>
      <c r="C212" s="171"/>
      <c r="D212" s="171"/>
      <c r="E212" s="174" t="n">
        <f aca="false">E167</f>
        <v>2251.26839855166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13087.1075507564</v>
      </c>
      <c r="B224" s="99" t="str">
        <f aca="false">B182</f>
        <v>239.99</v>
      </c>
      <c r="C224" s="99"/>
      <c r="D224" s="109"/>
      <c r="E224" s="99" t="n">
        <f aca="false">E182</f>
        <v>81067.1015507564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2165.20916325754</v>
      </c>
      <c r="B230" s="99" t="n">
        <f aca="false">B167</f>
        <v>86.0592352941177</v>
      </c>
      <c r="C230" s="183"/>
      <c r="D230" s="183"/>
      <c r="E230" s="99" t="n">
        <f aca="false">E167</f>
        <v>2251.26839855166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188</v>
      </c>
      <c r="B232" s="130" t="s">
        <v>208</v>
      </c>
      <c r="C232" s="130"/>
      <c r="D232" s="130"/>
      <c r="E232" s="130" t="s">
        <v>209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133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56.2695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10463.0891854167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662.686666666667</v>
      </c>
      <c r="C255" s="194"/>
      <c r="D255" s="195" t="s">
        <v>218</v>
      </c>
      <c r="E255" s="195"/>
      <c r="F255" s="196" t="n">
        <f aca="false">(B254-F254)+B255</f>
        <v>-0.502955833333431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73617.1115507564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0.3</v>
      </c>
      <c r="C262" s="32"/>
      <c r="D262" s="163" t="s">
        <v>222</v>
      </c>
      <c r="E262" s="163"/>
      <c r="F262" s="143" t="n">
        <f aca="false">E240*10</f>
        <v>562.695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-0.502955833333431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1" sqref="A37 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555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5400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1420.33961176863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1420.33961176863</v>
      </c>
      <c r="B36" s="228" t="str">
        <f aca="false">IF(B26="YES", K42, "0.00")</f>
        <v>0.00</v>
      </c>
      <c r="C36" s="228"/>
      <c r="D36" s="228"/>
      <c r="E36" s="228" t="n">
        <f aca="false">K31</f>
        <v>5400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29148.0818340459</v>
      </c>
      <c r="N39" s="1" t="n">
        <f aca="false">K39-L39</f>
        <v>19729.4181659541</v>
      </c>
      <c r="P39" s="208"/>
    </row>
    <row r="40" customFormat="false" ht="17.35" hidden="false" customHeight="false" outlineLevel="0" collapsed="false">
      <c r="A40" s="333" t="n">
        <f aca="false">E36*A45/100</f>
        <v>5400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4500</v>
      </c>
      <c r="L40" s="2" t="n">
        <f aca="false">K39-L39</f>
        <v>19729.4181659541</v>
      </c>
      <c r="N40" s="1" t="n">
        <f aca="false">N38-N39</f>
        <v>-16817.7381659541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3704.70495897661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45172.7950410234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1420.33961176863</v>
      </c>
      <c r="L47" s="2" t="n">
        <f aca="false">L49-K42</f>
        <v>800</v>
      </c>
      <c r="M47" s="1" t="n">
        <f aca="false">K47-L47</f>
        <v>620.339611768627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1420.33961176863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1420.33961176863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25421.8734536788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1501.7419487397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17253.0767519285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520.51727469029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1420.33961176863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1420.33961176863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1420.33961176863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1420.33961176863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5400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5400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5400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3867.38781816852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3692.80415680734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3692.80415680734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63862.6161818315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55691.6333331927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41775.9448431927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2209.81646663473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1969.55774011266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1477.42363784095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75133.7598655807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66964.9631638305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50232.4036865922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75133.7598655807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66964.9631638305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50232.4036865922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IF(B26="YES",((E40/B85)*(1+A108)*1.2),"0")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2209.81646663473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1969.55774011266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1477.42363784095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2209.81646663473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1969.55774011266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1477.42363784095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126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144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145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2209.81646663473</v>
      </c>
      <c r="B167" s="174" t="str">
        <f aca="false">B94</f>
        <v>0</v>
      </c>
      <c r="C167" s="171"/>
      <c r="D167" s="171"/>
      <c r="E167" s="174" t="n">
        <f aca="false">B96</f>
        <v>2209.81646663473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1969.55774011266</v>
      </c>
      <c r="T167" s="174" t="n">
        <f aca="false">T94</f>
        <v>0</v>
      </c>
      <c r="U167" s="171"/>
      <c r="V167" s="171"/>
      <c r="W167" s="174" t="n">
        <f aca="false">T96</f>
        <v>1969.55774011266</v>
      </c>
      <c r="X167" s="23"/>
      <c r="Y167" s="23"/>
      <c r="Z167" s="33"/>
      <c r="AB167" s="173" t="n">
        <f aca="false">AC95</f>
        <v>1477.42363784095</v>
      </c>
      <c r="AC167" s="174" t="n">
        <f aca="false">AC94</f>
        <v>0</v>
      </c>
      <c r="AD167" s="171"/>
      <c r="AE167" s="171"/>
      <c r="AF167" s="174" t="n">
        <f aca="false">AC96</f>
        <v>1477.42363784095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5400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5400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5400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12803.7558655807</v>
      </c>
      <c r="B182" s="99" t="str">
        <f aca="false">B114</f>
        <v>239.99</v>
      </c>
      <c r="C182" s="99"/>
      <c r="D182" s="23"/>
      <c r="E182" s="99" t="n">
        <f aca="false">E179+A182+B182+A185</f>
        <v>80783.7498655807</v>
      </c>
      <c r="F182" s="23"/>
      <c r="G182" s="23"/>
      <c r="H182" s="101"/>
      <c r="J182" s="107" t="n">
        <f aca="false">(J167*K59)+N185-N179-J185</f>
        <v>18958.6283606416</v>
      </c>
      <c r="K182" s="99" t="n">
        <f aca="false">K114</f>
        <v>239.99</v>
      </c>
      <c r="L182" s="99"/>
      <c r="M182" s="23"/>
      <c r="N182" s="99" t="n">
        <f aca="false">N179+J182+K182+J185</f>
        <v>56873.6183606416</v>
      </c>
      <c r="O182" s="23"/>
      <c r="P182" s="23"/>
      <c r="Q182" s="101"/>
      <c r="S182" s="107" t="n">
        <f aca="false">(S167*T59)+W185-W179-S185</f>
        <v>12980.5256738305</v>
      </c>
      <c r="T182" s="99" t="n">
        <f aca="false">T114</f>
        <v>199.99</v>
      </c>
      <c r="U182" s="99"/>
      <c r="V182" s="23"/>
      <c r="W182" s="99" t="n">
        <f aca="false">W179+S182+T182+S185</f>
        <v>72574.9531638305</v>
      </c>
      <c r="X182" s="23"/>
      <c r="Y182" s="23"/>
      <c r="Z182" s="101"/>
      <c r="AB182" s="107" t="n">
        <f aca="false">(AB167*AC59)+AF185-AF179-AB185</f>
        <v>10163.6546865922</v>
      </c>
      <c r="AC182" s="99" t="n">
        <f aca="false">AC114</f>
        <v>239.99</v>
      </c>
      <c r="AD182" s="99"/>
      <c r="AE182" s="23"/>
      <c r="AF182" s="99" t="n">
        <f aca="false">AF179+AB182+AC182+AB185</f>
        <v>55882.3936865922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E170+A185</f>
        <v>5410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H15*0.000002, 0)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652.649685416667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2209.81646663473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1969.55774011266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1477.42363784095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2209.81646663473</v>
      </c>
      <c r="B212" s="174" t="str">
        <f aca="false">B167</f>
        <v>0</v>
      </c>
      <c r="C212" s="171"/>
      <c r="D212" s="171"/>
      <c r="E212" s="174" t="n">
        <f aca="false">E167</f>
        <v>2209.81646663473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12803.7558655807</v>
      </c>
      <c r="B224" s="99" t="str">
        <f aca="false">B182</f>
        <v>239.99</v>
      </c>
      <c r="C224" s="99"/>
      <c r="D224" s="109"/>
      <c r="E224" s="99" t="n">
        <f aca="false">E182</f>
        <v>80783.7498655807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2209.81646663473</v>
      </c>
      <c r="B230" s="99" t="str">
        <f aca="false">B167</f>
        <v>0</v>
      </c>
      <c r="C230" s="183"/>
      <c r="D230" s="183"/>
      <c r="E230" s="99" t="n">
        <f aca="false">E167</f>
        <v>2209.81646663473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5400</v>
      </c>
      <c r="B233" s="99" t="n">
        <f aca="false">E185</f>
        <v>5410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41.6772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99.9916666666667</v>
      </c>
      <c r="C255" s="194"/>
      <c r="D255" s="195" t="s">
        <v>218</v>
      </c>
      <c r="E255" s="195"/>
      <c r="F255" s="196" t="n">
        <f aca="false">(B254-F254)+B255</f>
        <v>-563.197955833333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75133.7598655807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99.9916666666667</v>
      </c>
      <c r="C263" s="32"/>
      <c r="D263" s="39" t="s">
        <v>218</v>
      </c>
      <c r="E263" s="39"/>
      <c r="F263" s="143" t="n">
        <f aca="false">(B254-F254)+B255</f>
        <v>-563.197955833333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1" sqref="A37 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375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5" t="s">
        <v>146</v>
      </c>
      <c r="C2" s="435"/>
      <c r="D2" s="435" t="s">
        <v>147</v>
      </c>
      <c r="E2" s="435"/>
      <c r="F2" s="435" t="s">
        <v>148</v>
      </c>
      <c r="G2" s="435"/>
      <c r="H2" s="436" t="s">
        <v>149</v>
      </c>
      <c r="I2" s="2"/>
      <c r="J2" s="2"/>
    </row>
    <row r="3" customFormat="false" ht="17.35" hidden="false" customHeight="false" outlineLevel="0" collapsed="false">
      <c r="A3" s="31" t="s">
        <v>152</v>
      </c>
      <c r="B3" s="437" t="n">
        <v>46854.17</v>
      </c>
      <c r="C3" s="437" t="n">
        <v>0</v>
      </c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7.35" hidden="false" customHeight="false" outlineLevel="0" collapsed="false">
      <c r="A4" s="31" t="s">
        <v>153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154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3"/>
      <c r="I5" s="2"/>
      <c r="J5" s="2"/>
    </row>
    <row r="6" customFormat="false" ht="17.35" hidden="false" customHeight="false" outlineLevel="0" collapsed="false">
      <c r="A6" s="31" t="s">
        <v>155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156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164</v>
      </c>
      <c r="B9" s="149"/>
      <c r="C9" s="149"/>
      <c r="D9" s="149"/>
      <c r="E9" s="149" t="n">
        <f aca="false">(B7+C7+D7+E3)</f>
        <v>46854.17</v>
      </c>
      <c r="F9" s="149"/>
      <c r="G9" s="133"/>
      <c r="H9" s="439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165</v>
      </c>
      <c r="B10" s="151"/>
      <c r="C10" s="151"/>
      <c r="D10" s="151"/>
      <c r="E10" s="151" t="n">
        <v>50</v>
      </c>
      <c r="F10" s="151"/>
      <c r="G10" s="152"/>
      <c r="H10" s="438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166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167</v>
      </c>
      <c r="B12" s="151"/>
      <c r="C12" s="151"/>
      <c r="D12" s="151"/>
      <c r="E12" s="151"/>
      <c r="F12" s="151"/>
      <c r="G12" s="152"/>
      <c r="H12" s="438" t="n">
        <v>0</v>
      </c>
      <c r="I12" s="2"/>
      <c r="J12" s="2"/>
    </row>
    <row r="13" customFormat="false" ht="17.35" hidden="false" customHeight="false" outlineLevel="0" collapsed="false">
      <c r="A13" s="151" t="s">
        <v>168</v>
      </c>
      <c r="B13" s="151"/>
      <c r="C13" s="151"/>
      <c r="D13" s="151"/>
      <c r="E13" s="151" t="n">
        <v>585</v>
      </c>
      <c r="F13" s="151"/>
      <c r="G13" s="152"/>
      <c r="H13" s="438" t="n">
        <v>585</v>
      </c>
      <c r="I13" s="2"/>
      <c r="J13" s="2"/>
    </row>
    <row r="14" customFormat="false" ht="17.35" hidden="false" customHeight="false" outlineLevel="0" collapsed="false">
      <c r="A14" s="151" t="s">
        <v>169</v>
      </c>
      <c r="B14" s="151"/>
      <c r="C14" s="151"/>
      <c r="D14" s="151"/>
      <c r="E14" s="151" t="n">
        <v>55</v>
      </c>
      <c r="F14" s="151"/>
      <c r="G14" s="152"/>
      <c r="H14" s="438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170</v>
      </c>
      <c r="B15" s="151"/>
      <c r="C15" s="151"/>
      <c r="D15" s="151"/>
      <c r="E15" s="151"/>
      <c r="F15" s="151"/>
      <c r="G15" s="152"/>
      <c r="H15" s="440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171</v>
      </c>
      <c r="B16" s="151"/>
      <c r="C16" s="151"/>
      <c r="D16" s="151"/>
      <c r="E16" s="151" t="n">
        <v>120</v>
      </c>
      <c r="F16" s="151"/>
      <c r="G16" s="152"/>
      <c r="H16" s="438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172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173</v>
      </c>
      <c r="C18" s="158"/>
      <c r="D18" s="158"/>
      <c r="E18" s="158"/>
      <c r="F18" s="158"/>
      <c r="G18" s="163"/>
      <c r="H18" s="441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173</v>
      </c>
      <c r="C19" s="158"/>
      <c r="D19" s="158"/>
      <c r="E19" s="158"/>
      <c r="F19" s="158"/>
      <c r="G19" s="163"/>
      <c r="H19" s="441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173</v>
      </c>
      <c r="C20" s="158"/>
      <c r="D20" s="158"/>
      <c r="E20" s="158"/>
      <c r="F20" s="158"/>
      <c r="G20" s="163"/>
      <c r="H20" s="441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174</v>
      </c>
      <c r="B21" s="493"/>
      <c r="C21" s="493"/>
      <c r="D21" s="493"/>
      <c r="E21" s="493"/>
      <c r="F21" s="493"/>
      <c r="G21" s="442"/>
      <c r="H21" s="443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346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129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127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4" t="n">
        <v>35</v>
      </c>
      <c r="P29" s="208"/>
    </row>
    <row r="30" customFormat="false" ht="17.9" hidden="false" customHeight="false" outlineLevel="0" collapsed="false">
      <c r="A30" s="31" t="s">
        <v>184</v>
      </c>
      <c r="B30" s="100" t="s">
        <v>347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5" t="n">
        <v>10800</v>
      </c>
      <c r="P31" s="208"/>
    </row>
    <row r="32" customFormat="false" ht="34.8" hidden="false" customHeight="false" outlineLevel="0" collapsed="false">
      <c r="A32" s="31" t="s">
        <v>85</v>
      </c>
      <c r="B32" s="130" t="s">
        <v>86</v>
      </c>
      <c r="C32" s="130"/>
      <c r="D32" s="130"/>
      <c r="E32" s="130" t="s">
        <v>348</v>
      </c>
      <c r="F32" s="130"/>
      <c r="G32" s="130"/>
      <c r="H32" s="33"/>
      <c r="I32" s="2" t="n">
        <v>0</v>
      </c>
      <c r="J32" s="29" t="s">
        <v>36</v>
      </c>
      <c r="K32" s="445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1303.85491786444</v>
      </c>
      <c r="F33" s="228"/>
      <c r="G33" s="228"/>
      <c r="H33" s="47"/>
      <c r="I33" s="2"/>
      <c r="J33" s="34" t="s">
        <v>349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350</v>
      </c>
      <c r="B35" s="130" t="s">
        <v>351</v>
      </c>
      <c r="C35" s="130"/>
      <c r="D35" s="208"/>
      <c r="E35" s="130" t="s">
        <v>352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1303.85491786444</v>
      </c>
      <c r="B36" s="228" t="str">
        <f aca="false">IF(B26="YES", K42, "0.00")</f>
        <v>0.00</v>
      </c>
      <c r="C36" s="228"/>
      <c r="D36" s="228"/>
      <c r="E36" s="228" t="n">
        <f aca="false">K31</f>
        <v>10800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353</v>
      </c>
      <c r="B39" s="130" t="s">
        <v>354</v>
      </c>
      <c r="C39" s="130"/>
      <c r="D39" s="208"/>
      <c r="E39" s="130" t="s">
        <v>355</v>
      </c>
      <c r="F39" s="183"/>
      <c r="G39" s="183"/>
      <c r="H39" s="47"/>
      <c r="J39" s="2" t="s">
        <v>87</v>
      </c>
      <c r="K39" s="2" t="n">
        <f aca="false">K33</f>
        <v>48877.5</v>
      </c>
      <c r="L39" s="2" t="n">
        <f aca="false">(L47*K46)+K44</f>
        <v>32852.7867930225</v>
      </c>
      <c r="N39" s="1" t="n">
        <f aca="false">K39-L39</f>
        <v>16024.7132069775</v>
      </c>
      <c r="P39" s="208"/>
    </row>
    <row r="40" customFormat="false" ht="17.35" hidden="false" customHeight="false" outlineLevel="0" collapsed="false">
      <c r="A40" s="333" t="n">
        <f aca="false">E36*A45/100</f>
        <v>10800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109</v>
      </c>
      <c r="K40" s="2" t="n">
        <f aca="false">(A40)/1.2</f>
        <v>9000</v>
      </c>
      <c r="L40" s="2" t="n">
        <f aca="false">K39-L39</f>
        <v>16024.7132069775</v>
      </c>
      <c r="N40" s="1" t="n">
        <f aca="false">N38-N39</f>
        <v>-13113.0332069775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356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357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358</v>
      </c>
      <c r="K43" s="2"/>
      <c r="L43" s="2"/>
      <c r="P43" s="208"/>
    </row>
    <row r="44" customFormat="false" ht="17.35" hidden="false" customHeight="false" outlineLevel="0" collapsed="false">
      <c r="A44" s="60" t="s">
        <v>79</v>
      </c>
      <c r="B44" s="130"/>
      <c r="C44" s="277" t="s">
        <v>80</v>
      </c>
      <c r="D44" s="277"/>
      <c r="E44" s="130"/>
      <c r="F44" s="130"/>
      <c r="G44" s="130"/>
      <c r="H44" s="33"/>
      <c r="J44" s="2" t="s">
        <v>359</v>
      </c>
      <c r="K44" s="2" t="n">
        <f aca="false">(K40/(1+K41)^(K36+1))</f>
        <v>7409.40991795322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360</v>
      </c>
      <c r="K45" s="2" t="n">
        <f aca="false">(K39-K44)</f>
        <v>41468.0900820468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361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362</v>
      </c>
      <c r="K47" s="2" t="n">
        <f aca="false">K45/K46</f>
        <v>1303.85491786444</v>
      </c>
      <c r="L47" s="2" t="n">
        <f aca="false">L49-K42</f>
        <v>800</v>
      </c>
      <c r="M47" s="1" t="n">
        <f aca="false">K47-L47</f>
        <v>503.854917864441</v>
      </c>
      <c r="P47" s="208"/>
    </row>
    <row r="48" customFormat="false" ht="31.8" hidden="false" customHeight="false" outlineLevel="0" collapsed="false">
      <c r="A48" s="66" t="s">
        <v>84</v>
      </c>
      <c r="B48" s="130"/>
      <c r="C48" s="130"/>
      <c r="D48" s="67"/>
      <c r="E48" s="67"/>
      <c r="F48" s="67"/>
      <c r="G48" s="67"/>
      <c r="H48" s="68"/>
      <c r="J48" s="55" t="s">
        <v>363</v>
      </c>
      <c r="K48" s="2" t="n">
        <f aca="false">IF(B26="YES", K47+K42, K47)</f>
        <v>1303.85491786444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364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85</v>
      </c>
      <c r="B50" s="71" t="s">
        <v>86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1303.85491786444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87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87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87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87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88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88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88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88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89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89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89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89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90</v>
      </c>
      <c r="B62" s="252" t="n">
        <v>0</v>
      </c>
      <c r="C62" s="130"/>
      <c r="D62" s="130"/>
      <c r="E62" s="109"/>
      <c r="F62" s="109"/>
      <c r="G62" s="109"/>
      <c r="H62" s="33"/>
      <c r="J62" s="78" t="s">
        <v>90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90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90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91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91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91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91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92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92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92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92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93</v>
      </c>
      <c r="B65" s="65" t="n">
        <f aca="false">(B89*B59)-(K47*K29)</f>
        <v>24948.8927958523</v>
      </c>
      <c r="C65" s="130"/>
      <c r="D65" s="130"/>
      <c r="E65" s="109"/>
      <c r="F65" s="109"/>
      <c r="G65" s="109"/>
      <c r="H65" s="33"/>
      <c r="J65" s="56" t="s">
        <v>93</v>
      </c>
      <c r="K65" s="65" t="n">
        <f aca="false">(K89*K59)-(K47*K29)</f>
        <v>5578.70623538621</v>
      </c>
      <c r="L65" s="130"/>
      <c r="M65" s="130"/>
      <c r="N65" s="109"/>
      <c r="O65" s="109"/>
      <c r="P65" s="109"/>
      <c r="Q65" s="33"/>
      <c r="S65" s="56" t="s">
        <v>93</v>
      </c>
      <c r="T65" s="65" t="n">
        <f aca="false">(T89*T59)-(K47*K29)</f>
        <v>16889.7242525263</v>
      </c>
      <c r="U65" s="130"/>
      <c r="V65" s="130"/>
      <c r="W65" s="109"/>
      <c r="X65" s="109"/>
      <c r="Y65" s="109"/>
      <c r="Z65" s="33"/>
      <c r="AB65" s="56" t="s">
        <v>93</v>
      </c>
      <c r="AC65" s="65" t="n">
        <f aca="false">(AC89*AC59)-(K47*K29)</f>
        <v>157.164775288125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94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94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94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94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95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95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95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95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96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96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96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96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97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97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97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97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98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98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98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98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99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99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99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99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100</v>
      </c>
      <c r="B72" s="86" t="n">
        <v>0</v>
      </c>
      <c r="C72" s="130"/>
      <c r="D72" s="130"/>
      <c r="E72" s="109"/>
      <c r="F72" s="109"/>
      <c r="G72" s="109"/>
      <c r="H72" s="33"/>
      <c r="J72" s="78" t="s">
        <v>100</v>
      </c>
      <c r="K72" s="86" t="n">
        <v>0</v>
      </c>
      <c r="L72" s="130"/>
      <c r="M72" s="130"/>
      <c r="N72" s="109"/>
      <c r="O72" s="109"/>
      <c r="P72" s="109"/>
      <c r="Q72" s="33"/>
      <c r="S72" s="78" t="s">
        <v>100</v>
      </c>
      <c r="T72" s="86" t="n">
        <v>0</v>
      </c>
      <c r="U72" s="130"/>
      <c r="V72" s="130"/>
      <c r="W72" s="109"/>
      <c r="X72" s="109"/>
      <c r="Y72" s="109"/>
      <c r="Z72" s="33"/>
      <c r="AB72" s="78" t="s">
        <v>100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101</v>
      </c>
      <c r="B73" s="77" t="n">
        <v>0</v>
      </c>
      <c r="C73" s="130"/>
      <c r="D73" s="130"/>
      <c r="E73" s="109"/>
      <c r="F73" s="109"/>
      <c r="G73" s="109"/>
      <c r="H73" s="33"/>
      <c r="J73" s="80" t="s">
        <v>101</v>
      </c>
      <c r="K73" s="77" t="n">
        <v>0</v>
      </c>
      <c r="L73" s="130"/>
      <c r="M73" s="130"/>
      <c r="N73" s="109"/>
      <c r="O73" s="109"/>
      <c r="P73" s="109"/>
      <c r="Q73" s="33"/>
      <c r="S73" s="80" t="s">
        <v>101</v>
      </c>
      <c r="T73" s="77" t="n">
        <v>0</v>
      </c>
      <c r="U73" s="130"/>
      <c r="V73" s="130"/>
      <c r="W73" s="109"/>
      <c r="X73" s="109"/>
      <c r="Y73" s="109"/>
      <c r="Z73" s="33"/>
      <c r="AB73" s="80" t="s">
        <v>101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102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102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102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102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103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103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103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103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104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104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104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104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105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105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105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105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106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106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106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106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107</v>
      </c>
      <c r="B79" s="59" t="n">
        <f aca="false">K47</f>
        <v>1303.85491786444</v>
      </c>
      <c r="C79" s="130"/>
      <c r="D79" s="130"/>
      <c r="E79" s="109"/>
      <c r="F79" s="109"/>
      <c r="G79" s="109"/>
      <c r="H79" s="33"/>
      <c r="J79" s="90" t="s">
        <v>107</v>
      </c>
      <c r="K79" s="59" t="n">
        <f aca="false">K47</f>
        <v>1303.85491786444</v>
      </c>
      <c r="L79" s="130"/>
      <c r="M79" s="130"/>
      <c r="N79" s="109"/>
      <c r="O79" s="109"/>
      <c r="P79" s="109"/>
      <c r="Q79" s="33"/>
      <c r="S79" s="90" t="s">
        <v>107</v>
      </c>
      <c r="T79" s="59" t="n">
        <f aca="false">B52</f>
        <v>1303.85491786444</v>
      </c>
      <c r="U79" s="130"/>
      <c r="V79" s="130"/>
      <c r="W79" s="109"/>
      <c r="X79" s="109"/>
      <c r="Y79" s="109"/>
      <c r="Z79" s="33"/>
      <c r="AB79" s="90" t="s">
        <v>107</v>
      </c>
      <c r="AC79" s="59" t="n">
        <f aca="false">B52</f>
        <v>1303.85491786444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108</v>
      </c>
      <c r="B81" s="27" t="n">
        <f aca="false">G158</f>
        <v>67730.004</v>
      </c>
      <c r="C81" s="130"/>
      <c r="D81" s="130"/>
      <c r="E81" s="109"/>
      <c r="F81" s="109"/>
      <c r="G81" s="109"/>
      <c r="H81" s="33"/>
      <c r="J81" s="25" t="s">
        <v>108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108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108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109</v>
      </c>
      <c r="B82" s="33" t="n">
        <f aca="false">A40</f>
        <v>10800</v>
      </c>
      <c r="C82" s="130"/>
      <c r="D82" s="130"/>
      <c r="E82" s="109"/>
      <c r="F82" s="109"/>
      <c r="G82" s="109"/>
      <c r="H82" s="33"/>
      <c r="J82" s="31" t="s">
        <v>109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109</v>
      </c>
      <c r="T82" s="33" t="n">
        <f aca="false">A40</f>
        <v>10800</v>
      </c>
      <c r="U82" s="130"/>
      <c r="V82" s="130"/>
      <c r="W82" s="109"/>
      <c r="X82" s="109"/>
      <c r="Y82" s="109"/>
      <c r="Z82" s="33"/>
      <c r="AB82" s="31" t="s">
        <v>109</v>
      </c>
      <c r="AC82" s="33" t="n">
        <f aca="false">A40</f>
        <v>10800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110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110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110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110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111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111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111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111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112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112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112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112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113</v>
      </c>
      <c r="B86" s="33" t="n">
        <f aca="false">(B82/((1+B84)^(B85+1)))</f>
        <v>7734.77563633703</v>
      </c>
      <c r="C86" s="130"/>
      <c r="D86" s="130"/>
      <c r="E86" s="109"/>
      <c r="F86" s="109"/>
      <c r="G86" s="109"/>
      <c r="H86" s="33"/>
      <c r="J86" s="31" t="s">
        <v>113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113</v>
      </c>
      <c r="T86" s="33" t="n">
        <f aca="false">(T82/((1+T84)^(T85+1)))</f>
        <v>7385.60831361469</v>
      </c>
      <c r="U86" s="130"/>
      <c r="V86" s="130"/>
      <c r="W86" s="109"/>
      <c r="X86" s="109"/>
      <c r="Y86" s="109"/>
      <c r="Z86" s="33"/>
      <c r="AB86" s="31" t="s">
        <v>113</v>
      </c>
      <c r="AC86" s="33" t="n">
        <f aca="false">(AC82/((1+AC84)^(AC85+1)))</f>
        <v>7385.60831361469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114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114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114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114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115</v>
      </c>
      <c r="B88" s="33" t="n">
        <f aca="false">B81-B86</f>
        <v>59995.228363663</v>
      </c>
      <c r="C88" s="130"/>
      <c r="D88" s="130"/>
      <c r="E88" s="109"/>
      <c r="F88" s="109"/>
      <c r="G88" s="109"/>
      <c r="H88" s="33"/>
      <c r="J88" s="31" t="s">
        <v>115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115</v>
      </c>
      <c r="T88" s="33" t="n">
        <f aca="false">T81-T86</f>
        <v>51998.8291763853</v>
      </c>
      <c r="U88" s="130"/>
      <c r="V88" s="130"/>
      <c r="W88" s="109"/>
      <c r="X88" s="109"/>
      <c r="Y88" s="109"/>
      <c r="Z88" s="33"/>
      <c r="AB88" s="31" t="s">
        <v>115</v>
      </c>
      <c r="AC88" s="33" t="n">
        <f aca="false">AC81-AC86</f>
        <v>38083.1406863853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116</v>
      </c>
      <c r="B89" s="33" t="n">
        <f aca="false">(B88/B87)</f>
        <v>2075.99455650317</v>
      </c>
      <c r="C89" s="130"/>
      <c r="D89" s="130"/>
      <c r="E89" s="109"/>
      <c r="F89" s="109"/>
      <c r="G89" s="109"/>
      <c r="H89" s="33"/>
      <c r="J89" s="31" t="s">
        <v>116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116</v>
      </c>
      <c r="T89" s="33" t="n">
        <f aca="false">(T88/T87)</f>
        <v>1838.96018758182</v>
      </c>
      <c r="U89" s="130"/>
      <c r="V89" s="130"/>
      <c r="W89" s="109"/>
      <c r="X89" s="109"/>
      <c r="Y89" s="109"/>
      <c r="Z89" s="33"/>
      <c r="AB89" s="31" t="s">
        <v>116</v>
      </c>
      <c r="AC89" s="33" t="n">
        <f aca="false">(AC88/AC87)</f>
        <v>1346.8260853101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117</v>
      </c>
      <c r="B90" s="33" t="n">
        <f aca="false">((B89*(B85))+B77)</f>
        <v>70583.8149211077</v>
      </c>
      <c r="C90" s="130"/>
      <c r="D90" s="130"/>
      <c r="E90" s="109"/>
      <c r="F90" s="109"/>
      <c r="G90" s="109"/>
      <c r="H90" s="33"/>
      <c r="J90" s="31" t="s">
        <v>117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117</v>
      </c>
      <c r="T90" s="33" t="n">
        <f aca="false">(T89*(T85))+T77</f>
        <v>62524.6463777818</v>
      </c>
      <c r="U90" s="130"/>
      <c r="V90" s="130"/>
      <c r="W90" s="109"/>
      <c r="X90" s="109"/>
      <c r="Y90" s="109"/>
      <c r="Z90" s="33"/>
      <c r="AB90" s="31" t="s">
        <v>117</v>
      </c>
      <c r="AC90" s="33" t="n">
        <f aca="false">(AC89*(AC59))+AC77</f>
        <v>45792.0869005436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118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118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118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118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119</v>
      </c>
      <c r="B92" s="65" t="n">
        <f aca="false">(B90+B91)</f>
        <v>70583.8149211077</v>
      </c>
      <c r="C92" s="130"/>
      <c r="D92" s="130"/>
      <c r="E92" s="109"/>
      <c r="F92" s="109"/>
      <c r="G92" s="109"/>
      <c r="H92" s="33"/>
      <c r="J92" s="56" t="s">
        <v>119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119</v>
      </c>
      <c r="T92" s="65" t="n">
        <f aca="false">(T90+T91)</f>
        <v>62524.6463777818</v>
      </c>
      <c r="U92" s="130"/>
      <c r="V92" s="130"/>
      <c r="W92" s="109"/>
      <c r="X92" s="109"/>
      <c r="Y92" s="109"/>
      <c r="Z92" s="33"/>
      <c r="AB92" s="56" t="s">
        <v>119</v>
      </c>
      <c r="AC92" s="65" t="n">
        <f aca="false">(AC90+AC91)</f>
        <v>45792.0869005436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120</v>
      </c>
      <c r="B94" s="89" t="str">
        <f aca="false">IF(B26="YES",((E40/B85)*(1+A108)),"0")</f>
        <v>0</v>
      </c>
      <c r="C94" s="130"/>
      <c r="D94" s="130"/>
      <c r="E94" s="109"/>
      <c r="F94" s="109"/>
      <c r="G94" s="109"/>
      <c r="H94" s="33"/>
      <c r="J94" s="88" t="s">
        <v>120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120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120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121</v>
      </c>
      <c r="B95" s="92" t="n">
        <f aca="false">B92/(B85)</f>
        <v>2075.99455650317</v>
      </c>
      <c r="C95" s="130"/>
      <c r="D95" s="130"/>
      <c r="E95" s="109"/>
      <c r="F95" s="109"/>
      <c r="G95" s="109"/>
      <c r="H95" s="33"/>
      <c r="J95" s="91" t="s">
        <v>121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121</v>
      </c>
      <c r="T95" s="92" t="n">
        <f aca="false">T92/(T85)</f>
        <v>1838.96018758182</v>
      </c>
      <c r="U95" s="130"/>
      <c r="V95" s="130"/>
      <c r="W95" s="109"/>
      <c r="X95" s="109"/>
      <c r="Y95" s="109"/>
      <c r="Z95" s="33"/>
      <c r="AB95" s="91" t="s">
        <v>121</v>
      </c>
      <c r="AC95" s="92" t="n">
        <f aca="false">AC92/(AC59)</f>
        <v>1346.8260853101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122</v>
      </c>
      <c r="B96" s="94" t="n">
        <f aca="false">(B94+B95)</f>
        <v>2075.99455650317</v>
      </c>
      <c r="C96" s="130"/>
      <c r="D96" s="130"/>
      <c r="E96" s="109"/>
      <c r="F96" s="109"/>
      <c r="G96" s="109"/>
      <c r="H96" s="33"/>
      <c r="J96" s="93" t="s">
        <v>122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122</v>
      </c>
      <c r="T96" s="94" t="n">
        <f aca="false">T94+T95</f>
        <v>1838.96018758182</v>
      </c>
      <c r="U96" s="130"/>
      <c r="V96" s="130"/>
      <c r="W96" s="109"/>
      <c r="X96" s="109"/>
      <c r="Y96" s="109"/>
      <c r="Z96" s="33"/>
      <c r="AB96" s="93" t="s">
        <v>122</v>
      </c>
      <c r="AC96" s="94" t="n">
        <f aca="false">AC94+AC95</f>
        <v>1346.8260853101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125</v>
      </c>
      <c r="B100" s="96"/>
      <c r="C100" s="96"/>
      <c r="D100" s="96"/>
      <c r="E100" s="96"/>
      <c r="F100" s="96"/>
      <c r="G100" s="96"/>
      <c r="H100" s="96"/>
      <c r="J100" s="96" t="s">
        <v>124</v>
      </c>
      <c r="K100" s="96"/>
      <c r="L100" s="96"/>
      <c r="M100" s="96"/>
      <c r="N100" s="96"/>
      <c r="O100" s="96"/>
      <c r="P100" s="96"/>
      <c r="Q100" s="96"/>
      <c r="S100" s="96" t="s">
        <v>125</v>
      </c>
      <c r="T100" s="96"/>
      <c r="U100" s="96"/>
      <c r="V100" s="96"/>
      <c r="W100" s="96"/>
      <c r="X100" s="96"/>
      <c r="Y100" s="96"/>
      <c r="Z100" s="96"/>
      <c r="AB100" s="96" t="s">
        <v>126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127</v>
      </c>
      <c r="B102" s="28"/>
      <c r="C102" s="28"/>
      <c r="D102" s="28"/>
      <c r="E102" s="28"/>
      <c r="F102" s="28"/>
      <c r="G102" s="28"/>
      <c r="H102" s="28"/>
      <c r="J102" s="28" t="s">
        <v>127</v>
      </c>
      <c r="K102" s="28"/>
      <c r="L102" s="28"/>
      <c r="M102" s="28"/>
      <c r="N102" s="28"/>
      <c r="O102" s="28"/>
      <c r="P102" s="28"/>
      <c r="Q102" s="28"/>
      <c r="S102" s="28" t="s">
        <v>127</v>
      </c>
      <c r="T102" s="28"/>
      <c r="U102" s="28"/>
      <c r="V102" s="28"/>
      <c r="W102" s="28"/>
      <c r="X102" s="28"/>
      <c r="Y102" s="28"/>
      <c r="Z102" s="28"/>
      <c r="AB102" s="28" t="s">
        <v>127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128</v>
      </c>
      <c r="B104" s="130" t="s">
        <v>23</v>
      </c>
      <c r="C104" s="130"/>
      <c r="D104" s="130"/>
      <c r="E104" s="130" t="s">
        <v>129</v>
      </c>
      <c r="F104" s="130"/>
      <c r="G104" s="130"/>
      <c r="H104" s="33"/>
      <c r="J104" s="31" t="s">
        <v>128</v>
      </c>
      <c r="K104" s="130" t="s">
        <v>23</v>
      </c>
      <c r="L104" s="130"/>
      <c r="M104" s="130"/>
      <c r="N104" s="130" t="s">
        <v>129</v>
      </c>
      <c r="O104" s="130"/>
      <c r="P104" s="130"/>
      <c r="Q104" s="33"/>
      <c r="S104" s="31" t="s">
        <v>128</v>
      </c>
      <c r="T104" s="130" t="s">
        <v>23</v>
      </c>
      <c r="U104" s="130"/>
      <c r="V104" s="130"/>
      <c r="W104" s="130" t="s">
        <v>129</v>
      </c>
      <c r="X104" s="130"/>
      <c r="Y104" s="130"/>
      <c r="Z104" s="33"/>
      <c r="AB104" s="31" t="s">
        <v>128</v>
      </c>
      <c r="AC104" s="130" t="s">
        <v>23</v>
      </c>
      <c r="AD104" s="130"/>
      <c r="AE104" s="130"/>
      <c r="AF104" s="130" t="s">
        <v>129</v>
      </c>
      <c r="AG104" s="130"/>
      <c r="AH104" s="130"/>
      <c r="AI104" s="33"/>
    </row>
    <row r="105" customFormat="false" ht="17.35" hidden="false" customHeight="false" outlineLevel="0" collapsed="false">
      <c r="A105" s="36" t="s">
        <v>130</v>
      </c>
      <c r="B105" s="99" t="s">
        <v>131</v>
      </c>
      <c r="C105" s="99"/>
      <c r="D105" s="99"/>
      <c r="E105" s="100" t="s">
        <v>19</v>
      </c>
      <c r="F105" s="100"/>
      <c r="G105" s="100"/>
      <c r="H105" s="98"/>
      <c r="J105" s="36" t="s">
        <v>130</v>
      </c>
      <c r="K105" s="99" t="s">
        <v>131</v>
      </c>
      <c r="L105" s="99"/>
      <c r="M105" s="99"/>
      <c r="N105" s="100" t="s">
        <v>18</v>
      </c>
      <c r="O105" s="100"/>
      <c r="P105" s="100"/>
      <c r="Q105" s="98"/>
      <c r="S105" s="36" t="s">
        <v>130</v>
      </c>
      <c r="T105" s="99" t="s">
        <v>131</v>
      </c>
      <c r="U105" s="99"/>
      <c r="V105" s="99"/>
      <c r="W105" s="100" t="s">
        <v>18</v>
      </c>
      <c r="X105" s="100"/>
      <c r="Y105" s="100"/>
      <c r="Z105" s="98"/>
      <c r="AB105" s="36" t="s">
        <v>130</v>
      </c>
      <c r="AC105" s="99" t="s">
        <v>131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132</v>
      </c>
      <c r="B107" s="130" t="s">
        <v>133</v>
      </c>
      <c r="C107" s="130"/>
      <c r="D107" s="109"/>
      <c r="E107" s="130" t="s">
        <v>134</v>
      </c>
      <c r="F107" s="130"/>
      <c r="G107" s="109"/>
      <c r="H107" s="98"/>
      <c r="J107" s="31" t="s">
        <v>132</v>
      </c>
      <c r="K107" s="130" t="s">
        <v>133</v>
      </c>
      <c r="L107" s="130"/>
      <c r="M107" s="109"/>
      <c r="N107" s="130" t="s">
        <v>134</v>
      </c>
      <c r="O107" s="130"/>
      <c r="P107" s="109"/>
      <c r="Q107" s="98"/>
      <c r="S107" s="31" t="s">
        <v>132</v>
      </c>
      <c r="T107" s="130" t="s">
        <v>133</v>
      </c>
      <c r="U107" s="130"/>
      <c r="V107" s="109"/>
      <c r="W107" s="130" t="s">
        <v>134</v>
      </c>
      <c r="X107" s="130"/>
      <c r="Y107" s="109"/>
      <c r="Z107" s="98"/>
      <c r="AB107" s="31" t="s">
        <v>132</v>
      </c>
      <c r="AC107" s="130" t="s">
        <v>133</v>
      </c>
      <c r="AD107" s="130"/>
      <c r="AE107" s="109"/>
      <c r="AF107" s="130" t="s">
        <v>134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263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135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136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136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137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135</v>
      </c>
    </row>
    <row r="110" customFormat="false" ht="17.35" hidden="false" customHeight="false" outlineLevel="0" collapsed="false">
      <c r="A110" s="31" t="s">
        <v>138</v>
      </c>
      <c r="B110" s="130" t="s">
        <v>139</v>
      </c>
      <c r="C110" s="130"/>
      <c r="D110" s="130"/>
      <c r="E110" s="130" t="s">
        <v>140</v>
      </c>
      <c r="F110" s="130"/>
      <c r="G110" s="130"/>
      <c r="H110" s="33"/>
      <c r="J110" s="31" t="s">
        <v>138</v>
      </c>
      <c r="K110" s="130" t="s">
        <v>139</v>
      </c>
      <c r="L110" s="130"/>
      <c r="M110" s="130"/>
      <c r="N110" s="130" t="s">
        <v>140</v>
      </c>
      <c r="O110" s="130"/>
      <c r="P110" s="130"/>
      <c r="Q110" s="33"/>
      <c r="S110" s="31" t="s">
        <v>138</v>
      </c>
      <c r="T110" s="130" t="s">
        <v>139</v>
      </c>
      <c r="U110" s="130"/>
      <c r="V110" s="130"/>
      <c r="W110" s="130" t="s">
        <v>140</v>
      </c>
      <c r="X110" s="130"/>
      <c r="Y110" s="130"/>
      <c r="Z110" s="33"/>
      <c r="AB110" s="31" t="s">
        <v>138</v>
      </c>
      <c r="AC110" s="130" t="s">
        <v>139</v>
      </c>
      <c r="AD110" s="130"/>
      <c r="AE110" s="130"/>
      <c r="AF110" s="130" t="s">
        <v>140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141</v>
      </c>
      <c r="B113" s="130" t="s">
        <v>142</v>
      </c>
      <c r="C113" s="130"/>
      <c r="D113" s="130"/>
      <c r="E113" s="130" t="s">
        <v>143</v>
      </c>
      <c r="F113" s="130"/>
      <c r="G113" s="109"/>
      <c r="H113" s="98"/>
      <c r="J113" s="106" t="s">
        <v>141</v>
      </c>
      <c r="K113" s="130" t="s">
        <v>142</v>
      </c>
      <c r="L113" s="130"/>
      <c r="M113" s="130"/>
      <c r="N113" s="130" t="s">
        <v>143</v>
      </c>
      <c r="O113" s="130"/>
      <c r="P113" s="109"/>
      <c r="Q113" s="98"/>
      <c r="S113" s="106" t="s">
        <v>141</v>
      </c>
      <c r="T113" s="130" t="s">
        <v>142</v>
      </c>
      <c r="U113" s="130"/>
      <c r="V113" s="130"/>
      <c r="W113" s="130" t="s">
        <v>143</v>
      </c>
      <c r="X113" s="130"/>
      <c r="Y113" s="109"/>
      <c r="Z113" s="98"/>
      <c r="AB113" s="106" t="s">
        <v>141</v>
      </c>
      <c r="AC113" s="130" t="s">
        <v>142</v>
      </c>
      <c r="AD113" s="130"/>
      <c r="AE113" s="130"/>
      <c r="AF113" s="130" t="s">
        <v>143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145</v>
      </c>
      <c r="K117" s="28"/>
      <c r="L117" s="28"/>
      <c r="M117" s="28"/>
      <c r="N117" s="28"/>
      <c r="O117" s="28"/>
      <c r="P117" s="28"/>
      <c r="Q117" s="28"/>
      <c r="S117" s="28" t="s">
        <v>145</v>
      </c>
      <c r="T117" s="28"/>
      <c r="U117" s="28"/>
      <c r="V117" s="28"/>
      <c r="W117" s="28"/>
      <c r="X117" s="28"/>
      <c r="Y117" s="28"/>
      <c r="Z117" s="28"/>
      <c r="AB117" s="28" t="s">
        <v>145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146</v>
      </c>
      <c r="C119" s="110"/>
      <c r="D119" s="110" t="s">
        <v>147</v>
      </c>
      <c r="E119" s="110"/>
      <c r="F119" s="110" t="s">
        <v>148</v>
      </c>
      <c r="G119" s="110"/>
      <c r="H119" s="111" t="s">
        <v>149</v>
      </c>
      <c r="J119" s="78"/>
      <c r="K119" s="110" t="s">
        <v>146</v>
      </c>
      <c r="L119" s="110"/>
      <c r="M119" s="110" t="s">
        <v>147</v>
      </c>
      <c r="N119" s="110"/>
      <c r="O119" s="110" t="s">
        <v>148</v>
      </c>
      <c r="P119" s="110"/>
      <c r="Q119" s="111" t="s">
        <v>149</v>
      </c>
      <c r="S119" s="78"/>
      <c r="T119" s="110" t="s">
        <v>146</v>
      </c>
      <c r="U119" s="110"/>
      <c r="V119" s="110" t="s">
        <v>147</v>
      </c>
      <c r="W119" s="110"/>
      <c r="X119" s="110" t="s">
        <v>148</v>
      </c>
      <c r="Y119" s="110"/>
      <c r="Z119" s="111" t="s">
        <v>149</v>
      </c>
      <c r="AB119" s="78"/>
      <c r="AC119" s="110" t="s">
        <v>146</v>
      </c>
      <c r="AD119" s="110"/>
      <c r="AE119" s="110" t="s">
        <v>147</v>
      </c>
      <c r="AF119" s="110"/>
      <c r="AG119" s="110" t="s">
        <v>148</v>
      </c>
      <c r="AH119" s="110"/>
      <c r="AI119" s="111" t="s">
        <v>149</v>
      </c>
    </row>
    <row r="120" customFormat="false" ht="19.7" hidden="false" customHeight="false" outlineLevel="0" collapsed="false">
      <c r="A120" s="80"/>
      <c r="B120" s="112" t="s">
        <v>150</v>
      </c>
      <c r="C120" s="113" t="s">
        <v>151</v>
      </c>
      <c r="D120" s="112" t="s">
        <v>150</v>
      </c>
      <c r="E120" s="114" t="s">
        <v>151</v>
      </c>
      <c r="F120" s="112" t="s">
        <v>150</v>
      </c>
      <c r="G120" s="114" t="s">
        <v>151</v>
      </c>
      <c r="H120" s="115"/>
      <c r="J120" s="80"/>
      <c r="K120" s="112" t="s">
        <v>150</v>
      </c>
      <c r="L120" s="113" t="s">
        <v>151</v>
      </c>
      <c r="M120" s="112" t="s">
        <v>150</v>
      </c>
      <c r="N120" s="114" t="s">
        <v>151</v>
      </c>
      <c r="O120" s="112" t="s">
        <v>150</v>
      </c>
      <c r="P120" s="114" t="s">
        <v>151</v>
      </c>
      <c r="Q120" s="115"/>
      <c r="S120" s="80"/>
      <c r="T120" s="112" t="s">
        <v>150</v>
      </c>
      <c r="U120" s="113" t="s">
        <v>151</v>
      </c>
      <c r="V120" s="112" t="s">
        <v>150</v>
      </c>
      <c r="W120" s="114" t="s">
        <v>151</v>
      </c>
      <c r="X120" s="112" t="s">
        <v>150</v>
      </c>
      <c r="Y120" s="114" t="s">
        <v>151</v>
      </c>
      <c r="Z120" s="115"/>
      <c r="AB120" s="80"/>
      <c r="AC120" s="112" t="s">
        <v>150</v>
      </c>
      <c r="AD120" s="113" t="s">
        <v>151</v>
      </c>
      <c r="AE120" s="112" t="s">
        <v>150</v>
      </c>
      <c r="AF120" s="114" t="s">
        <v>151</v>
      </c>
      <c r="AG120" s="112" t="s">
        <v>150</v>
      </c>
      <c r="AH120" s="114" t="s">
        <v>151</v>
      </c>
      <c r="AI120" s="115"/>
    </row>
    <row r="121" customFormat="false" ht="17.35" hidden="false" customHeight="false" outlineLevel="0" collapsed="false">
      <c r="A121" s="25" t="s">
        <v>152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152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152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152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153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48" t="n">
        <v>0</v>
      </c>
      <c r="H122" s="122"/>
      <c r="J122" s="31" t="s">
        <v>153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48" t="n">
        <f aca="false">O122</f>
        <v>0</v>
      </c>
      <c r="Q122" s="122"/>
      <c r="S122" s="31" t="s">
        <v>153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48" t="n">
        <f aca="false">X122</f>
        <v>0</v>
      </c>
      <c r="Z122" s="122"/>
      <c r="AB122" s="31" t="s">
        <v>153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48" t="n">
        <f aca="false">AG122</f>
        <v>0</v>
      </c>
      <c r="AI122" s="122"/>
    </row>
    <row r="123" customFormat="false" ht="17.35" hidden="false" customHeight="false" outlineLevel="0" collapsed="false">
      <c r="A123" s="31" t="s">
        <v>154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154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154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154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155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155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155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155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156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156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156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156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150</v>
      </c>
      <c r="H127" s="134" t="s">
        <v>151</v>
      </c>
      <c r="J127" s="131"/>
      <c r="K127" s="132"/>
      <c r="L127" s="132"/>
      <c r="M127" s="132"/>
      <c r="N127" s="132"/>
      <c r="O127" s="132"/>
      <c r="P127" s="133" t="s">
        <v>150</v>
      </c>
      <c r="Q127" s="134" t="s">
        <v>151</v>
      </c>
      <c r="S127" s="131"/>
      <c r="T127" s="132"/>
      <c r="U127" s="132"/>
      <c r="V127" s="132"/>
      <c r="W127" s="132"/>
      <c r="X127" s="132"/>
      <c r="Y127" s="133" t="s">
        <v>150</v>
      </c>
      <c r="Z127" s="134" t="s">
        <v>151</v>
      </c>
      <c r="AB127" s="131"/>
      <c r="AC127" s="132"/>
      <c r="AD127" s="132"/>
      <c r="AE127" s="132"/>
      <c r="AF127" s="132"/>
      <c r="AG127" s="132"/>
      <c r="AH127" s="133" t="s">
        <v>150</v>
      </c>
      <c r="AI127" s="134" t="s">
        <v>151</v>
      </c>
    </row>
    <row r="128" customFormat="false" ht="17.35" hidden="false" customHeight="false" outlineLevel="0" collapsed="false">
      <c r="A128" s="137" t="s">
        <v>157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157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157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157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158</v>
      </c>
      <c r="B130" s="141" t="s">
        <v>159</v>
      </c>
      <c r="C130" s="141"/>
      <c r="D130" s="141" t="s">
        <v>160</v>
      </c>
      <c r="E130" s="141"/>
      <c r="F130" s="141" t="s">
        <v>154</v>
      </c>
      <c r="G130" s="141"/>
      <c r="H130" s="142" t="s">
        <v>151</v>
      </c>
      <c r="J130" s="144" t="s">
        <v>158</v>
      </c>
      <c r="K130" s="141" t="s">
        <v>159</v>
      </c>
      <c r="L130" s="141"/>
      <c r="M130" s="141" t="s">
        <v>160</v>
      </c>
      <c r="N130" s="141"/>
      <c r="O130" s="141" t="s">
        <v>154</v>
      </c>
      <c r="P130" s="141"/>
      <c r="Q130" s="142" t="s">
        <v>151</v>
      </c>
      <c r="S130" s="144" t="s">
        <v>158</v>
      </c>
      <c r="T130" s="141" t="s">
        <v>159</v>
      </c>
      <c r="U130" s="141"/>
      <c r="V130" s="141" t="s">
        <v>160</v>
      </c>
      <c r="W130" s="141"/>
      <c r="X130" s="141" t="s">
        <v>154</v>
      </c>
      <c r="Y130" s="141"/>
      <c r="Z130" s="142" t="s">
        <v>151</v>
      </c>
      <c r="AB130" s="144" t="s">
        <v>158</v>
      </c>
      <c r="AC130" s="141" t="s">
        <v>159</v>
      </c>
      <c r="AD130" s="141"/>
      <c r="AE130" s="141" t="s">
        <v>160</v>
      </c>
      <c r="AF130" s="141"/>
      <c r="AG130" s="141" t="s">
        <v>154</v>
      </c>
      <c r="AH130" s="141"/>
      <c r="AI130" s="142" t="s">
        <v>151</v>
      </c>
    </row>
    <row r="131" customFormat="false" ht="17.35" hidden="false" customHeight="false" outlineLevel="0" collapsed="false">
      <c r="A131" s="31" t="s">
        <v>161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161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161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161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162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162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162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162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163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163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163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163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164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164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164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164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165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165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165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165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166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166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166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166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167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167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167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167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168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168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168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168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169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169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169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169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170</v>
      </c>
      <c r="B141" s="151"/>
      <c r="C141" s="151"/>
      <c r="D141" s="151"/>
      <c r="E141" s="151"/>
      <c r="F141" s="151"/>
      <c r="G141" s="449" t="n">
        <f aca="false">H15</f>
        <v>58525</v>
      </c>
      <c r="H141" s="154" t="n">
        <f aca="false">(H135+H136+H139+H140+H137)-H138</f>
        <v>70230.004</v>
      </c>
      <c r="J141" s="151" t="s">
        <v>170</v>
      </c>
      <c r="K141" s="151"/>
      <c r="L141" s="151"/>
      <c r="M141" s="151"/>
      <c r="N141" s="151"/>
      <c r="O141" s="151"/>
      <c r="P141" s="449" t="n">
        <f aca="false">H15</f>
        <v>58525</v>
      </c>
      <c r="Q141" s="154" t="n">
        <f aca="false">(Q135+Q136+Q139+Q140+Q137)-Q138</f>
        <v>36655</v>
      </c>
      <c r="S141" s="151" t="s">
        <v>170</v>
      </c>
      <c r="T141" s="151"/>
      <c r="U141" s="151"/>
      <c r="V141" s="151"/>
      <c r="W141" s="151"/>
      <c r="X141" s="151"/>
      <c r="Y141" s="449" t="n">
        <f aca="false">H15</f>
        <v>58525</v>
      </c>
      <c r="Z141" s="154" t="n">
        <f aca="false">(Z135+Z136+Z139+Z140+Z137)-Z138</f>
        <v>58384.43749</v>
      </c>
      <c r="AB141" s="151" t="s">
        <v>170</v>
      </c>
      <c r="AC141" s="151"/>
      <c r="AD141" s="151"/>
      <c r="AE141" s="151"/>
      <c r="AF141" s="151"/>
      <c r="AG141" s="151"/>
      <c r="AH141" s="449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171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171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171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171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172</v>
      </c>
      <c r="B143" s="107"/>
      <c r="C143" s="107"/>
      <c r="D143" s="107"/>
      <c r="E143" s="107"/>
      <c r="F143" s="107"/>
      <c r="G143" s="99"/>
      <c r="H143" s="33"/>
      <c r="J143" s="107" t="s">
        <v>172</v>
      </c>
      <c r="K143" s="107"/>
      <c r="L143" s="107"/>
      <c r="M143" s="107"/>
      <c r="N143" s="107"/>
      <c r="O143" s="107"/>
      <c r="P143" s="99"/>
      <c r="Q143" s="33"/>
      <c r="S143" s="107" t="s">
        <v>172</v>
      </c>
      <c r="T143" s="107"/>
      <c r="U143" s="107"/>
      <c r="V143" s="107"/>
      <c r="W143" s="107"/>
      <c r="X143" s="107"/>
      <c r="Y143" s="99"/>
      <c r="Z143" s="33"/>
      <c r="AB143" s="107" t="s">
        <v>172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173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173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173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173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173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173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173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173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173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173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173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173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174</v>
      </c>
      <c r="B147" s="151"/>
      <c r="C147" s="151"/>
      <c r="D147" s="151"/>
      <c r="E147" s="151"/>
      <c r="F147" s="151"/>
      <c r="G147" s="449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174</v>
      </c>
      <c r="K147" s="151"/>
      <c r="L147" s="151"/>
      <c r="M147" s="151"/>
      <c r="N147" s="151"/>
      <c r="O147" s="151"/>
      <c r="P147" s="449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174</v>
      </c>
      <c r="T147" s="151"/>
      <c r="U147" s="151"/>
      <c r="V147" s="151"/>
      <c r="W147" s="151"/>
      <c r="X147" s="151"/>
      <c r="Y147" s="449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174</v>
      </c>
      <c r="AC147" s="151"/>
      <c r="AD147" s="151"/>
      <c r="AE147" s="151"/>
      <c r="AF147" s="151"/>
      <c r="AG147" s="151"/>
      <c r="AH147" s="449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175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8128.475</v>
      </c>
      <c r="J148" s="151" t="s">
        <v>175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175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175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176</v>
      </c>
      <c r="B150" s="28"/>
      <c r="C150" s="28"/>
      <c r="D150" s="28"/>
      <c r="E150" s="28"/>
      <c r="F150" s="28"/>
      <c r="G150" s="28"/>
      <c r="H150" s="28"/>
      <c r="J150" s="28" t="s">
        <v>176</v>
      </c>
      <c r="K150" s="28"/>
      <c r="L150" s="28"/>
      <c r="M150" s="28"/>
      <c r="N150" s="28"/>
      <c r="O150" s="28"/>
      <c r="P150" s="28"/>
      <c r="Q150" s="28"/>
      <c r="S150" s="28" t="s">
        <v>176</v>
      </c>
      <c r="T150" s="28"/>
      <c r="U150" s="28"/>
      <c r="V150" s="28"/>
      <c r="W150" s="28"/>
      <c r="X150" s="28"/>
      <c r="Y150" s="28"/>
      <c r="Z150" s="28"/>
      <c r="AB150" s="28" t="s">
        <v>176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177</v>
      </c>
      <c r="B152" s="130"/>
      <c r="C152" s="130"/>
      <c r="D152" s="23"/>
      <c r="E152" s="103" t="n">
        <v>2000</v>
      </c>
      <c r="F152" s="103"/>
      <c r="G152" s="103" t="n">
        <v>1000</v>
      </c>
      <c r="H152" s="103"/>
      <c r="J152" s="31" t="s">
        <v>177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177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177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178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178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178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178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179</v>
      </c>
      <c r="B154" s="130"/>
      <c r="C154" s="130"/>
      <c r="D154" s="23"/>
      <c r="E154" s="163" t="n">
        <f aca="false">E152-E153</f>
        <v>1500</v>
      </c>
      <c r="F154" s="163"/>
      <c r="G154" s="164" t="n">
        <f aca="false">G152-G153</f>
        <v>500</v>
      </c>
      <c r="H154" s="164"/>
      <c r="J154" s="31" t="s">
        <v>179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179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179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180</v>
      </c>
      <c r="B155" s="130"/>
      <c r="C155" s="130"/>
      <c r="D155" s="23"/>
      <c r="E155" s="163" t="n">
        <f aca="false">E154-G154</f>
        <v>1000</v>
      </c>
      <c r="F155" s="163"/>
      <c r="G155" s="23"/>
      <c r="H155" s="33"/>
      <c r="J155" s="31" t="s">
        <v>180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180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180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181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181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181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181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182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182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182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182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183</v>
      </c>
      <c r="B162" s="28"/>
      <c r="C162" s="28"/>
      <c r="D162" s="28"/>
      <c r="E162" s="28"/>
      <c r="F162" s="28"/>
      <c r="G162" s="28"/>
      <c r="H162" s="28"/>
      <c r="J162" s="28" t="s">
        <v>183</v>
      </c>
      <c r="K162" s="28"/>
      <c r="L162" s="28"/>
      <c r="M162" s="28"/>
      <c r="N162" s="28"/>
      <c r="O162" s="28"/>
      <c r="P162" s="28"/>
      <c r="Q162" s="28"/>
      <c r="S162" s="28" t="s">
        <v>183</v>
      </c>
      <c r="T162" s="28"/>
      <c r="U162" s="28"/>
      <c r="V162" s="28"/>
      <c r="W162" s="28"/>
      <c r="X162" s="28"/>
      <c r="Y162" s="28"/>
      <c r="Z162" s="28"/>
      <c r="AB162" s="28" t="s">
        <v>183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184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184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184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184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185</v>
      </c>
      <c r="B166" s="171" t="s">
        <v>186</v>
      </c>
      <c r="C166" s="171"/>
      <c r="D166" s="171"/>
      <c r="E166" s="171" t="s">
        <v>187</v>
      </c>
      <c r="F166" s="23"/>
      <c r="G166" s="23"/>
      <c r="H166" s="33"/>
      <c r="J166" s="170" t="s">
        <v>185</v>
      </c>
      <c r="K166" s="171" t="s">
        <v>186</v>
      </c>
      <c r="L166" s="171"/>
      <c r="M166" s="171"/>
      <c r="N166" s="171" t="s">
        <v>187</v>
      </c>
      <c r="O166" s="23"/>
      <c r="P166" s="23"/>
      <c r="Q166" s="33"/>
      <c r="S166" s="170" t="s">
        <v>185</v>
      </c>
      <c r="T166" s="171" t="s">
        <v>186</v>
      </c>
      <c r="U166" s="171"/>
      <c r="V166" s="171"/>
      <c r="W166" s="171" t="s">
        <v>187</v>
      </c>
      <c r="X166" s="23"/>
      <c r="Y166" s="23"/>
      <c r="Z166" s="33"/>
      <c r="AB166" s="170" t="s">
        <v>185</v>
      </c>
      <c r="AC166" s="171" t="s">
        <v>186</v>
      </c>
      <c r="AD166" s="171"/>
      <c r="AE166" s="171"/>
      <c r="AF166" s="171" t="s">
        <v>187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2075.99455650317</v>
      </c>
      <c r="B167" s="174" t="str">
        <f aca="false">B94</f>
        <v>0</v>
      </c>
      <c r="C167" s="171"/>
      <c r="D167" s="171"/>
      <c r="E167" s="174" t="n">
        <f aca="false">B96</f>
        <v>2075.99455650317</v>
      </c>
      <c r="F167" s="23"/>
      <c r="G167" s="23"/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1838.96018758182</v>
      </c>
      <c r="T167" s="174" t="n">
        <f aca="false">T94</f>
        <v>0</v>
      </c>
      <c r="U167" s="171"/>
      <c r="V167" s="171"/>
      <c r="W167" s="174" t="n">
        <f aca="false">T96</f>
        <v>1838.96018758182</v>
      </c>
      <c r="X167" s="23"/>
      <c r="Y167" s="23"/>
      <c r="Z167" s="33"/>
      <c r="AB167" s="173" t="n">
        <f aca="false">AC95</f>
        <v>1346.8260853101</v>
      </c>
      <c r="AC167" s="174" t="n">
        <f aca="false">AC94</f>
        <v>0</v>
      </c>
      <c r="AD167" s="171"/>
      <c r="AE167" s="171"/>
      <c r="AF167" s="174" t="n">
        <f aca="false">AC96</f>
        <v>1346.8260853101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85</v>
      </c>
      <c r="B169" s="130" t="s">
        <v>86</v>
      </c>
      <c r="C169" s="130"/>
      <c r="D169" s="23"/>
      <c r="E169" s="130" t="s">
        <v>188</v>
      </c>
      <c r="F169" s="23"/>
      <c r="G169" s="23"/>
      <c r="H169" s="33"/>
      <c r="J169" s="31" t="s">
        <v>85</v>
      </c>
      <c r="K169" s="130" t="s">
        <v>86</v>
      </c>
      <c r="L169" s="130"/>
      <c r="M169" s="23"/>
      <c r="N169" s="130" t="s">
        <v>188</v>
      </c>
      <c r="O169" s="23"/>
      <c r="P169" s="23"/>
      <c r="Q169" s="33"/>
      <c r="S169" s="31" t="s">
        <v>85</v>
      </c>
      <c r="T169" s="130" t="s">
        <v>86</v>
      </c>
      <c r="U169" s="130"/>
      <c r="V169" s="23"/>
      <c r="W169" s="130" t="s">
        <v>188</v>
      </c>
      <c r="X169" s="23"/>
      <c r="Y169" s="23"/>
      <c r="Z169" s="33"/>
      <c r="AB169" s="31" t="s">
        <v>85</v>
      </c>
      <c r="AC169" s="130" t="s">
        <v>86</v>
      </c>
      <c r="AD169" s="130"/>
      <c r="AE169" s="23"/>
      <c r="AF169" s="130" t="s">
        <v>188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10800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10800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10800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10800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130" t="s">
        <v>190</v>
      </c>
      <c r="C172" s="130"/>
      <c r="D172" s="23"/>
      <c r="E172" s="130" t="s">
        <v>191</v>
      </c>
      <c r="F172" s="23"/>
      <c r="G172" s="23"/>
      <c r="H172" s="33"/>
      <c r="J172" s="31" t="s">
        <v>189</v>
      </c>
      <c r="K172" s="130" t="s">
        <v>190</v>
      </c>
      <c r="L172" s="130"/>
      <c r="M172" s="23"/>
      <c r="N172" s="130" t="s">
        <v>191</v>
      </c>
      <c r="O172" s="23"/>
      <c r="P172" s="23"/>
      <c r="Q172" s="33"/>
      <c r="S172" s="31" t="s">
        <v>189</v>
      </c>
      <c r="T172" s="130" t="s">
        <v>190</v>
      </c>
      <c r="U172" s="130"/>
      <c r="V172" s="23"/>
      <c r="W172" s="130" t="s">
        <v>191</v>
      </c>
      <c r="X172" s="23"/>
      <c r="Y172" s="23"/>
      <c r="Z172" s="33"/>
      <c r="AB172" s="31" t="s">
        <v>189</v>
      </c>
      <c r="AC172" s="130" t="s">
        <v>190</v>
      </c>
      <c r="AD172" s="130"/>
      <c r="AE172" s="23"/>
      <c r="AF172" s="130" t="s">
        <v>191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130" t="s">
        <v>139</v>
      </c>
      <c r="C175" s="130"/>
      <c r="D175" s="23"/>
      <c r="E175" s="130" t="s">
        <v>140</v>
      </c>
      <c r="F175" s="23"/>
      <c r="G175" s="23"/>
      <c r="H175" s="33"/>
      <c r="J175" s="31" t="s">
        <v>192</v>
      </c>
      <c r="K175" s="130" t="s">
        <v>139</v>
      </c>
      <c r="L175" s="130"/>
      <c r="M175" s="23"/>
      <c r="N175" s="130" t="s">
        <v>140</v>
      </c>
      <c r="O175" s="23"/>
      <c r="P175" s="23"/>
      <c r="Q175" s="33"/>
      <c r="S175" s="31" t="s">
        <v>192</v>
      </c>
      <c r="T175" s="130" t="s">
        <v>139</v>
      </c>
      <c r="U175" s="130"/>
      <c r="V175" s="23"/>
      <c r="W175" s="130" t="s">
        <v>140</v>
      </c>
      <c r="X175" s="23"/>
      <c r="Y175" s="23"/>
      <c r="Z175" s="33"/>
      <c r="AB175" s="31" t="s">
        <v>192</v>
      </c>
      <c r="AC175" s="130" t="s">
        <v>139</v>
      </c>
      <c r="AD175" s="130"/>
      <c r="AE175" s="23"/>
      <c r="AF175" s="130" t="s">
        <v>140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141</v>
      </c>
      <c r="B178" s="130" t="s">
        <v>177</v>
      </c>
      <c r="C178" s="130"/>
      <c r="D178" s="23"/>
      <c r="E178" s="130" t="s">
        <v>182</v>
      </c>
      <c r="F178" s="23"/>
      <c r="G178" s="23"/>
      <c r="H178" s="33"/>
      <c r="J178" s="31" t="s">
        <v>141</v>
      </c>
      <c r="K178" s="130" t="s">
        <v>177</v>
      </c>
      <c r="L178" s="130"/>
      <c r="M178" s="23"/>
      <c r="N178" s="130" t="s">
        <v>182</v>
      </c>
      <c r="O178" s="23"/>
      <c r="P178" s="23"/>
      <c r="Q178" s="33"/>
      <c r="S178" s="31" t="s">
        <v>141</v>
      </c>
      <c r="T178" s="130" t="s">
        <v>177</v>
      </c>
      <c r="U178" s="130"/>
      <c r="V178" s="23"/>
      <c r="W178" s="130" t="s">
        <v>182</v>
      </c>
      <c r="X178" s="23"/>
      <c r="Y178" s="23"/>
      <c r="Z178" s="33"/>
      <c r="AB178" s="31" t="s">
        <v>141</v>
      </c>
      <c r="AC178" s="130" t="s">
        <v>177</v>
      </c>
      <c r="AD178" s="130"/>
      <c r="AE178" s="23"/>
      <c r="AF178" s="130" t="s">
        <v>182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130" t="s">
        <v>53</v>
      </c>
      <c r="C181" s="130"/>
      <c r="D181" s="23"/>
      <c r="E181" s="130" t="s">
        <v>194</v>
      </c>
      <c r="F181" s="23"/>
      <c r="G181" s="23"/>
      <c r="H181" s="33"/>
      <c r="J181" s="31" t="s">
        <v>193</v>
      </c>
      <c r="K181" s="130" t="s">
        <v>53</v>
      </c>
      <c r="L181" s="130"/>
      <c r="M181" s="23"/>
      <c r="N181" s="130" t="s">
        <v>194</v>
      </c>
      <c r="O181" s="23"/>
      <c r="P181" s="23"/>
      <c r="Q181" s="33"/>
      <c r="S181" s="31" t="s">
        <v>193</v>
      </c>
      <c r="T181" s="130" t="s">
        <v>53</v>
      </c>
      <c r="U181" s="130"/>
      <c r="V181" s="23"/>
      <c r="W181" s="130" t="s">
        <v>194</v>
      </c>
      <c r="X181" s="23"/>
      <c r="Y181" s="23"/>
      <c r="Z181" s="33"/>
      <c r="AB181" s="31" t="s">
        <v>193</v>
      </c>
      <c r="AC181" s="130" t="s">
        <v>53</v>
      </c>
      <c r="AD181" s="130"/>
      <c r="AE181" s="23"/>
      <c r="AF181" s="130" t="s">
        <v>194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13653.8109211077</v>
      </c>
      <c r="B182" s="99" t="str">
        <f aca="false">B114</f>
        <v>199.99</v>
      </c>
      <c r="C182" s="99"/>
      <c r="D182" s="23"/>
      <c r="E182" s="99" t="n">
        <f aca="false">E179+A182+B182+A185</f>
        <v>81593.8049211077</v>
      </c>
      <c r="F182" s="23"/>
      <c r="G182" s="23"/>
      <c r="H182" s="101"/>
      <c r="J182" s="107" t="n">
        <f aca="false">(J167*K59)+N185-N179-J185</f>
        <v>24358.6283606416</v>
      </c>
      <c r="K182" s="99" t="n">
        <f aca="false">K114</f>
        <v>239.99</v>
      </c>
      <c r="L182" s="99"/>
      <c r="M182" s="23"/>
      <c r="N182" s="99" t="n">
        <f aca="false">N179+J182+K182+J185</f>
        <v>62273.6183606416</v>
      </c>
      <c r="O182" s="23"/>
      <c r="P182" s="23"/>
      <c r="Q182" s="101"/>
      <c r="S182" s="107" t="n">
        <f aca="false">(S167*T59)+W185-W179-S185</f>
        <v>13940.2088877818</v>
      </c>
      <c r="T182" s="99" t="n">
        <f aca="false">T114</f>
        <v>199.99</v>
      </c>
      <c r="U182" s="99"/>
      <c r="V182" s="23"/>
      <c r="W182" s="99" t="n">
        <f aca="false">W179+S182+T182+S185</f>
        <v>73534.6363777818</v>
      </c>
      <c r="X182" s="23"/>
      <c r="Y182" s="23"/>
      <c r="Z182" s="101"/>
      <c r="AB182" s="107" t="n">
        <f aca="false">(AB167*AC59)+AF185-AF179-AB185</f>
        <v>11123.3379005435</v>
      </c>
      <c r="AC182" s="99" t="n">
        <f aca="false">AC114</f>
        <v>239.99</v>
      </c>
      <c r="AD182" s="99"/>
      <c r="AE182" s="23"/>
      <c r="AF182" s="99" t="n">
        <f aca="false">AF179+AB182+AC182+AB185</f>
        <v>56842.0769005436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130" t="s">
        <v>196</v>
      </c>
      <c r="C184" s="130"/>
      <c r="D184" s="23"/>
      <c r="E184" s="130" t="s">
        <v>197</v>
      </c>
      <c r="F184" s="23"/>
      <c r="G184" s="23"/>
      <c r="H184" s="33"/>
      <c r="J184" s="31" t="s">
        <v>195</v>
      </c>
      <c r="K184" s="130" t="s">
        <v>196</v>
      </c>
      <c r="L184" s="130"/>
      <c r="M184" s="23"/>
      <c r="N184" s="130" t="s">
        <v>197</v>
      </c>
      <c r="O184" s="23"/>
      <c r="P184" s="23"/>
      <c r="Q184" s="33"/>
      <c r="S184" s="31" t="s">
        <v>195</v>
      </c>
      <c r="T184" s="130" t="s">
        <v>196</v>
      </c>
      <c r="U184" s="130"/>
      <c r="V184" s="23"/>
      <c r="W184" s="130" t="s">
        <v>197</v>
      </c>
      <c r="X184" s="23"/>
      <c r="Y184" s="23"/>
      <c r="Z184" s="33"/>
      <c r="AB184" s="31" t="s">
        <v>195</v>
      </c>
      <c r="AC184" s="130" t="s">
        <v>196</v>
      </c>
      <c r="AD184" s="130"/>
      <c r="AE184" s="23"/>
      <c r="AF184" s="130" t="s">
        <v>197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E170+A185</f>
        <v>10810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10820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10810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10810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130" t="s">
        <v>199</v>
      </c>
      <c r="C187" s="130"/>
      <c r="D187" s="130"/>
      <c r="E187" s="163" t="s">
        <v>200</v>
      </c>
      <c r="F187" s="23"/>
      <c r="G187" s="23"/>
      <c r="H187" s="33"/>
      <c r="J187" s="31" t="s">
        <v>198</v>
      </c>
      <c r="K187" s="130" t="s">
        <v>199</v>
      </c>
      <c r="L187" s="130"/>
      <c r="M187" s="130"/>
      <c r="N187" s="163" t="s">
        <v>200</v>
      </c>
      <c r="O187" s="23"/>
      <c r="P187" s="23"/>
      <c r="Q187" s="33"/>
      <c r="S187" s="31" t="s">
        <v>198</v>
      </c>
      <c r="T187" s="130" t="s">
        <v>199</v>
      </c>
      <c r="U187" s="130"/>
      <c r="V187" s="130"/>
      <c r="W187" s="163" t="s">
        <v>200</v>
      </c>
      <c r="X187" s="32"/>
      <c r="Y187" s="32"/>
      <c r="Z187" s="33"/>
      <c r="AB187" s="31" t="s">
        <v>198</v>
      </c>
      <c r="AC187" s="130" t="s">
        <v>199</v>
      </c>
      <c r="AD187" s="130"/>
      <c r="AE187" s="130"/>
      <c r="AF187" s="163" t="s">
        <v>200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3" t="s">
        <v>202</v>
      </c>
      <c r="C190" s="130"/>
      <c r="D190" s="130"/>
      <c r="E190" s="163" t="s">
        <v>203</v>
      </c>
      <c r="F190" s="23"/>
      <c r="G190" s="23"/>
      <c r="H190" s="33"/>
      <c r="J190" s="60" t="s">
        <v>201</v>
      </c>
      <c r="K190" s="163" t="s">
        <v>202</v>
      </c>
      <c r="L190" s="130"/>
      <c r="M190" s="130"/>
      <c r="N190" s="163" t="s">
        <v>203</v>
      </c>
      <c r="O190" s="23"/>
      <c r="P190" s="23"/>
      <c r="Q190" s="33"/>
      <c r="S190" s="60" t="s">
        <v>201</v>
      </c>
      <c r="T190" s="163" t="s">
        <v>202</v>
      </c>
      <c r="U190" s="130"/>
      <c r="V190" s="130"/>
      <c r="W190" s="163" t="s">
        <v>203</v>
      </c>
      <c r="X190" s="32"/>
      <c r="Y190" s="32"/>
      <c r="Z190" s="33"/>
      <c r="AB190" s="60" t="s">
        <v>201</v>
      </c>
      <c r="AC190" s="163" t="s">
        <v>202</v>
      </c>
      <c r="AD190" s="130"/>
      <c r="AE190" s="130"/>
      <c r="AF190" s="163" t="s">
        <v>203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130"/>
      <c r="C193" s="130"/>
      <c r="D193" s="67"/>
      <c r="E193" s="67"/>
      <c r="F193" s="67"/>
      <c r="G193" s="67"/>
      <c r="H193" s="68"/>
      <c r="J193" s="66" t="s">
        <v>204</v>
      </c>
      <c r="K193" s="130"/>
      <c r="L193" s="130"/>
      <c r="M193" s="67"/>
      <c r="N193" s="67"/>
      <c r="O193" s="67"/>
      <c r="P193" s="67"/>
      <c r="Q193" s="68"/>
      <c r="S193" s="66" t="s">
        <v>204</v>
      </c>
      <c r="T193" s="130"/>
      <c r="U193" s="130"/>
      <c r="V193" s="67"/>
      <c r="W193" s="67"/>
      <c r="X193" s="67"/>
      <c r="Y193" s="67"/>
      <c r="Z193" s="68"/>
      <c r="AB193" s="66" t="s">
        <v>204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85</v>
      </c>
      <c r="B195" s="71" t="s">
        <v>86</v>
      </c>
      <c r="C195" s="71"/>
      <c r="D195" s="71"/>
      <c r="E195" s="23"/>
      <c r="F195" s="23"/>
      <c r="G195" s="23"/>
      <c r="H195" s="33"/>
      <c r="J195" s="184" t="s">
        <v>85</v>
      </c>
      <c r="K195" s="71" t="s">
        <v>86</v>
      </c>
      <c r="L195" s="71"/>
      <c r="M195" s="71"/>
      <c r="N195" s="23"/>
      <c r="O195" s="23"/>
      <c r="P195" s="23"/>
      <c r="Q195" s="33"/>
      <c r="S195" s="184" t="s">
        <v>85</v>
      </c>
      <c r="T195" s="71" t="s">
        <v>86</v>
      </c>
      <c r="U195" s="71"/>
      <c r="V195" s="71"/>
      <c r="W195" s="23"/>
      <c r="X195" s="23"/>
      <c r="Y195" s="23"/>
      <c r="Z195" s="33"/>
      <c r="AB195" s="184" t="s">
        <v>85</v>
      </c>
      <c r="AC195" s="71" t="s">
        <v>86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2075.99455650317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1838.96018758182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1346.8260853101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183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128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205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185</v>
      </c>
      <c r="B211" s="189" t="s">
        <v>186</v>
      </c>
      <c r="C211" s="189"/>
      <c r="D211" s="189"/>
      <c r="E211" s="189" t="s">
        <v>187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2075.99455650317</v>
      </c>
      <c r="B212" s="174" t="str">
        <f aca="false">B167</f>
        <v>0</v>
      </c>
      <c r="C212" s="171"/>
      <c r="D212" s="171"/>
      <c r="E212" s="174" t="n">
        <f aca="false">E167</f>
        <v>2075.99455650317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189</v>
      </c>
      <c r="B214" s="130" t="s">
        <v>190</v>
      </c>
      <c r="C214" s="130"/>
      <c r="D214" s="109"/>
      <c r="E214" s="130" t="s">
        <v>191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192</v>
      </c>
      <c r="B217" s="130" t="s">
        <v>139</v>
      </c>
      <c r="C217" s="130"/>
      <c r="D217" s="109"/>
      <c r="E217" s="130" t="s">
        <v>140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141</v>
      </c>
      <c r="B220" s="130" t="s">
        <v>177</v>
      </c>
      <c r="C220" s="130"/>
      <c r="D220" s="109"/>
      <c r="E220" s="130" t="s">
        <v>182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193</v>
      </c>
      <c r="B223" s="130" t="s">
        <v>53</v>
      </c>
      <c r="C223" s="130"/>
      <c r="D223" s="109"/>
      <c r="E223" s="130" t="s">
        <v>194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13653.8109211077</v>
      </c>
      <c r="B224" s="99" t="str">
        <f aca="false">B182</f>
        <v>199.99</v>
      </c>
      <c r="C224" s="99"/>
      <c r="D224" s="109"/>
      <c r="E224" s="99" t="n">
        <f aca="false">E182</f>
        <v>81593.8049211077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195</v>
      </c>
      <c r="B226" s="130" t="s">
        <v>196</v>
      </c>
      <c r="C226" s="130"/>
      <c r="D226" s="109"/>
      <c r="E226" s="130" t="s">
        <v>206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185</v>
      </c>
      <c r="B229" s="130" t="s">
        <v>186</v>
      </c>
      <c r="C229" s="130"/>
      <c r="D229" s="130"/>
      <c r="E229" s="130" t="s">
        <v>187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2075.99455650317</v>
      </c>
      <c r="B230" s="99" t="str">
        <f aca="false">B167</f>
        <v>0</v>
      </c>
      <c r="C230" s="183"/>
      <c r="D230" s="183"/>
      <c r="E230" s="99" t="n">
        <f aca="false">E167</f>
        <v>2075.99455650317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207</v>
      </c>
      <c r="B232" s="130" t="s">
        <v>208</v>
      </c>
      <c r="C232" s="130"/>
      <c r="D232" s="130"/>
      <c r="E232" s="130" t="s">
        <v>69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10800</v>
      </c>
      <c r="B233" s="99" t="n">
        <f aca="false">E185</f>
        <v>10810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209</v>
      </c>
      <c r="B235" s="163" t="s">
        <v>75</v>
      </c>
      <c r="C235" s="130"/>
      <c r="D235" s="130"/>
      <c r="E235" s="163" t="s">
        <v>133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210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211</v>
      </c>
      <c r="B239" s="130" t="s">
        <v>199</v>
      </c>
      <c r="C239" s="130"/>
      <c r="D239" s="130"/>
      <c r="E239" s="163" t="s">
        <v>200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201</v>
      </c>
      <c r="B242" s="163" t="s">
        <v>202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212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213</v>
      </c>
      <c r="B253" s="193" t="n">
        <f aca="false">K35</f>
        <v>0.065</v>
      </c>
      <c r="C253" s="194"/>
      <c r="D253" s="195" t="s">
        <v>214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215</v>
      </c>
      <c r="B254" s="196"/>
      <c r="C254" s="194"/>
      <c r="D254" s="195" t="s">
        <v>216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217</v>
      </c>
      <c r="B255" s="196" t="n">
        <f aca="false">F262+B263</f>
        <v>99.99</v>
      </c>
      <c r="C255" s="194"/>
      <c r="D255" s="195" t="s">
        <v>218</v>
      </c>
      <c r="E255" s="195"/>
      <c r="F255" s="196" t="n">
        <f aca="false">(B254-F254)+B255</f>
        <v>-563.1996225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213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219</v>
      </c>
      <c r="B259" s="201" t="n">
        <f aca="false">B64</f>
        <v>0.05</v>
      </c>
      <c r="C259" s="32"/>
      <c r="D259" s="163" t="s">
        <v>220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214</v>
      </c>
      <c r="B260" s="205" t="n">
        <f aca="false">B83</f>
        <v>0.115</v>
      </c>
      <c r="C260" s="43"/>
      <c r="D260" s="163" t="s">
        <v>215</v>
      </c>
      <c r="E260" s="163"/>
      <c r="F260" s="143" t="n">
        <f aca="false">(B89*B59)-(C89*B59)</f>
        <v>70583.8149211077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5" t="n">
        <f aca="false">B67</f>
        <v>0.00979166666666667</v>
      </c>
      <c r="C261" s="32"/>
      <c r="D261" s="163" t="s">
        <v>221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1" t="n">
        <f aca="false">A108</f>
        <v>0.2</v>
      </c>
      <c r="C262" s="32"/>
      <c r="D262" s="163" t="s">
        <v>222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3" t="n">
        <f aca="false">A243</f>
        <v>99.99</v>
      </c>
      <c r="C263" s="32"/>
      <c r="D263" s="39" t="s">
        <v>218</v>
      </c>
      <c r="E263" s="39"/>
      <c r="F263" s="143" t="n">
        <f aca="false">(B254-F254)+B255</f>
        <v>-563.1996225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224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225</v>
      </c>
      <c r="B266" s="148" t="n">
        <v>0</v>
      </c>
      <c r="C266" s="32"/>
      <c r="D266" s="206" t="s">
        <v>226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227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07" t="s">
        <v>4</v>
      </c>
      <c r="C268" s="32"/>
      <c r="D268" s="163" t="s">
        <v>229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230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87" activeCellId="1" sqref="A37 B8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5250.0</v>
      </c>
      <c r="I31" s="234" t="n">
        <f aca="false">IF(C107="YES",H31,0)</f>
        <v>18000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3509.1000000000004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1282.52199265886</v>
      </c>
      <c r="E33" s="212"/>
      <c r="F33" s="63"/>
      <c r="G33" s="215" t="s">
        <v>349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1148.54199265886</v>
      </c>
      <c r="B36" s="99" t="n">
        <f aca="false">IF(B26="YES", H42, "")</f>
        <v>133.98</v>
      </c>
      <c r="C36" s="217"/>
      <c r="D36" s="181" t="n">
        <f aca="false">I31</f>
        <v>18000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52613.796519141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18000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109</v>
      </c>
      <c r="H40" s="234" t="n">
        <f aca="false">A40/1.2</f>
        <v>15000</v>
      </c>
      <c r="I40" s="234" t="n">
        <f aca="false">H39-I39</f>
        <v>-3736.29651914099</v>
      </c>
      <c r="J40" s="63" t="n">
        <v>30000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12349.016529922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36528.483470078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1148.54199265886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1282.52199265886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1282.52199265886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0.103541666666667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0.103541666666667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5993.509375</v>
      </c>
      <c r="C64" s="211" t="n">
        <v>10000.0</v>
      </c>
      <c r="D64" s="277" t="n">
        <f aca="false">B64-A143</f>
        <v>5993.509375</v>
      </c>
      <c r="E64" s="212"/>
      <c r="F64" s="63"/>
      <c r="G64" s="310" t="s">
        <v>93</v>
      </c>
      <c r="H64" s="129" t="n">
        <f aca="false">H61*H63</f>
        <v>5993.509375</v>
      </c>
      <c r="I64" s="211"/>
      <c r="J64" s="277" t="n">
        <f aca="false">H64-G145</f>
        <v>5993.509375</v>
      </c>
      <c r="K64" s="212"/>
      <c r="L64" s="63"/>
      <c r="M64" s="310" t="s">
        <v>93</v>
      </c>
      <c r="N64" s="129" t="n">
        <f aca="false">N61*N63</f>
        <v>5993.509375</v>
      </c>
      <c r="O64" s="211"/>
      <c r="P64" s="277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0.0195833333333333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0.0195833333333333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(B61*B66)</f>
        <v>1133.58125</v>
      </c>
      <c r="C67" s="211"/>
      <c r="D67" s="277"/>
      <c r="E67" s="212"/>
      <c r="F67" s="63"/>
      <c r="G67" s="310" t="s">
        <v>96</v>
      </c>
      <c r="H67" s="129" t="n">
        <f aca="false">(H61*H66)/1.2</f>
        <v>944.651041666667</v>
      </c>
      <c r="I67" s="211"/>
      <c r="J67" s="277"/>
      <c r="K67" s="212"/>
      <c r="L67" s="63"/>
      <c r="M67" s="310" t="s">
        <v>96</v>
      </c>
      <c r="N67" s="129" t="n">
        <f aca="false">(N61*N66)/1.2</f>
        <v>944.651041666667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70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175</v>
      </c>
      <c r="C73" s="211"/>
      <c r="D73" s="277" t="n">
        <f aca="false">B73+B71</f>
        <v>375</v>
      </c>
      <c r="E73" s="212"/>
      <c r="F73" s="63"/>
      <c r="G73" s="310" t="s">
        <v>102</v>
      </c>
      <c r="H73" s="129" t="n">
        <f aca="false">H72*H29</f>
        <v>157.5</v>
      </c>
      <c r="I73" s="211"/>
      <c r="J73" s="277" t="n">
        <f aca="false">H73+H71</f>
        <v>317.5</v>
      </c>
      <c r="K73" s="212"/>
      <c r="L73" s="63"/>
      <c r="M73" s="310" t="s">
        <v>102</v>
      </c>
      <c r="N73" s="129" t="n">
        <f aca="false">N72*H29</f>
        <v>157.5</v>
      </c>
      <c r="O73" s="211"/>
      <c r="P73" s="277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13" t="s">
        <v>278</v>
      </c>
      <c r="B74" s="414" t="n">
        <v>0.0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15" t="s">
        <v>279</v>
      </c>
      <c r="B75" s="416" t="n">
        <v>0.0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17" t="s">
        <v>280</v>
      </c>
      <c r="B76" s="418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330</v>
      </c>
      <c r="I76" s="211"/>
      <c r="J76" s="277" t="n">
        <f aca="false">H76</f>
        <v>330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7435.17604166667</v>
      </c>
      <c r="C81" s="211"/>
      <c r="D81" s="211"/>
      <c r="E81" s="212"/>
      <c r="F81" s="63"/>
      <c r="G81" s="422" t="s">
        <v>105</v>
      </c>
      <c r="H81" s="423" t="n">
        <f aca="false">SUM(J64:J80)</f>
        <v>7041.009375</v>
      </c>
      <c r="I81" s="211"/>
      <c r="J81" s="211"/>
      <c r="K81" s="212"/>
      <c r="L81" s="63"/>
      <c r="M81" s="422" t="s">
        <v>105</v>
      </c>
      <c r="N81" s="42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212.433601190476</v>
      </c>
      <c r="C82" s="211"/>
      <c r="D82" s="211"/>
      <c r="E82" s="212"/>
      <c r="F82" s="63"/>
      <c r="G82" s="210" t="s">
        <v>106</v>
      </c>
      <c r="H82" s="419" t="n">
        <f aca="false">H81/H29</f>
        <v>201.171696428571</v>
      </c>
      <c r="I82" s="211"/>
      <c r="J82" s="211"/>
      <c r="K82" s="212"/>
      <c r="L82" s="63"/>
      <c r="M82" s="210" t="s">
        <v>106</v>
      </c>
      <c r="N82" s="41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1148.54199265886</v>
      </c>
      <c r="C83" s="211"/>
      <c r="D83" s="211"/>
      <c r="E83" s="212"/>
      <c r="F83" s="63"/>
      <c r="G83" s="424" t="s">
        <v>107</v>
      </c>
      <c r="H83" s="425" t="n">
        <f aca="false">H47</f>
        <v>1148.54199265886</v>
      </c>
      <c r="I83" s="211"/>
      <c r="J83" s="211"/>
      <c r="K83" s="212"/>
      <c r="L83" s="63"/>
      <c r="M83" s="424" t="s">
        <v>107</v>
      </c>
      <c r="N83" s="425" t="n">
        <f aca="false">H47</f>
        <v>1148.54199265886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47634.1457847267</v>
      </c>
      <c r="C85" s="211"/>
      <c r="D85" s="211"/>
      <c r="E85" s="212"/>
      <c r="F85" s="63"/>
      <c r="G85" s="404" t="s">
        <v>117</v>
      </c>
      <c r="H85" s="127" t="n">
        <f aca="false">((H83*H29)+H81)*1.2</f>
        <v>56687.9749416721</v>
      </c>
      <c r="I85" s="211"/>
      <c r="J85" s="211"/>
      <c r="K85" s="212"/>
      <c r="L85" s="63"/>
      <c r="M85" s="404" t="s">
        <v>117</v>
      </c>
      <c r="N85" s="127" t="n">
        <f aca="false">((N83*H29)+N81)</f>
        <v>46909.9791180601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403.51636203278</v>
      </c>
      <c r="C86" s="211"/>
      <c r="D86" s="211"/>
      <c r="E86" s="212"/>
      <c r="F86" s="63"/>
      <c r="G86" s="210" t="s">
        <v>118</v>
      </c>
      <c r="H86" s="419" t="n">
        <f aca="false">((((H83*H29)+H81))/(1-H70))*H70</f>
        <v>400.177314029553</v>
      </c>
      <c r="I86" s="211"/>
      <c r="J86" s="211"/>
      <c r="K86" s="212"/>
      <c r="L86" s="63"/>
      <c r="M86" s="210" t="s">
        <v>118</v>
      </c>
      <c r="N86" s="419" t="n">
        <f aca="false">(N85/(1-N70))*N70</f>
        <v>397.381831980339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48037.6621467595</v>
      </c>
      <c r="C87" s="211"/>
      <c r="D87" s="211"/>
      <c r="E87" s="212"/>
      <c r="F87" s="63"/>
      <c r="G87" s="310" t="s">
        <v>119</v>
      </c>
      <c r="H87" s="129" t="n">
        <f aca="false">IF(H110="YES",((H85+H86)-K114),(H85+H86))</f>
        <v>57088.1522557016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47307.3609500404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(D40+(D40*B105))/(B57+B58))*(C45/100)</f>
        <v>174.174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168.8148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1372.50463276456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1427.20380639254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1182.68402375101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1546.67863276456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1596.01860639254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1323.36302375101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286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131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0.0</v>
      </c>
      <c r="C102" s="103"/>
      <c r="D102" s="103" t="n">
        <v>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380</v>
      </c>
      <c r="B105" s="334" t="n">
        <v>0.2</v>
      </c>
      <c r="C105" s="334"/>
      <c r="D105" s="103" t="n">
        <v>200.0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292</v>
      </c>
      <c r="C107" s="218" t="s">
        <v>380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383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35</v>
      </c>
      <c r="C125" s="342"/>
      <c r="D125" s="341" t="n">
        <f aca="false">B160</f>
        <v>35000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1427.20380639254</v>
      </c>
      <c r="H127" s="174" t="n">
        <f aca="false">IF(G105="YES", H89*H57, 0)</f>
        <v>1012.8888</v>
      </c>
      <c r="I127" s="174"/>
      <c r="J127" s="349" t="n">
        <f aca="false">H91</f>
        <v>1596.01860639254</v>
      </c>
      <c r="K127" s="212"/>
      <c r="L127" s="63"/>
      <c r="M127" s="348" t="n">
        <f aca="false">N90</f>
        <v>1182.68402375101</v>
      </c>
      <c r="N127" s="174" t="n">
        <f aca="false">IF(M105="YES", N89*N57, 0)</f>
        <v>844.074</v>
      </c>
      <c r="O127" s="174"/>
      <c r="P127" s="174" t="n">
        <f aca="false">N91</f>
        <v>1323.36302375101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1372.50463276456</v>
      </c>
      <c r="B128" s="338" t="n">
        <f aca="false">IF(A105="YES", B89, 0)</f>
        <v>174.174</v>
      </c>
      <c r="C128" s="342"/>
      <c r="D128" s="338" t="n">
        <f aca="false">B91</f>
        <v>1546.67863276456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1372.50463276456</v>
      </c>
      <c r="C131" s="280"/>
      <c r="D131" s="38" t="n">
        <f aca="false">IF(A105="YES", B89*B57, 0)</f>
        <v>174.174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8563.22283835524</v>
      </c>
      <c r="H133" s="99" t="n">
        <f aca="false">IF(G105="YES", H89*H57, 0)</f>
        <v>1012.8888</v>
      </c>
      <c r="I133" s="217"/>
      <c r="J133" s="181" t="n">
        <f aca="false">H91*H57</f>
        <v>9576.11163835524</v>
      </c>
      <c r="K133" s="212"/>
      <c r="L133" s="63"/>
      <c r="M133" s="182" t="n">
        <f aca="false">N90*N57</f>
        <v>7096.10414250606</v>
      </c>
      <c r="N133" s="99" t="n">
        <f aca="false">IF(M105="YES", N89*N57, 0)</f>
        <v>844.074</v>
      </c>
      <c r="O133" s="217"/>
      <c r="P133" s="181" t="n">
        <f aca="false">N91*N57</f>
        <v>7940.17814250606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1546.67863276456</v>
      </c>
      <c r="B134" s="38" t="n">
        <f aca="false">E114</f>
        <v>4000</v>
      </c>
      <c r="C134" s="280"/>
      <c r="D134" s="352" t="n">
        <f aca="false">B58</f>
        <v>34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1372.50463276456</v>
      </c>
      <c r="B137" s="38" t="n">
        <f aca="false">IF(A105="YES", B89, 0)</f>
        <v>174.174</v>
      </c>
      <c r="C137" s="280"/>
      <c r="D137" s="38" t="n">
        <f aca="false">B91</f>
        <v>1546.67863276456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35</v>
      </c>
      <c r="H152" s="74" t="n">
        <f aca="false">H91</f>
        <v>1596.01860639254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1323.36302375101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1546.67863276456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35</v>
      </c>
      <c r="C174" s="369"/>
      <c r="D174" s="341" t="n">
        <f aca="false">D125</f>
        <v>35000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1372.50463276456</v>
      </c>
      <c r="B177" s="367" t="n">
        <f aca="false">IF(A105="YES", B89, 0)</f>
        <v>174.174</v>
      </c>
      <c r="C177" s="369"/>
      <c r="D177" s="367" t="n">
        <f aca="false">B91</f>
        <v>1546.67863276456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Monthly in advance </v>
      </c>
      <c r="B180" s="99" t="n">
        <f aca="false">B90*B57</f>
        <v>1372.50463276456</v>
      </c>
      <c r="C180" s="282"/>
      <c r="D180" s="99" t="n">
        <f aca="false">IF(A105="YES", B89*B57, 0)</f>
        <v>174.174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1546.67863276456</v>
      </c>
      <c r="B183" s="99" t="n">
        <f aca="false">E114</f>
        <v>4000</v>
      </c>
      <c r="C183" s="282"/>
      <c r="D183" s="371" t="n">
        <f aca="false">B58</f>
        <v>34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1372.50463276456</v>
      </c>
      <c r="B186" s="99" t="n">
        <f aca="false">IF(A105="YES", B89, 0)</f>
        <v>174.174</v>
      </c>
      <c r="C186" s="282"/>
      <c r="D186" s="99" t="n">
        <f aca="false">B91</f>
        <v>1546.67863276456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400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1774.25025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5993.509375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1133.58125</v>
      </c>
      <c r="C211" s="337" t="s">
        <v>217</v>
      </c>
      <c r="D211" s="377" t="n">
        <f aca="false">B225+E221+B221+B223</f>
        <v>1746.78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6606.708125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5993.509375</v>
      </c>
      <c r="C217" s="381" t="s">
        <v>221</v>
      </c>
      <c r="D217" s="280"/>
      <c r="E217" s="309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1133.58125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1406.79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403.51636203278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E118" activeCellId="1" sqref="A37 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8730.0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1024.1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1334.55835324858</v>
      </c>
      <c r="E33" s="212"/>
      <c r="F33" s="63"/>
      <c r="G33" s="215" t="s">
        <v>349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1334.55835324858</v>
      </c>
      <c r="B36" s="99" t="str">
        <f aca="false">IF(B26="YES", H42, "")</f>
        <v/>
      </c>
      <c r="C36" s="217"/>
      <c r="D36" s="181" t="n">
        <f aca="false">H31</f>
        <v>28900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50231.2921912742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28900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109</v>
      </c>
      <c r="H40" s="234" t="n">
        <f aca="false">(A40)/1.2</f>
        <v>24083.3333333333</v>
      </c>
      <c r="I40" s="234" t="n">
        <f aca="false">H39-I39</f>
        <v>-1353.79219127425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21269.4741156504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509" t="n">
        <v>100.0</v>
      </c>
      <c r="D45" s="509"/>
      <c r="E45" s="212"/>
      <c r="F45" s="63"/>
      <c r="G45" s="63" t="s">
        <v>369</v>
      </c>
      <c r="H45" s="234" t="n">
        <f aca="false">(H39-H44)</f>
        <v>27608.0258843496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1334.55835324858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1334.55835324858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1334.55835324858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4896.10625</v>
      </c>
      <c r="C64" s="211" t="n">
        <v>10000.0</v>
      </c>
      <c r="D64" s="277" t="n">
        <f aca="false">B64-A143</f>
        <v>4896.10625</v>
      </c>
      <c r="E64" s="465" t="n">
        <f aca="false">D64/(B58+B57)</f>
        <v>222.550284090909</v>
      </c>
      <c r="F64" s="63"/>
      <c r="G64" s="310" t="s">
        <v>93</v>
      </c>
      <c r="H64" s="129" t="n">
        <f aca="false">H61*H63</f>
        <v>4896.10625</v>
      </c>
      <c r="I64" s="211"/>
      <c r="J64" s="277" t="n">
        <f aca="false">H64-G145</f>
        <v>4896.10625</v>
      </c>
      <c r="K64" s="212"/>
      <c r="L64" s="63"/>
      <c r="M64" s="310" t="s">
        <v>93</v>
      </c>
      <c r="N64" s="129" t="n">
        <f aca="false">N61*N63</f>
        <v>4896.10625</v>
      </c>
      <c r="O64" s="211"/>
      <c r="P64" s="277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E15*B66</f>
        <v>820.0375</v>
      </c>
      <c r="C67" s="211"/>
      <c r="D67" s="277"/>
      <c r="E67" s="212"/>
      <c r="F67" s="63"/>
      <c r="G67" s="310" t="s">
        <v>96</v>
      </c>
      <c r="H67" s="129" t="n">
        <f aca="false">(H61*H66)/1.2</f>
        <v>683.364583333333</v>
      </c>
      <c r="I67" s="211"/>
      <c r="J67" s="277"/>
      <c r="K67" s="212"/>
      <c r="L67" s="63"/>
      <c r="M67" s="310" t="s">
        <v>96</v>
      </c>
      <c r="N67" s="129" t="n">
        <f aca="false">(N61*N66)/1.2</f>
        <v>683.364583333333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277" t="n">
        <f aca="false">B73+B71</f>
        <v>310</v>
      </c>
      <c r="E73" s="212"/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476.666666666667</v>
      </c>
      <c r="C76" s="211"/>
      <c r="D76" s="277" t="n">
        <f aca="false">B76</f>
        <v>476.666666666667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127" t="n">
        <f aca="false">B102/(1-0.1)</f>
        <v>444.444444444444</v>
      </c>
      <c r="C77" s="211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465" t="n">
        <f aca="false">(D73+D76+D79+D80)/(B58+B57)</f>
        <v>53.9393939393939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6749.43958333333</v>
      </c>
      <c r="C81" s="211"/>
      <c r="D81" s="211"/>
      <c r="E81" s="465"/>
      <c r="F81" s="63"/>
      <c r="G81" s="422" t="s">
        <v>105</v>
      </c>
      <c r="H81" s="423" t="n">
        <f aca="false">SUM(J64:J80)</f>
        <v>5706.35625</v>
      </c>
      <c r="I81" s="211"/>
      <c r="J81" s="211"/>
      <c r="K81" s="212"/>
      <c r="L81" s="63"/>
      <c r="M81" s="422" t="s">
        <v>105</v>
      </c>
      <c r="N81" s="42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306.792708333333</v>
      </c>
      <c r="C82" s="211"/>
      <c r="D82" s="211"/>
      <c r="E82" s="465"/>
      <c r="F82" s="63"/>
      <c r="G82" s="210" t="s">
        <v>106</v>
      </c>
      <c r="H82" s="419" t="n">
        <f aca="false">H81/H29</f>
        <v>259.379829545455</v>
      </c>
      <c r="I82" s="211"/>
      <c r="J82" s="211"/>
      <c r="K82" s="212"/>
      <c r="L82" s="63"/>
      <c r="M82" s="210" t="s">
        <v>106</v>
      </c>
      <c r="N82" s="41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1334.55835324858</v>
      </c>
      <c r="C83" s="211"/>
      <c r="D83" s="211"/>
      <c r="E83" s="465" t="n">
        <f aca="false">B83+E80+E77+E64</f>
        <v>1631.2500514809</v>
      </c>
      <c r="F83" s="63"/>
      <c r="G83" s="424" t="s">
        <v>107</v>
      </c>
      <c r="H83" s="425" t="n">
        <f aca="false">H47</f>
        <v>1334.55835324858</v>
      </c>
      <c r="I83" s="211"/>
      <c r="J83" s="211"/>
      <c r="K83" s="212"/>
      <c r="L83" s="63"/>
      <c r="M83" s="424" t="s">
        <v>107</v>
      </c>
      <c r="N83" s="425" t="n">
        <f aca="false">H47</f>
        <v>1334.55835324858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((B83*H29)+B81)*1.2</f>
        <v>43331.6680257625</v>
      </c>
      <c r="C85" s="211"/>
      <c r="D85" s="211"/>
      <c r="E85" s="465" t="n">
        <f aca="false">B85/(B58+B57)</f>
        <v>1969.62127389829</v>
      </c>
      <c r="F85" s="63"/>
      <c r="G85" s="404" t="s">
        <v>117</v>
      </c>
      <c r="H85" s="127" t="n">
        <f aca="false">((H83*H29)+H81)*1.2</f>
        <v>42079.9680257624</v>
      </c>
      <c r="I85" s="211"/>
      <c r="J85" s="211"/>
      <c r="K85" s="212"/>
      <c r="L85" s="63"/>
      <c r="M85" s="404" t="s">
        <v>117</v>
      </c>
      <c r="N85" s="127" t="n">
        <f aca="false">((N83*H29)+N81)</f>
        <v>34915.3900214687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((((B83*H29)+B81))/(1-B70))*B70</f>
        <v>305.891161940638</v>
      </c>
      <c r="C86" s="211"/>
      <c r="D86" s="211"/>
      <c r="E86" s="465" t="n">
        <f aca="false">B86/(B58+B57)</f>
        <v>13.9041437245745</v>
      </c>
      <c r="F86" s="63"/>
      <c r="G86" s="210" t="s">
        <v>118</v>
      </c>
      <c r="H86" s="419" t="n">
        <f aca="false">((((H83*H29)+H81))/(1-H70))*H70</f>
        <v>297.055038503769</v>
      </c>
      <c r="I86" s="211"/>
      <c r="J86" s="211"/>
      <c r="K86" s="212"/>
      <c r="L86" s="63"/>
      <c r="M86" s="210" t="s">
        <v>118</v>
      </c>
      <c r="N86" s="419" t="n">
        <f aca="false">(N85/(1-N70))*N70</f>
        <v>295.773775897879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IF(B110="YES",((B85+B86)-E114),(B85+B86))</f>
        <v>43637.5591877031</v>
      </c>
      <c r="C87" s="211"/>
      <c r="D87" s="211"/>
      <c r="E87" s="465" t="n">
        <f aca="false">E86+E85</f>
        <v>1983.52541762287</v>
      </c>
      <c r="F87" s="63"/>
      <c r="G87" s="310" t="s">
        <v>119</v>
      </c>
      <c r="H87" s="129" t="n">
        <f aca="false">IF(H110="YES",((H85+H86)-K114),(H85+H86))</f>
        <v>42377.0230642662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35211.1637973666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(D40+(D40*B105))/(B58), (D40+(D40*B105))/(B57+B58))*1.2*(C45/100)</f>
        <v>0</v>
      </c>
      <c r="C89" s="211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0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1983.52541762287</v>
      </c>
      <c r="C90" s="211"/>
      <c r="D90" s="211"/>
      <c r="E90" s="212"/>
      <c r="F90" s="63"/>
      <c r="G90" s="427" t="s">
        <v>121</v>
      </c>
      <c r="H90" s="428" t="n">
        <f aca="false">IF(H99=Y98, (H87-J105)/(H58), H87/(H57+H58))</f>
        <v>1569.5193727506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1304.11717768024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1983.52541762287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1569.5193727506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1304.11717768024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239.99</v>
      </c>
      <c r="B102" s="103" t="n">
        <v>400.0</v>
      </c>
      <c r="C102" s="103"/>
      <c r="D102" s="103" t="n">
        <v>200.0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380</v>
      </c>
      <c r="B105" s="334" t="n">
        <v>0.3</v>
      </c>
      <c r="C105" s="334"/>
      <c r="D105" s="103" t="s">
        <v>384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383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((E118/1.2)+E117)-(D115-E113)</f>
        <v>-800.008333333333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1569.5193727506</v>
      </c>
      <c r="H127" s="174" t="n">
        <f aca="false">IF(G105="YES", H89*H57, 0)</f>
        <v>0</v>
      </c>
      <c r="I127" s="174"/>
      <c r="J127" s="349" t="n">
        <f aca="false">H91</f>
        <v>1569.5193727506</v>
      </c>
      <c r="K127" s="212"/>
      <c r="L127" s="63"/>
      <c r="M127" s="348" t="n">
        <f aca="false">N90</f>
        <v>1304.11717768024</v>
      </c>
      <c r="N127" s="174" t="n">
        <f aca="false">IF(M105="YES", N89*N57, 0)</f>
        <v>0</v>
      </c>
      <c r="O127" s="174"/>
      <c r="P127" s="174" t="n">
        <f aca="false">N91</f>
        <v>1304.11717768024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1983.52541762287</v>
      </c>
      <c r="B128" s="338" t="n">
        <f aca="false">IF(A105="YES", B89, 0)</f>
        <v>0</v>
      </c>
      <c r="C128" s="342"/>
      <c r="D128" s="338" t="n">
        <f aca="false">B91</f>
        <v>1983.52541762287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17851.7287586058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9417.1162365036</v>
      </c>
      <c r="H133" s="99" t="n">
        <f aca="false">IF(G105="YES", H89*H57, 0)</f>
        <v>0</v>
      </c>
      <c r="I133" s="217"/>
      <c r="J133" s="181" t="n">
        <f aca="false">H91*H57</f>
        <v>9417.1162365036</v>
      </c>
      <c r="K133" s="212"/>
      <c r="L133" s="63"/>
      <c r="M133" s="182" t="n">
        <f aca="false">N90*N57</f>
        <v>7824.70306608146</v>
      </c>
      <c r="N133" s="99" t="n">
        <f aca="false">IF(M105="YES", N89*N57, 0)</f>
        <v>0</v>
      </c>
      <c r="O133" s="217"/>
      <c r="P133" s="181" t="n">
        <f aca="false">N91*N57</f>
        <v>7824.70306608146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17851.7287586058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1983.52541762287</v>
      </c>
      <c r="B137" s="38" t="n">
        <f aca="false">IF(A105="YES", B89, 0)</f>
        <v>0</v>
      </c>
      <c r="C137" s="280"/>
      <c r="D137" s="38" t="n">
        <f aca="false">B91</f>
        <v>1983.52541762287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0</v>
      </c>
      <c r="C140" s="280"/>
      <c r="D140" s="358" t="n">
        <f aca="false">A140+B140</f>
        <v>41.6772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1320.02916666667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1569.5193727506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1304.11717768024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1983.52541762287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1983.52541762287</v>
      </c>
      <c r="B177" s="367" t="n">
        <f aca="false">IF(A105="YES", B89, 0)</f>
        <v>0</v>
      </c>
      <c r="C177" s="369"/>
      <c r="D177" s="367" t="n">
        <f aca="false">B91</f>
        <v>1983.52541762287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17851.7287586058</v>
      </c>
      <c r="C180" s="282"/>
      <c r="D180" s="99" t="n">
        <f aca="false">IF(A105="YES", B89*B57, 0)</f>
        <v>0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17851.7287586058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1983.52541762287</v>
      </c>
      <c r="B186" s="99" t="n">
        <f aca="false">IF(A105="YES", B89, 0)</f>
        <v>0</v>
      </c>
      <c r="C186" s="282"/>
      <c r="D186" s="99" t="n">
        <f aca="false">B91</f>
        <v>1983.52541762287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0</v>
      </c>
      <c r="C189" s="282"/>
      <c r="D189" s="375" t="n">
        <f aca="false">A189+B189</f>
        <v>41.6772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1320.02916666667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4896.10625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820.0375</v>
      </c>
      <c r="C211" s="337" t="s">
        <v>217</v>
      </c>
      <c r="D211" s="377" t="n">
        <f aca="false">B225+E221+B221+B223</f>
        <v>339.991666666667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4416.06041666667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4896.10625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B197*E219*100</f>
        <v>40</v>
      </c>
      <c r="C221" s="351" t="s">
        <v>223</v>
      </c>
      <c r="D221" s="280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4416.06041666667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0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305.891161940638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H31" activeCellId="1" sqref="A37 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262" t="n">
        <v>16745.0</v>
      </c>
      <c r="C3" s="497" t="n">
        <v>0.0</v>
      </c>
      <c r="D3" s="262" t="n">
        <v>0.0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0" t="n">
        <v>0.0</v>
      </c>
      <c r="C4" s="0" t="n">
        <v>0.0</v>
      </c>
      <c r="D4" s="0" t="n">
        <v>0.0</v>
      </c>
      <c r="E4" s="308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 t="n">
        <v>60000</v>
      </c>
      <c r="C9" s="485"/>
      <c r="D9" s="485"/>
      <c r="E9" s="507" t="n">
        <f aca="false">(B7+C7+D7+E3)</f>
        <v>47687.5</v>
      </c>
      <c r="F9" s="63"/>
      <c r="G9" s="453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695.0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 t="n">
        <v>1000</v>
      </c>
      <c r="C11" s="487"/>
      <c r="D11" s="487"/>
      <c r="E11" s="419" t="n">
        <f aca="false">( E9 + E10 ) * 0.2</f>
        <v>9647.5</v>
      </c>
      <c r="F11" s="63"/>
      <c r="G11" s="453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 t="n">
        <v>0</v>
      </c>
      <c r="C13" s="487"/>
      <c r="D13" s="487"/>
      <c r="E13" s="498" t="n">
        <v>275.0</v>
      </c>
      <c r="F13" s="63"/>
      <c r="G13" s="453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8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346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129</v>
      </c>
      <c r="B26" s="218" t="s">
        <v>380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183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22.0</v>
      </c>
      <c r="I29" s="45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184</v>
      </c>
      <c r="B30" s="169" t="s">
        <v>381</v>
      </c>
      <c r="C30" s="169"/>
      <c r="D30" s="211"/>
      <c r="E30" s="212"/>
      <c r="F30" s="63"/>
      <c r="G30" s="214" t="s">
        <v>32</v>
      </c>
      <c r="H30" s="456" t="n">
        <v>22000.0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5" t="n">
        <v>8730.0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85</v>
      </c>
      <c r="B32" s="211" t="s">
        <v>86</v>
      </c>
      <c r="C32" s="211"/>
      <c r="D32" s="457" t="s">
        <v>348</v>
      </c>
      <c r="E32" s="212"/>
      <c r="F32" s="63"/>
      <c r="G32" s="214" t="s">
        <v>36</v>
      </c>
      <c r="I32" s="445" t="n">
        <v>1024.1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8" t="n">
        <f aca="false">H48</f>
        <v>1372.35835324858</v>
      </c>
      <c r="E33" s="212"/>
      <c r="F33" s="63"/>
      <c r="G33" s="215" t="s">
        <v>349</v>
      </c>
      <c r="H33" s="459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367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350</v>
      </c>
      <c r="B35" s="211" t="s">
        <v>351</v>
      </c>
      <c r="C35" s="211"/>
      <c r="D35" s="211" t="s">
        <v>352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1334.55835324858</v>
      </c>
      <c r="B36" s="99" t="n">
        <f aca="false">IF(B26="YES", H42, "")</f>
        <v>37.8</v>
      </c>
      <c r="C36" s="217"/>
      <c r="D36" s="181" t="n">
        <f aca="false">H31</f>
        <v>28900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353</v>
      </c>
      <c r="B39" s="211" t="s">
        <v>354</v>
      </c>
      <c r="C39" s="211"/>
      <c r="D39" s="211" t="s">
        <v>355</v>
      </c>
      <c r="E39" s="212"/>
      <c r="F39" s="63"/>
      <c r="G39" s="63" t="s">
        <v>87</v>
      </c>
      <c r="H39" s="234" t="n">
        <f aca="false">H33</f>
        <v>48877.5</v>
      </c>
      <c r="I39" s="234" t="n">
        <f aca="false">(I48*H46)+H44</f>
        <v>49449.3231032324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28900</v>
      </c>
      <c r="B40" s="103" t="n">
        <f aca="false">IF(B26="YES",H42,"0")</f>
        <v>37.8</v>
      </c>
      <c r="C40" s="103"/>
      <c r="D40" s="181" t="n">
        <f aca="false">I32</f>
        <v>831.6</v>
      </c>
      <c r="E40" s="212"/>
      <c r="F40" s="63"/>
      <c r="G40" s="63" t="s">
        <v>109</v>
      </c>
      <c r="H40" s="234" t="n">
        <f aca="false">A40/1.2</f>
        <v>24083.3333333333</v>
      </c>
      <c r="I40" s="234" t="n">
        <f aca="false">H39-I39</f>
        <v>-571.823103232397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356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357</v>
      </c>
      <c r="H42" s="234" t="n">
        <f aca="false">(I32/H34)*(C45/100)</f>
        <v>37.8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404"/>
      <c r="B43" s="405"/>
      <c r="C43" s="405"/>
      <c r="D43" s="405"/>
      <c r="E43" s="406"/>
      <c r="F43" s="63"/>
      <c r="G43" s="63" t="s">
        <v>358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79</v>
      </c>
      <c r="B44" s="211"/>
      <c r="C44" s="373" t="s">
        <v>80</v>
      </c>
      <c r="D44" s="373"/>
      <c r="E44" s="212"/>
      <c r="F44" s="63"/>
      <c r="G44" s="63" t="s">
        <v>368</v>
      </c>
      <c r="H44" s="234" t="n">
        <f aca="false">(H40/(1+H41)^(H34+1))</f>
        <v>21269.4741156504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100.0</v>
      </c>
      <c r="B45" s="211"/>
      <c r="C45" s="462" t="n">
        <v>100.0</v>
      </c>
      <c r="D45" s="462"/>
      <c r="E45" s="212"/>
      <c r="F45" s="63"/>
      <c r="G45" s="63" t="s">
        <v>369</v>
      </c>
      <c r="H45" s="234" t="n">
        <f aca="false">(H39-H44)</f>
        <v>27608.0258843496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10"/>
      <c r="B46" s="402"/>
      <c r="C46" s="402"/>
      <c r="D46" s="402"/>
      <c r="E46" s="403"/>
      <c r="F46" s="63"/>
      <c r="G46" s="63" t="s">
        <v>370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362</v>
      </c>
      <c r="H47" s="234" t="n">
        <f aca="false">H45/H46</f>
        <v>1334.55835324858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463" t="s">
        <v>363</v>
      </c>
      <c r="H48" s="234" t="n">
        <f aca="false">IF(B26="YES", H47+H42, H47)</f>
        <v>1372.35835324858</v>
      </c>
      <c r="I48" s="234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364</v>
      </c>
      <c r="H49" s="401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1372.35835324858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404"/>
      <c r="N56" s="405"/>
      <c r="O56" s="405"/>
      <c r="P56" s="405"/>
      <c r="Q56" s="406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87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87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88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88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210" t="s">
        <v>14</v>
      </c>
      <c r="N61" s="277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304" t="s">
        <v>276</v>
      </c>
      <c r="N62" s="305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B62+(B62*0.25*((H29/12)-1))</f>
        <v>0.0845833333333333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0.0845833333333333</v>
      </c>
      <c r="I63" s="211"/>
      <c r="J63" s="211"/>
      <c r="K63" s="212"/>
      <c r="L63" s="63"/>
      <c r="M63" s="210" t="s">
        <v>277</v>
      </c>
      <c r="N63" s="308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4896.10625</v>
      </c>
      <c r="C64" s="464" t="n">
        <v>10000.0</v>
      </c>
      <c r="D64" s="277" t="n">
        <f aca="false">B64</f>
        <v>4896.10625</v>
      </c>
      <c r="E64" s="465" t="n">
        <f aca="false">D64/(B58+B57)</f>
        <v>222.550284090909</v>
      </c>
      <c r="F64" s="63"/>
      <c r="G64" s="310" t="s">
        <v>93</v>
      </c>
      <c r="H64" s="129" t="n">
        <f aca="false">H61*H63</f>
        <v>4896.10625</v>
      </c>
      <c r="I64" s="211"/>
      <c r="J64" s="277" t="n">
        <f aca="false">H64-G145</f>
        <v>4896.10625</v>
      </c>
      <c r="K64" s="212"/>
      <c r="L64" s="63"/>
      <c r="M64" s="310" t="s">
        <v>93</v>
      </c>
      <c r="N64" s="129" t="n">
        <f aca="false">N61*N63</f>
        <v>4896.10625</v>
      </c>
      <c r="O64" s="211"/>
      <c r="P64" s="277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77"/>
      <c r="E65" s="212"/>
      <c r="F65" s="63"/>
      <c r="G65" s="304" t="s">
        <v>94</v>
      </c>
      <c r="H65" s="305" t="n">
        <v>0.01</v>
      </c>
      <c r="I65" s="211"/>
      <c r="J65" s="211"/>
      <c r="K65" s="212"/>
      <c r="L65" s="63"/>
      <c r="M65" s="304" t="s">
        <v>94</v>
      </c>
      <c r="N65" s="305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0.0141666666666667</v>
      </c>
      <c r="C66" s="466" t="s">
        <v>221</v>
      </c>
      <c r="D66" s="211"/>
      <c r="E66" s="212"/>
      <c r="F66" s="63"/>
      <c r="G66" s="210" t="s">
        <v>95</v>
      </c>
      <c r="H66" s="308" t="n">
        <f aca="false">H65+(H65*0.5*(H29/12-1))</f>
        <v>0.0141666666666667</v>
      </c>
      <c r="I66" s="211"/>
      <c r="J66" s="211"/>
      <c r="K66" s="212"/>
      <c r="L66" s="63"/>
      <c r="M66" s="210" t="s">
        <v>95</v>
      </c>
      <c r="N66" s="308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E15*B66</f>
        <v>820.0375</v>
      </c>
      <c r="C67" s="467" t="s">
        <v>221</v>
      </c>
      <c r="D67" s="468"/>
      <c r="E67" s="212"/>
      <c r="F67" s="63"/>
      <c r="G67" s="310" t="s">
        <v>96</v>
      </c>
      <c r="H67" s="129" t="n">
        <f aca="false">(H61*H66)/1.2</f>
        <v>683.364583333333</v>
      </c>
      <c r="I67" s="211"/>
      <c r="J67" s="277"/>
      <c r="K67" s="212"/>
      <c r="L67" s="63"/>
      <c r="M67" s="310" t="s">
        <v>96</v>
      </c>
      <c r="N67" s="129" t="n">
        <f aca="false">(N61*N66)/1.2</f>
        <v>683.364583333333</v>
      </c>
      <c r="O67" s="211"/>
      <c r="P67" s="277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469"/>
      <c r="D68" s="277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304" t="s">
        <v>97</v>
      </c>
      <c r="N68" s="305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407" t="s">
        <v>98</v>
      </c>
      <c r="N69" s="408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310" t="s">
        <v>99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304" t="s">
        <v>100</v>
      </c>
      <c r="N71" s="410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407" t="s">
        <v>101</v>
      </c>
      <c r="N72" s="411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110</v>
      </c>
      <c r="C73" s="211"/>
      <c r="D73" s="471" t="n">
        <f aca="false">B73+B71</f>
        <v>310</v>
      </c>
      <c r="E73" s="212" t="s">
        <v>227</v>
      </c>
      <c r="F73" s="63"/>
      <c r="G73" s="310" t="s">
        <v>102</v>
      </c>
      <c r="H73" s="129" t="n">
        <f aca="false">H72*H29</f>
        <v>99</v>
      </c>
      <c r="I73" s="211"/>
      <c r="J73" s="277" t="n">
        <f aca="false">H73+H71</f>
        <v>259</v>
      </c>
      <c r="K73" s="212"/>
      <c r="L73" s="63"/>
      <c r="M73" s="310" t="s">
        <v>102</v>
      </c>
      <c r="N73" s="129" t="n">
        <f aca="false">N72*H29</f>
        <v>99</v>
      </c>
      <c r="O73" s="211"/>
      <c r="P73" s="277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0.0</v>
      </c>
      <c r="C74" s="211"/>
      <c r="D74" s="211"/>
      <c r="E74" s="212"/>
      <c r="F74" s="63"/>
      <c r="G74" s="304" t="s">
        <v>278</v>
      </c>
      <c r="H74" s="410" t="n">
        <v>165</v>
      </c>
      <c r="I74" s="211"/>
      <c r="J74" s="211"/>
      <c r="K74" s="212"/>
      <c r="L74" s="63"/>
      <c r="M74" s="413" t="s">
        <v>278</v>
      </c>
      <c r="N74" s="414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0.0</v>
      </c>
      <c r="C75" s="211"/>
      <c r="D75" s="211"/>
      <c r="E75" s="212"/>
      <c r="F75" s="63"/>
      <c r="G75" s="407" t="s">
        <v>279</v>
      </c>
      <c r="H75" s="411" t="n">
        <v>0</v>
      </c>
      <c r="I75" s="211"/>
      <c r="J75" s="211"/>
      <c r="K75" s="212"/>
      <c r="L75" s="63"/>
      <c r="M75" s="415" t="s">
        <v>279</v>
      </c>
      <c r="N75" s="416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476.666666666667</v>
      </c>
      <c r="C76" s="211"/>
      <c r="D76" s="277" t="n">
        <f aca="false">B76</f>
        <v>476.666666666667</v>
      </c>
      <c r="E76" s="212"/>
      <c r="F76" s="63"/>
      <c r="G76" s="310" t="s">
        <v>280</v>
      </c>
      <c r="H76" s="129" t="n">
        <f aca="false">((H74+H75)/12)*(H29-11)</f>
        <v>151.25</v>
      </c>
      <c r="I76" s="211"/>
      <c r="J76" s="277" t="n">
        <f aca="false">H76</f>
        <v>151.25</v>
      </c>
      <c r="K76" s="212"/>
      <c r="L76" s="63"/>
      <c r="M76" s="417" t="s">
        <v>280</v>
      </c>
      <c r="N76" s="418" t="n">
        <f aca="false">((N74+N75)/12)*(H29-11)</f>
        <v>0</v>
      </c>
      <c r="O76" s="211"/>
      <c r="P76" s="277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404" t="s">
        <v>281</v>
      </c>
      <c r="B77" s="127" t="n">
        <f aca="false">B102/(1-0.1)</f>
        <v>444.444444444444</v>
      </c>
      <c r="C77" s="472"/>
      <c r="D77" s="277" t="n">
        <f aca="false">B77</f>
        <v>444.444444444444</v>
      </c>
      <c r="E77" s="465" t="n">
        <f aca="false">D77/(B58+B57)</f>
        <v>20.2020202020202</v>
      </c>
      <c r="F77" s="63"/>
      <c r="G77" s="304" t="s">
        <v>281</v>
      </c>
      <c r="H77" s="410" t="n">
        <v>0</v>
      </c>
      <c r="I77" s="211"/>
      <c r="J77" s="277" t="n">
        <f aca="false">H77</f>
        <v>0</v>
      </c>
      <c r="K77" s="212"/>
      <c r="L77" s="63"/>
      <c r="M77" s="304" t="s">
        <v>281</v>
      </c>
      <c r="N77" s="410" t="n">
        <v>0</v>
      </c>
      <c r="O77" s="211"/>
      <c r="P77" s="277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472"/>
      <c r="D78" s="277" t="n">
        <f aca="false">B78</f>
        <v>222.222222222222</v>
      </c>
      <c r="E78" s="465"/>
      <c r="F78" s="63"/>
      <c r="G78" s="210" t="s">
        <v>283</v>
      </c>
      <c r="H78" s="419" t="n">
        <v>0</v>
      </c>
      <c r="I78" s="211"/>
      <c r="J78" s="277" t="n">
        <f aca="false">H78</f>
        <v>0</v>
      </c>
      <c r="K78" s="212"/>
      <c r="L78" s="63"/>
      <c r="M78" s="210" t="s">
        <v>283</v>
      </c>
      <c r="N78" s="419" t="n">
        <v>0</v>
      </c>
      <c r="O78" s="211"/>
      <c r="P78" s="277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472"/>
      <c r="D79" s="277" t="n">
        <f aca="false">B79</f>
        <v>200</v>
      </c>
      <c r="E79" s="465"/>
      <c r="F79" s="63"/>
      <c r="G79" s="407" t="s">
        <v>103</v>
      </c>
      <c r="H79" s="411" t="n">
        <v>200</v>
      </c>
      <c r="I79" s="211"/>
      <c r="J79" s="277" t="n">
        <f aca="false">H79</f>
        <v>200</v>
      </c>
      <c r="K79" s="212"/>
      <c r="L79" s="63"/>
      <c r="M79" s="407" t="s">
        <v>103</v>
      </c>
      <c r="N79" s="411" t="n">
        <v>200</v>
      </c>
      <c r="O79" s="211"/>
      <c r="P79" s="277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472"/>
      <c r="D80" s="277" t="n">
        <f aca="false">B80</f>
        <v>200</v>
      </c>
      <c r="E80" s="465" t="n">
        <f aca="false">(D73+D76+D79+D80)/(B58+B57)</f>
        <v>53.9393939393939</v>
      </c>
      <c r="F80" s="63"/>
      <c r="G80" s="420" t="s">
        <v>104</v>
      </c>
      <c r="H80" s="421" t="n">
        <v>200</v>
      </c>
      <c r="I80" s="211"/>
      <c r="J80" s="277" t="n">
        <f aca="false">H80</f>
        <v>200</v>
      </c>
      <c r="K80" s="212"/>
      <c r="L80" s="63"/>
      <c r="M80" s="420" t="s">
        <v>104</v>
      </c>
      <c r="N80" s="421" t="n">
        <v>200</v>
      </c>
      <c r="O80" s="211"/>
      <c r="P80" s="277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6749.43958333333</v>
      </c>
      <c r="C81" s="472"/>
      <c r="D81" s="473"/>
      <c r="E81" s="465"/>
      <c r="F81" s="63"/>
      <c r="G81" s="422" t="s">
        <v>105</v>
      </c>
      <c r="H81" s="423" t="n">
        <f aca="false">SUM(J64:J80)</f>
        <v>5706.35625</v>
      </c>
      <c r="I81" s="211"/>
      <c r="J81" s="211"/>
      <c r="K81" s="212"/>
      <c r="L81" s="63"/>
      <c r="M81" s="422" t="s">
        <v>105</v>
      </c>
      <c r="N81" s="42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306.792708333333</v>
      </c>
      <c r="C82" s="472"/>
      <c r="D82" s="211"/>
      <c r="E82" s="465"/>
      <c r="F82" s="63"/>
      <c r="G82" s="210" t="s">
        <v>106</v>
      </c>
      <c r="H82" s="419" t="n">
        <f aca="false">H81/H29</f>
        <v>259.379829545455</v>
      </c>
      <c r="I82" s="211"/>
      <c r="J82" s="211"/>
      <c r="K82" s="212"/>
      <c r="L82" s="63"/>
      <c r="M82" s="210" t="s">
        <v>106</v>
      </c>
      <c r="N82" s="41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H47</f>
        <v>1334.55835324858</v>
      </c>
      <c r="C83" s="472"/>
      <c r="D83" s="211"/>
      <c r="E83" s="465" t="n">
        <f aca="false">B83+E80+E77+E64</f>
        <v>1631.2500514809</v>
      </c>
      <c r="F83" s="63"/>
      <c r="G83" s="424" t="s">
        <v>107</v>
      </c>
      <c r="H83" s="425" t="n">
        <f aca="false">H47</f>
        <v>1334.55835324858</v>
      </c>
      <c r="I83" s="211"/>
      <c r="J83" s="211"/>
      <c r="K83" s="212"/>
      <c r="L83" s="63"/>
      <c r="M83" s="424" t="s">
        <v>107</v>
      </c>
      <c r="N83" s="425" t="n">
        <f aca="false">H47</f>
        <v>1334.55835324858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472"/>
      <c r="D84" s="472"/>
      <c r="E84" s="465"/>
      <c r="F84" s="63"/>
      <c r="G84" s="210"/>
      <c r="H84" s="277"/>
      <c r="I84" s="211"/>
      <c r="J84" s="211"/>
      <c r="K84" s="212"/>
      <c r="L84" s="63"/>
      <c r="M84" s="210"/>
      <c r="N84" s="277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((B83*H29)+B81)</f>
        <v>36109.723354802</v>
      </c>
      <c r="C85" s="472"/>
      <c r="D85" s="472"/>
      <c r="E85" s="465" t="n">
        <f aca="false">B85/(B58+B57)</f>
        <v>1641.35106158191</v>
      </c>
      <c r="F85" s="63"/>
      <c r="G85" s="404" t="s">
        <v>117</v>
      </c>
      <c r="H85" s="127" t="n">
        <f aca="false">((H83*H29)+H81)*1.2</f>
        <v>42079.9680257624</v>
      </c>
      <c r="I85" s="211"/>
      <c r="J85" s="211"/>
      <c r="K85" s="212"/>
      <c r="L85" s="63"/>
      <c r="M85" s="404" t="s">
        <v>117</v>
      </c>
      <c r="N85" s="127" t="n">
        <f aca="false">((N83*H29)+N81)</f>
        <v>34915.3900214687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(((B83*H29)+B81)/(1-B70))*B70</f>
        <v>305.891161940638</v>
      </c>
      <c r="C86" s="472" t="s">
        <v>230</v>
      </c>
      <c r="D86" s="211"/>
      <c r="E86" s="465" t="n">
        <f aca="false">B86/(B58+B57)</f>
        <v>13.9041437245745</v>
      </c>
      <c r="F86" s="63"/>
      <c r="G86" s="210" t="s">
        <v>118</v>
      </c>
      <c r="H86" s="419" t="n">
        <f aca="false">((((H83*H29)+H81))/(1-H70))*H70</f>
        <v>297.055038503769</v>
      </c>
      <c r="I86" s="211"/>
      <c r="J86" s="211"/>
      <c r="K86" s="212"/>
      <c r="L86" s="63"/>
      <c r="M86" s="210" t="s">
        <v>118</v>
      </c>
      <c r="N86" s="419" t="n">
        <f aca="false">(N85/(1-N70))*N70</f>
        <v>295.773775897879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36415.6145167427</v>
      </c>
      <c r="C87" s="472"/>
      <c r="D87" s="474"/>
      <c r="E87" s="465" t="n">
        <f aca="false">E86+E85</f>
        <v>1655.25520530649</v>
      </c>
      <c r="F87" s="63"/>
      <c r="G87" s="310" t="s">
        <v>119</v>
      </c>
      <c r="H87" s="129" t="n">
        <f aca="false">IF(H110="YES",((H85+H86)-K114),(H85+H86))</f>
        <v>42377.0230642662</v>
      </c>
      <c r="I87" s="211"/>
      <c r="J87" s="211"/>
      <c r="K87" s="212"/>
      <c r="L87" s="63"/>
      <c r="M87" s="310" t="s">
        <v>119</v>
      </c>
      <c r="N87" s="129" t="n">
        <f aca="false">IF(N110="YES",((N85+N86)-Q114),(N85+N86))</f>
        <v>35211.1637973666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472"/>
      <c r="D88" s="211"/>
      <c r="E88" s="465"/>
      <c r="F88" s="63"/>
      <c r="G88" s="210"/>
      <c r="H88" s="277"/>
      <c r="I88" s="211"/>
      <c r="J88" s="211"/>
      <c r="K88" s="212"/>
      <c r="L88" s="63"/>
      <c r="M88" s="210"/>
      <c r="N88" s="277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23" t="n">
        <f aca="false">IF(B99=Y98, (I32+(I32*B105))/(B58), (I32+(I32*B105))/(B57+B58))*(C45/100)</f>
        <v>49.14</v>
      </c>
      <c r="C89" s="472"/>
      <c r="D89" s="211"/>
      <c r="E89" s="212"/>
      <c r="F89" s="63"/>
      <c r="G89" s="422" t="s">
        <v>120</v>
      </c>
      <c r="H89" s="423" t="n">
        <f aca="false">IF(H99=Y98, (D40+(D40*H105))/(H58), (D40+(D40*H105))/(H57+H58))*1.2</f>
        <v>44.352</v>
      </c>
      <c r="I89" s="211"/>
      <c r="J89" s="211"/>
      <c r="K89" s="212"/>
      <c r="L89" s="63"/>
      <c r="M89" s="422" t="s">
        <v>120</v>
      </c>
      <c r="N89" s="423" t="n">
        <f aca="false">IF(N99=Y98, (D40+(D40*N105))/(N58), (D40+(D40*N105))/(N57+N58))</f>
        <v>36.96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IF(B99=Y98, (B87-D105)/(B58), B87/(B57+B58))</f>
        <v>1655.25520530649</v>
      </c>
      <c r="C90" s="472"/>
      <c r="D90" s="211"/>
      <c r="E90" s="475"/>
      <c r="F90" s="63"/>
      <c r="G90" s="427" t="s">
        <v>121</v>
      </c>
      <c r="H90" s="428" t="n">
        <f aca="false">IF(H99=Y98, (H87-J105)/(H58), H87/(H57+H58))</f>
        <v>1569.5193727506</v>
      </c>
      <c r="I90" s="211"/>
      <c r="J90" s="211"/>
      <c r="K90" s="212"/>
      <c r="L90" s="63"/>
      <c r="M90" s="427" t="s">
        <v>121</v>
      </c>
      <c r="N90" s="428" t="n">
        <f aca="false">IF(N99=Y98, (N87-P105)/(N58), N87/(N57+N58))</f>
        <v>1304.11717768024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1704.39520530649</v>
      </c>
      <c r="C91" s="472"/>
      <c r="D91" s="476"/>
      <c r="E91" s="412"/>
      <c r="F91" s="63"/>
      <c r="G91" s="429" t="s">
        <v>122</v>
      </c>
      <c r="H91" s="430" t="n">
        <f aca="false">IF(G105="YES", H90+H89, H90)</f>
        <v>1613.8713727506</v>
      </c>
      <c r="I91" s="211"/>
      <c r="J91" s="211"/>
      <c r="K91" s="212"/>
      <c r="L91" s="63"/>
      <c r="M91" s="429" t="s">
        <v>122</v>
      </c>
      <c r="N91" s="430" t="n">
        <f aca="false">IF(M105="YES", N90+N89, N90)</f>
        <v>1341.07717768024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77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310"/>
      <c r="N92" s="402"/>
      <c r="O92" s="402"/>
      <c r="P92" s="402"/>
      <c r="Q92" s="40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209" t="s">
        <v>286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372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213" t="s">
        <v>127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131</v>
      </c>
      <c r="Z97" s="63"/>
      <c r="AC97" s="265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210" t="s">
        <v>128</v>
      </c>
      <c r="N98" s="211" t="s">
        <v>23</v>
      </c>
      <c r="O98" s="211"/>
      <c r="P98" s="211" t="s">
        <v>287</v>
      </c>
      <c r="Q98" s="212"/>
      <c r="R98" s="63"/>
      <c r="S98" s="63"/>
      <c r="T98" s="63"/>
      <c r="U98" s="63"/>
      <c r="V98" s="63"/>
      <c r="W98" s="63"/>
      <c r="X98" s="63"/>
      <c r="Y98" s="63" t="s">
        <v>259</v>
      </c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261</v>
      </c>
      <c r="I99" s="331"/>
      <c r="J99" s="103" t="n">
        <v>0</v>
      </c>
      <c r="K99" s="103"/>
      <c r="L99" s="63"/>
      <c r="M99" s="216" t="s">
        <v>288</v>
      </c>
      <c r="N99" s="331" t="s">
        <v>261</v>
      </c>
      <c r="O99" s="33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260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261</v>
      </c>
      <c r="Z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373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210" t="s">
        <v>289</v>
      </c>
      <c r="N101" s="211" t="s">
        <v>290</v>
      </c>
      <c r="O101" s="211"/>
      <c r="P101" s="211" t="s">
        <v>291</v>
      </c>
      <c r="Q101" s="212"/>
      <c r="R101" s="63"/>
      <c r="S101" s="63"/>
      <c r="T101" s="63"/>
      <c r="U101" s="63"/>
      <c r="V101" s="63"/>
      <c r="W101" s="63"/>
      <c r="X101" s="63"/>
      <c r="Y101" s="63" t="s">
        <v>262</v>
      </c>
      <c r="Z101" s="63"/>
    </row>
    <row r="102" customFormat="false" ht="18.75" hidden="false" customHeight="true" outlineLevel="0" collapsed="false">
      <c r="A102" s="333" t="n">
        <v>199.99</v>
      </c>
      <c r="B102" s="103" t="n">
        <v>0.0</v>
      </c>
      <c r="C102" s="103"/>
      <c r="D102" s="103" t="n">
        <v>0.0</v>
      </c>
      <c r="E102" s="103"/>
      <c r="F102" s="63"/>
      <c r="G102" s="333" t="n">
        <v>199.99</v>
      </c>
      <c r="H102" s="103" t="n">
        <v>0</v>
      </c>
      <c r="I102" s="103"/>
      <c r="J102" s="103" t="n">
        <v>0</v>
      </c>
      <c r="K102" s="103"/>
      <c r="L102" s="63"/>
      <c r="M102" s="333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264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265</v>
      </c>
      <c r="Z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216" t="s">
        <v>129</v>
      </c>
      <c r="N104" s="63" t="s">
        <v>132</v>
      </c>
      <c r="O104" s="211"/>
      <c r="P104" s="211" t="s">
        <v>143</v>
      </c>
      <c r="Q104" s="212"/>
      <c r="R104" s="63"/>
      <c r="S104" s="63"/>
      <c r="T104" s="63"/>
      <c r="U104" s="63"/>
      <c r="V104" s="63"/>
      <c r="W104" s="63"/>
      <c r="X104" s="63"/>
      <c r="Y104" s="63" t="s">
        <v>266</v>
      </c>
      <c r="Z104" s="63"/>
    </row>
    <row r="105" customFormat="false" ht="18.75" hidden="false" customHeight="true" outlineLevel="0" collapsed="false">
      <c r="A105" s="218" t="s">
        <v>380</v>
      </c>
      <c r="B105" s="334" t="n">
        <v>0.3</v>
      </c>
      <c r="C105" s="334"/>
      <c r="D105" s="103" t="s">
        <v>384</v>
      </c>
      <c r="E105" s="103"/>
      <c r="F105" s="63"/>
      <c r="G105" s="218" t="s">
        <v>18</v>
      </c>
      <c r="H105" s="334" t="n">
        <v>0.2</v>
      </c>
      <c r="I105" s="334"/>
      <c r="J105" s="103"/>
      <c r="K105" s="103"/>
      <c r="L105" s="63"/>
      <c r="M105" s="218" t="s">
        <v>18</v>
      </c>
      <c r="N105" s="334" t="n">
        <v>0.2</v>
      </c>
      <c r="O105" s="334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267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292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213" t="s">
        <v>293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294</v>
      </c>
      <c r="B110" s="218" t="s">
        <v>383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210" t="s">
        <v>294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0</v>
      </c>
      <c r="K112" s="103" t="n">
        <v>0</v>
      </c>
      <c r="L112" s="63"/>
      <c r="M112" s="210" t="s">
        <v>177</v>
      </c>
      <c r="N112" s="211"/>
      <c r="O112" s="211"/>
      <c r="P112" s="333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178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179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0</v>
      </c>
      <c r="K115" s="212"/>
      <c r="L115" s="63"/>
      <c r="M115" s="210" t="s">
        <v>180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404" t="s">
        <v>139</v>
      </c>
      <c r="N117" s="405"/>
      <c r="O117" s="405"/>
      <c r="P117" s="405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199.99</v>
      </c>
      <c r="L118" s="63"/>
      <c r="M118" s="210" t="s">
        <v>53</v>
      </c>
      <c r="N118" s="211"/>
      <c r="O118" s="211"/>
      <c r="P118" s="211"/>
      <c r="Q118" s="41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IF(B110="YES",((E118*1.2)+E117)-E114,((E118*1.2)+E117))</f>
        <v>1239.988</v>
      </c>
      <c r="F119" s="63"/>
      <c r="G119" s="432" t="s">
        <v>295</v>
      </c>
      <c r="H119" s="402"/>
      <c r="I119" s="402"/>
      <c r="J119" s="402"/>
      <c r="K119" s="129" t="n">
        <f aca="false">((K118/1.2)+K117)-(J115-K113)</f>
        <v>166.658333333333</v>
      </c>
      <c r="L119" s="63"/>
      <c r="M119" s="432" t="s">
        <v>295</v>
      </c>
      <c r="N119" s="402"/>
      <c r="O119" s="402"/>
      <c r="P119" s="402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213" t="s">
        <v>296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210" t="s">
        <v>184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22</v>
      </c>
      <c r="C125" s="342"/>
      <c r="D125" s="341" t="n">
        <f aca="false">B160</f>
        <v>22000</v>
      </c>
      <c r="E125" s="339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433" t="s">
        <v>299</v>
      </c>
      <c r="H126" s="434" t="s">
        <v>300</v>
      </c>
      <c r="I126" s="434"/>
      <c r="J126" s="434" t="s">
        <v>301</v>
      </c>
      <c r="K126" s="212"/>
      <c r="L126" s="63"/>
      <c r="M126" s="433" t="s">
        <v>302</v>
      </c>
      <c r="N126" s="434" t="s">
        <v>248</v>
      </c>
      <c r="O126" s="434"/>
      <c r="P126" s="434" t="s">
        <v>122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348" t="n">
        <f aca="false">H90</f>
        <v>1569.5193727506</v>
      </c>
      <c r="H127" s="174" t="n">
        <f aca="false">IF(G105="YES", H89*H57, 0)</f>
        <v>266.112</v>
      </c>
      <c r="I127" s="174"/>
      <c r="J127" s="349" t="n">
        <f aca="false">H91</f>
        <v>1613.8713727506</v>
      </c>
      <c r="K127" s="212"/>
      <c r="L127" s="63"/>
      <c r="M127" s="348" t="n">
        <f aca="false">N90</f>
        <v>1304.11717768024</v>
      </c>
      <c r="N127" s="174" t="n">
        <f aca="false">IF(M105="YES", N89*N57, 0)</f>
        <v>221.76</v>
      </c>
      <c r="O127" s="174"/>
      <c r="P127" s="174" t="n">
        <f aca="false">N91</f>
        <v>1341.07717768024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1655.25520530649</v>
      </c>
      <c r="B128" s="338" t="n">
        <f aca="false">IF(A105="YES", B89, 0)</f>
        <v>49.14</v>
      </c>
      <c r="C128" s="342"/>
      <c r="D128" s="338" t="n">
        <f aca="false">B91</f>
        <v>1704.39520530649</v>
      </c>
      <c r="E128" s="339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210" t="s">
        <v>85</v>
      </c>
      <c r="H129" s="211" t="s">
        <v>86</v>
      </c>
      <c r="I129" s="211"/>
      <c r="J129" s="211" t="s">
        <v>88</v>
      </c>
      <c r="K129" s="212"/>
      <c r="L129" s="63"/>
      <c r="M129" s="210" t="s">
        <v>85</v>
      </c>
      <c r="N129" s="211" t="s">
        <v>86</v>
      </c>
      <c r="O129" s="211"/>
      <c r="P129" s="211" t="s">
        <v>88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14897.2968477584</v>
      </c>
      <c r="C131" s="280"/>
      <c r="D131" s="38" t="n">
        <f aca="false">IF(A105="YES", B89*B57, 0)</f>
        <v>442.26</v>
      </c>
      <c r="E131" s="283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210" t="s">
        <v>308</v>
      </c>
      <c r="N132" s="211" t="s">
        <v>239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9417.1162365036</v>
      </c>
      <c r="H133" s="99" t="n">
        <f aca="false">IF(G105="YES", H89*H57, 0)</f>
        <v>266.112</v>
      </c>
      <c r="I133" s="217"/>
      <c r="J133" s="181" t="n">
        <f aca="false">H91*H57</f>
        <v>9683.2282365036</v>
      </c>
      <c r="K133" s="212"/>
      <c r="L133" s="63"/>
      <c r="M133" s="182" t="n">
        <f aca="false">N90*N57</f>
        <v>7824.70306608146</v>
      </c>
      <c r="N133" s="99" t="n">
        <f aca="false">IF(M105="YES", N89*N57, 0)</f>
        <v>221.76</v>
      </c>
      <c r="O133" s="217"/>
      <c r="P133" s="181" t="n">
        <f aca="false">N91*N57</f>
        <v>8046.46306608146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15339.5568477584</v>
      </c>
      <c r="B134" s="38" t="n">
        <f aca="false">E114</f>
        <v>4000</v>
      </c>
      <c r="C134" s="280"/>
      <c r="D134" s="352" t="n">
        <f aca="false">B58</f>
        <v>13</v>
      </c>
      <c r="E134" s="283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210" t="s">
        <v>250</v>
      </c>
      <c r="N135" s="211" t="s">
        <v>251</v>
      </c>
      <c r="O135" s="211"/>
      <c r="P135" s="211" t="s">
        <v>255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1655.25520530649</v>
      </c>
      <c r="B137" s="38" t="n">
        <f aca="false">IF(A105="YES", B89, 0)</f>
        <v>49.14</v>
      </c>
      <c r="C137" s="280"/>
      <c r="D137" s="38" t="n">
        <f aca="false">B91</f>
        <v>1704.39520530649</v>
      </c>
      <c r="E137" s="283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210" t="s">
        <v>142</v>
      </c>
      <c r="N138" s="211" t="s">
        <v>315</v>
      </c>
      <c r="O138" s="211"/>
      <c r="P138" s="211" t="s">
        <v>316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IF(A105="YES", G18*0.000002, 0)*1.2*100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210" t="s">
        <v>318</v>
      </c>
      <c r="N141" s="211" t="s">
        <v>319</v>
      </c>
      <c r="O141" s="211"/>
      <c r="P141" s="211" t="s">
        <v>320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((B36*H105)*0.1)*(G130), 0)</f>
        <v>16.632</v>
      </c>
      <c r="H142" s="99" t="n">
        <f aca="false">G102-100</f>
        <v>99.99</v>
      </c>
      <c r="I142" s="99"/>
      <c r="J142" s="99" t="n">
        <f aca="false">(H139+J139+G142+H142)-H145</f>
        <v>799.986583333333</v>
      </c>
      <c r="K142" s="101"/>
      <c r="L142" s="63"/>
      <c r="M142" s="107" t="n">
        <f aca="false">IF(M105="YES", ((B36*N105)*0.1)*(M130), 0)</f>
        <v>16.632</v>
      </c>
      <c r="N142" s="99" t="n">
        <f aca="false">M102-100</f>
        <v>99.99</v>
      </c>
      <c r="O142" s="99"/>
      <c r="P142" s="99" t="n">
        <f aca="false">(N139+P139+M142+N142)-N145</f>
        <v>799.986583333333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210" t="s">
        <v>322</v>
      </c>
      <c r="N144" s="211" t="s">
        <v>323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0" t="s">
        <v>328</v>
      </c>
      <c r="N147" s="163" t="s">
        <v>329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99" t="n">
        <f aca="false">B102</f>
        <v>400</v>
      </c>
      <c r="C148" s="38"/>
      <c r="D148" s="38" t="n">
        <f aca="false">IF(A105="YES", (B40*B105)*B125, 0)*0.1</f>
        <v>24.948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363" t="n">
        <v>18000</v>
      </c>
      <c r="N148" s="364" t="n">
        <v>0.99</v>
      </c>
      <c r="O148" s="364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398" t="s">
        <v>330</v>
      </c>
      <c r="N151" s="211"/>
      <c r="O151" s="211"/>
      <c r="P151" s="399"/>
      <c r="Q151" s="400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22</v>
      </c>
      <c r="H152" s="74" t="n">
        <f aca="false">H91</f>
        <v>1613.8713727506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246" t="s">
        <v>85</v>
      </c>
      <c r="N153" s="247" t="s">
        <v>86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1341.07717768024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1704.39520530649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310"/>
      <c r="N162" s="402"/>
      <c r="O162" s="402"/>
      <c r="P162" s="402"/>
      <c r="Q162" s="40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81"/>
      <c r="B165" s="280"/>
      <c r="C165" s="280"/>
      <c r="D165" s="280"/>
      <c r="E165" s="28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98"/>
      <c r="B166" s="299"/>
      <c r="C166" s="299"/>
      <c r="D166" s="299"/>
      <c r="E166" s="300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65"/>
      <c r="B167" s="265"/>
      <c r="C167" s="265"/>
      <c r="D167" s="265"/>
      <c r="E167" s="265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265"/>
      <c r="B168" s="265"/>
      <c r="C168" s="265"/>
      <c r="D168" s="265"/>
      <c r="E168" s="265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265"/>
      <c r="B169" s="265"/>
      <c r="C169" s="265"/>
      <c r="D169" s="265"/>
      <c r="E169" s="265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265"/>
      <c r="B170" s="265"/>
      <c r="C170" s="265"/>
      <c r="D170" s="265"/>
      <c r="E170" s="265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65" t="s">
        <v>296</v>
      </c>
      <c r="B171" s="365"/>
      <c r="C171" s="365"/>
      <c r="D171" s="365"/>
      <c r="E171" s="365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6" t="s">
        <v>128</v>
      </c>
      <c r="B173" s="366" t="s">
        <v>39</v>
      </c>
      <c r="C173" s="367"/>
      <c r="D173" s="366" t="s">
        <v>86</v>
      </c>
      <c r="E173" s="339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40" t="s">
        <v>288</v>
      </c>
      <c r="B174" s="341" t="n">
        <f aca="false">A161</f>
        <v>22</v>
      </c>
      <c r="C174" s="369"/>
      <c r="D174" s="341" t="n">
        <f aca="false">D125</f>
        <v>22000</v>
      </c>
      <c r="E174" s="339"/>
      <c r="F174" s="63"/>
      <c r="G174" s="452" t="s">
        <v>374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36"/>
      <c r="B175" s="366"/>
      <c r="C175" s="366"/>
      <c r="D175" s="366"/>
      <c r="E175" s="339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36" t="s">
        <v>121</v>
      </c>
      <c r="B176" s="366" t="s">
        <v>297</v>
      </c>
      <c r="C176" s="367"/>
      <c r="D176" s="366" t="s">
        <v>298</v>
      </c>
      <c r="E176" s="339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40" t="n">
        <f aca="false">B90</f>
        <v>1655.25520530649</v>
      </c>
      <c r="B177" s="367" t="n">
        <f aca="false">IF(A105="YES", B89, 0)</f>
        <v>49.14</v>
      </c>
      <c r="C177" s="369"/>
      <c r="D177" s="367" t="n">
        <f aca="false">B91</f>
        <v>1704.39520530649</v>
      </c>
      <c r="E177" s="339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281"/>
      <c r="B178" s="28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46" t="s">
        <v>23</v>
      </c>
      <c r="B179" s="370" t="s">
        <v>303</v>
      </c>
      <c r="C179" s="226"/>
      <c r="D179" s="370" t="s">
        <v>304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50" t="str">
        <f aca="false">B99</f>
        <v> Terminal pause with 9 down </v>
      </c>
      <c r="B180" s="99" t="n">
        <f aca="false">B90*B57</f>
        <v>14897.2968477584</v>
      </c>
      <c r="C180" s="282"/>
      <c r="D180" s="99" t="n">
        <f aca="false">IF(A105="YES", B89*B57, 0)</f>
        <v>442.26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309</v>
      </c>
      <c r="B182" s="163" t="s">
        <v>310</v>
      </c>
      <c r="C182" s="285"/>
      <c r="D182" s="237" t="s">
        <v>206</v>
      </c>
      <c r="E182" s="28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15339.5568477584</v>
      </c>
      <c r="B183" s="99" t="n">
        <f aca="false">E114</f>
        <v>4000</v>
      </c>
      <c r="C183" s="282"/>
      <c r="D183" s="371" t="n">
        <f aca="false">B58</f>
        <v>13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72"/>
      <c r="C184" s="282"/>
      <c r="D184" s="282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121</v>
      </c>
      <c r="B185" s="373" t="s">
        <v>297</v>
      </c>
      <c r="C185" s="282"/>
      <c r="D185" s="282" t="s">
        <v>298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1655.25520530649</v>
      </c>
      <c r="B186" s="99" t="n">
        <f aca="false">IF(A105="YES", B89, 0)</f>
        <v>49.14</v>
      </c>
      <c r="C186" s="282"/>
      <c r="D186" s="99" t="n">
        <f aca="false">B91</f>
        <v>1704.39520530649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281"/>
      <c r="B187" s="282"/>
      <c r="C187" s="282"/>
      <c r="D187" s="282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5" t="s">
        <v>69</v>
      </c>
      <c r="B188" s="374" t="s">
        <v>317</v>
      </c>
      <c r="C188" s="99"/>
      <c r="D188" s="374" t="s">
        <v>75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 t="n">
        <f aca="false">(G18*0.000006)*1.2*100</f>
        <v>41.6772</v>
      </c>
      <c r="B189" s="375" t="n">
        <f aca="false">IF(A105="YES", G18*0.000002, 0)*1.2*100</f>
        <v>13.8924</v>
      </c>
      <c r="C189" s="282"/>
      <c r="D189" s="375" t="n">
        <f aca="false">A189+B189</f>
        <v>55.5696</v>
      </c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57"/>
      <c r="B190" s="375"/>
      <c r="C190" s="282"/>
      <c r="D190" s="375"/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55" t="s">
        <v>321</v>
      </c>
      <c r="B191" s="374" t="s">
        <v>53</v>
      </c>
      <c r="C191" s="99"/>
      <c r="D191" s="374" t="s">
        <v>281</v>
      </c>
      <c r="E191" s="28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282"/>
      <c r="D192" s="148" t="n">
        <f aca="false">B102</f>
        <v>400</v>
      </c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282"/>
      <c r="D193" s="99"/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59" t="s">
        <v>324</v>
      </c>
      <c r="B194" s="360"/>
      <c r="C194" s="361"/>
      <c r="D194" s="360"/>
      <c r="E194" s="362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57"/>
      <c r="B195" s="375"/>
      <c r="C195" s="282"/>
      <c r="D195" s="375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325</v>
      </c>
      <c r="B196" s="282" t="s">
        <v>326</v>
      </c>
      <c r="C196" s="282"/>
      <c r="D196" s="282" t="s">
        <v>327</v>
      </c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24.948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81"/>
      <c r="B198" s="282"/>
      <c r="C198" s="282"/>
      <c r="D198" s="282"/>
      <c r="E198" s="28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281" t="s">
        <v>331</v>
      </c>
      <c r="B199" s="282" t="s">
        <v>323</v>
      </c>
      <c r="C199" s="282"/>
      <c r="D199" s="282" t="s">
        <v>320</v>
      </c>
      <c r="E199" s="28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1344.9755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281"/>
      <c r="B201" s="282"/>
      <c r="C201" s="282"/>
      <c r="D201" s="282"/>
      <c r="E201" s="28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 t="s">
        <v>332</v>
      </c>
      <c r="B202" s="282"/>
      <c r="C202" s="282"/>
      <c r="D202" s="282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282"/>
      <c r="D203" s="282"/>
      <c r="E203" s="28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298"/>
      <c r="B204" s="299"/>
      <c r="C204" s="299"/>
      <c r="D204" s="299"/>
      <c r="E204" s="300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65" t="s">
        <v>212</v>
      </c>
      <c r="B207" s="365"/>
      <c r="C207" s="365"/>
      <c r="D207" s="365"/>
      <c r="E207" s="365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280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36" t="s">
        <v>213</v>
      </c>
      <c r="B209" s="376" t="n">
        <f aca="false">H35</f>
        <v>0.065</v>
      </c>
      <c r="C209" s="338" t="s">
        <v>215</v>
      </c>
      <c r="D209" s="377" t="n">
        <f aca="false">D64</f>
        <v>4896.10625</v>
      </c>
      <c r="E209" s="339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40"/>
      <c r="B210" s="341"/>
      <c r="C210" s="342"/>
      <c r="D210" s="341"/>
      <c r="E210" s="339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36" t="s">
        <v>216</v>
      </c>
      <c r="B211" s="338" t="n">
        <f aca="false">B219</f>
        <v>820.0375</v>
      </c>
      <c r="C211" s="337" t="s">
        <v>217</v>
      </c>
      <c r="D211" s="377" t="n">
        <f aca="false">B225+E221+B221+B223</f>
        <v>589.47</v>
      </c>
      <c r="E211" s="339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36"/>
      <c r="B212" s="378"/>
      <c r="C212" s="338"/>
      <c r="D212" s="337"/>
      <c r="E212" s="339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40" t="s">
        <v>218</v>
      </c>
      <c r="B213" s="338" t="n">
        <f aca="false">E223</f>
        <v>4665.53875</v>
      </c>
      <c r="C213" s="342"/>
      <c r="D213" s="338"/>
      <c r="E213" s="339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281"/>
      <c r="B214" s="354"/>
      <c r="C214" s="280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213</v>
      </c>
      <c r="B215" s="379" t="n">
        <v>0.065</v>
      </c>
      <c r="C215" s="343"/>
      <c r="D215" s="347"/>
      <c r="E215" s="28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80"/>
      <c r="B216" s="39"/>
      <c r="C216" s="280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215</v>
      </c>
      <c r="B217" s="100" t="n">
        <f aca="false">D64</f>
        <v>4896.10625</v>
      </c>
      <c r="C217" s="381" t="s">
        <v>221</v>
      </c>
      <c r="D217" s="280"/>
      <c r="E217" s="309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51"/>
      <c r="D218" s="243"/>
      <c r="E218" s="28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221</v>
      </c>
      <c r="B219" s="100" t="n">
        <f aca="false">B67</f>
        <v>820.0375</v>
      </c>
      <c r="C219" s="351" t="s">
        <v>333</v>
      </c>
      <c r="D219" s="382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54"/>
      <c r="C220" s="351"/>
      <c r="D220" s="280"/>
      <c r="E220" s="28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333</v>
      </c>
      <c r="B221" s="237" t="n">
        <f aca="false">(B77-(B77*(E219*100)))*0.1</f>
        <v>40</v>
      </c>
      <c r="C221" s="351" t="s">
        <v>223</v>
      </c>
      <c r="D221" s="280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51"/>
      <c r="D222" s="3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284" t="s">
        <v>334</v>
      </c>
      <c r="B223" s="237" t="n">
        <f aca="false">B78-(B78*(E219*100))</f>
        <v>200</v>
      </c>
      <c r="C223" s="351" t="s">
        <v>218</v>
      </c>
      <c r="D223" s="280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83"/>
      <c r="B224" s="356"/>
      <c r="C224" s="38"/>
      <c r="D224" s="356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83" t="s">
        <v>335</v>
      </c>
      <c r="B225" s="356" t="n">
        <f aca="false">D197/0.1</f>
        <v>249.48</v>
      </c>
      <c r="C225" s="38"/>
      <c r="D225" s="356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83"/>
      <c r="B226" s="356"/>
      <c r="C226" s="38"/>
      <c r="D226" s="356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59" t="s">
        <v>336</v>
      </c>
      <c r="B227" s="384"/>
      <c r="C227" s="361"/>
      <c r="D227" s="360"/>
      <c r="E227" s="362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57"/>
      <c r="B228" s="385"/>
      <c r="C228" s="280"/>
      <c r="D228" s="358"/>
      <c r="E228" s="28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57" t="s">
        <v>225</v>
      </c>
      <c r="B229" s="100" t="n">
        <f aca="false">B71</f>
        <v>200</v>
      </c>
      <c r="C229" s="351" t="s">
        <v>226</v>
      </c>
      <c r="D229" s="358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57"/>
      <c r="B230" s="385"/>
      <c r="C230" s="351" t="s">
        <v>227</v>
      </c>
      <c r="D230" s="358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57" t="s">
        <v>228</v>
      </c>
      <c r="B231" s="386" t="n">
        <f aca="false">B68</f>
        <v>0.0075</v>
      </c>
      <c r="C231" s="351" t="s">
        <v>229</v>
      </c>
      <c r="D231" s="358"/>
      <c r="E231" s="309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57"/>
      <c r="B232" s="385"/>
      <c r="C232" s="351" t="s">
        <v>230</v>
      </c>
      <c r="D232" s="358"/>
      <c r="E232" s="33" t="n">
        <f aca="false">B86</f>
        <v>305.891161940638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57" t="s">
        <v>231</v>
      </c>
      <c r="B233" s="100" t="n">
        <f aca="false">B79</f>
        <v>200</v>
      </c>
      <c r="C233" s="387" t="s">
        <v>337</v>
      </c>
      <c r="D233" s="388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4"/>
      <c r="B234" s="354"/>
      <c r="C234" s="387"/>
      <c r="D234" s="389"/>
      <c r="E234" s="390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232</v>
      </c>
      <c r="B235" s="100" t="n">
        <f aca="false">B80</f>
        <v>200</v>
      </c>
      <c r="C235" s="391" t="s">
        <v>338</v>
      </c>
      <c r="D235" s="391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81"/>
      <c r="B236" s="280"/>
      <c r="C236" s="280"/>
      <c r="D236" s="280"/>
      <c r="E236" s="28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281"/>
      <c r="B237" s="280"/>
      <c r="C237" s="280"/>
      <c r="D237" s="280"/>
      <c r="E237" s="28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281"/>
      <c r="B239" s="280"/>
      <c r="C239" s="280"/>
      <c r="D239" s="280"/>
      <c r="E239" s="28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281"/>
      <c r="B240" s="280"/>
      <c r="C240" s="280"/>
      <c r="D240" s="280"/>
      <c r="E240" s="28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280"/>
      <c r="D241" s="280"/>
      <c r="E241" s="28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298"/>
      <c r="B242" s="299"/>
      <c r="C242" s="299"/>
      <c r="D242" s="299"/>
      <c r="E242" s="300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1" sqref="A37 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</v>
      </c>
      <c r="C4" s="499" t="n">
        <v>0</v>
      </c>
      <c r="D4" s="499" t="n">
        <v>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</v>
      </c>
      <c r="C5" s="497" t="n">
        <v>0</v>
      </c>
      <c r="D5" s="497" t="n">
        <v>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249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142</v>
      </c>
      <c r="B43" s="236" t="s">
        <v>250</v>
      </c>
      <c r="C43" s="226"/>
      <c r="D43" s="236" t="s">
        <v>251</v>
      </c>
      <c r="E43" s="239"/>
      <c r="F43" s="63"/>
      <c r="G43" s="63" t="s">
        <v>252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253</v>
      </c>
      <c r="H44" s="234" t="n">
        <f aca="false">H32</f>
        <v>50</v>
      </c>
      <c r="I44" s="292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255</v>
      </c>
      <c r="B46" s="236" t="s">
        <v>256</v>
      </c>
      <c r="C46" s="226"/>
      <c r="D46" s="236" t="s">
        <v>257</v>
      </c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396" t="n">
        <v>0.01</v>
      </c>
      <c r="C47" s="396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379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397" t="s">
        <v>365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98" t="s">
        <v>84</v>
      </c>
      <c r="B54" s="211"/>
      <c r="C54" s="211"/>
      <c r="D54" s="399"/>
      <c r="E54" s="400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401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85</v>
      </c>
      <c r="B56" s="247" t="s">
        <v>86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310"/>
      <c r="B60" s="402"/>
      <c r="C60" s="402"/>
      <c r="D60" s="402"/>
      <c r="E60" s="40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63"/>
      <c r="G62" s="404"/>
      <c r="H62" s="405"/>
      <c r="I62" s="405"/>
      <c r="J62" s="405"/>
      <c r="K62" s="406"/>
      <c r="L62" s="63"/>
      <c r="M62" s="404"/>
      <c r="N62" s="405"/>
      <c r="O62" s="405"/>
      <c r="P62" s="405"/>
      <c r="Q62" s="40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87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87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87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88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88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88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77" t="n">
        <f aca="false">G18</f>
        <v>57885</v>
      </c>
      <c r="C67" s="211"/>
      <c r="D67" s="211"/>
      <c r="E67" s="212"/>
      <c r="F67" s="63"/>
      <c r="G67" s="210" t="s">
        <v>14</v>
      </c>
      <c r="H67" s="277" t="n">
        <f aca="false">G18</f>
        <v>57885</v>
      </c>
      <c r="I67" s="211"/>
      <c r="J67" s="211"/>
      <c r="K67" s="212"/>
      <c r="L67" s="63"/>
      <c r="M67" s="210" t="s">
        <v>14</v>
      </c>
      <c r="N67" s="277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276</v>
      </c>
      <c r="B68" s="305" t="n">
        <v>0.07</v>
      </c>
      <c r="C68" s="211"/>
      <c r="D68" s="211"/>
      <c r="E68" s="212"/>
      <c r="F68" s="63"/>
      <c r="G68" s="304" t="s">
        <v>276</v>
      </c>
      <c r="H68" s="305" t="n">
        <v>0.07</v>
      </c>
      <c r="I68" s="211"/>
      <c r="J68" s="211"/>
      <c r="K68" s="212"/>
      <c r="L68" s="63"/>
      <c r="M68" s="304" t="s">
        <v>276</v>
      </c>
      <c r="N68" s="305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277</v>
      </c>
      <c r="B69" s="308" t="n">
        <f aca="false">B68+(B68*0.25*(H29/12-1))</f>
        <v>0.07</v>
      </c>
      <c r="C69" s="211"/>
      <c r="D69" s="211"/>
      <c r="E69" s="212"/>
      <c r="F69" s="63"/>
      <c r="G69" s="210" t="s">
        <v>277</v>
      </c>
      <c r="H69" s="308" t="n">
        <f aca="false">H68+(H68*0.25*(H29/12-1))</f>
        <v>0.07</v>
      </c>
      <c r="I69" s="211"/>
      <c r="J69" s="211"/>
      <c r="K69" s="212"/>
      <c r="L69" s="63"/>
      <c r="M69" s="210" t="s">
        <v>277</v>
      </c>
      <c r="N69" s="308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93</v>
      </c>
      <c r="B70" s="129" t="n">
        <f aca="false">B67*B69</f>
        <v>4051.95</v>
      </c>
      <c r="C70" s="211"/>
      <c r="D70" s="277" t="n">
        <f aca="false">B70-A151</f>
        <v>4051.95</v>
      </c>
      <c r="E70" s="212" t="n">
        <f aca="false">D70/12</f>
        <v>337.6625</v>
      </c>
      <c r="F70" s="63"/>
      <c r="G70" s="310" t="s">
        <v>93</v>
      </c>
      <c r="H70" s="129" t="n">
        <f aca="false">H67*H69</f>
        <v>4051.95</v>
      </c>
      <c r="I70" s="211"/>
      <c r="J70" s="277" t="n">
        <f aca="false">H70-G151</f>
        <v>4051.95</v>
      </c>
      <c r="K70" s="212"/>
      <c r="L70" s="63"/>
      <c r="M70" s="310" t="s">
        <v>93</v>
      </c>
      <c r="N70" s="129" t="n">
        <f aca="false">N67*N69</f>
        <v>4051.95</v>
      </c>
      <c r="O70" s="211"/>
      <c r="P70" s="277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94</v>
      </c>
      <c r="B71" s="305" t="n">
        <v>0.01</v>
      </c>
      <c r="C71" s="211"/>
      <c r="D71" s="211"/>
      <c r="E71" s="212"/>
      <c r="F71" s="63"/>
      <c r="G71" s="304" t="s">
        <v>94</v>
      </c>
      <c r="H71" s="305" t="n">
        <v>0.005</v>
      </c>
      <c r="I71" s="211"/>
      <c r="J71" s="211"/>
      <c r="K71" s="212"/>
      <c r="L71" s="63"/>
      <c r="M71" s="304" t="s">
        <v>94</v>
      </c>
      <c r="N71" s="305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95</v>
      </c>
      <c r="B72" s="308" t="n">
        <f aca="false">B71+(B71*0.5*(H29/12-1))</f>
        <v>0.01</v>
      </c>
      <c r="C72" s="211"/>
      <c r="D72" s="211"/>
      <c r="E72" s="212"/>
      <c r="F72" s="63"/>
      <c r="G72" s="210" t="s">
        <v>95</v>
      </c>
      <c r="H72" s="308" t="n">
        <f aca="false">H71+(H71*0.5*(H29/12-1))</f>
        <v>0.005</v>
      </c>
      <c r="I72" s="211"/>
      <c r="J72" s="211"/>
      <c r="K72" s="212"/>
      <c r="L72" s="63"/>
      <c r="M72" s="210" t="s">
        <v>95</v>
      </c>
      <c r="N72" s="308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96</v>
      </c>
      <c r="B73" s="129" t="n">
        <f aca="false">B67*B72</f>
        <v>578.85</v>
      </c>
      <c r="C73" s="211"/>
      <c r="D73" s="277"/>
      <c r="E73" s="212"/>
      <c r="F73" s="63"/>
      <c r="G73" s="310" t="s">
        <v>96</v>
      </c>
      <c r="H73" s="129" t="n">
        <f aca="false">H67*H72</f>
        <v>289.425</v>
      </c>
      <c r="I73" s="211"/>
      <c r="J73" s="277"/>
      <c r="K73" s="212"/>
      <c r="L73" s="63"/>
      <c r="M73" s="310" t="s">
        <v>96</v>
      </c>
      <c r="N73" s="129" t="n">
        <f aca="false">N67*N72</f>
        <v>289.425</v>
      </c>
      <c r="O73" s="211"/>
      <c r="P73" s="277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97</v>
      </c>
      <c r="B74" s="305" t="n">
        <v>0.0075</v>
      </c>
      <c r="C74" s="211"/>
      <c r="D74" s="211"/>
      <c r="E74" s="212"/>
      <c r="F74" s="63"/>
      <c r="G74" s="304" t="s">
        <v>97</v>
      </c>
      <c r="H74" s="305" t="n">
        <v>0.0075</v>
      </c>
      <c r="I74" s="211"/>
      <c r="J74" s="211"/>
      <c r="K74" s="212"/>
      <c r="L74" s="63"/>
      <c r="M74" s="304" t="s">
        <v>97</v>
      </c>
      <c r="N74" s="305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98</v>
      </c>
      <c r="B75" s="408" t="n">
        <v>0.12</v>
      </c>
      <c r="C75" s="211"/>
      <c r="D75" s="211"/>
      <c r="E75" s="212"/>
      <c r="F75" s="63"/>
      <c r="G75" s="407" t="s">
        <v>98</v>
      </c>
      <c r="H75" s="408" t="n">
        <v>0.12</v>
      </c>
      <c r="I75" s="211"/>
      <c r="J75" s="211"/>
      <c r="K75" s="212"/>
      <c r="L75" s="63"/>
      <c r="M75" s="407" t="s">
        <v>98</v>
      </c>
      <c r="N75" s="408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99</v>
      </c>
      <c r="B76" s="409" t="n">
        <f aca="false">B74*(1+B75)</f>
        <v>0.0084</v>
      </c>
      <c r="C76" s="211"/>
      <c r="D76" s="211"/>
      <c r="E76" s="212"/>
      <c r="F76" s="63"/>
      <c r="G76" s="310" t="s">
        <v>99</v>
      </c>
      <c r="H76" s="409" t="n">
        <f aca="false">H74*(1+H75)</f>
        <v>0.0084</v>
      </c>
      <c r="I76" s="211"/>
      <c r="J76" s="211"/>
      <c r="K76" s="212"/>
      <c r="L76" s="63"/>
      <c r="M76" s="310" t="s">
        <v>99</v>
      </c>
      <c r="N76" s="409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100</v>
      </c>
      <c r="B77" s="410" t="n">
        <v>200</v>
      </c>
      <c r="C77" s="211"/>
      <c r="D77" s="211"/>
      <c r="E77" s="212"/>
      <c r="F77" s="63"/>
      <c r="G77" s="304" t="s">
        <v>100</v>
      </c>
      <c r="H77" s="410" t="n">
        <v>160</v>
      </c>
      <c r="I77" s="211"/>
      <c r="J77" s="211"/>
      <c r="K77" s="212"/>
      <c r="L77" s="63"/>
      <c r="M77" s="304" t="s">
        <v>100</v>
      </c>
      <c r="N77" s="410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407" t="s">
        <v>101</v>
      </c>
      <c r="B78" s="411" t="n">
        <v>5</v>
      </c>
      <c r="C78" s="211"/>
      <c r="D78" s="211"/>
      <c r="E78" s="212"/>
      <c r="F78" s="63"/>
      <c r="G78" s="407" t="s">
        <v>101</v>
      </c>
      <c r="H78" s="411" t="n">
        <v>4.5</v>
      </c>
      <c r="I78" s="211"/>
      <c r="J78" s="211"/>
      <c r="K78" s="212"/>
      <c r="L78" s="63"/>
      <c r="M78" s="407" t="s">
        <v>101</v>
      </c>
      <c r="N78" s="411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310" t="s">
        <v>102</v>
      </c>
      <c r="B79" s="129" t="n">
        <f aca="false">B78*H29</f>
        <v>60</v>
      </c>
      <c r="C79" s="211"/>
      <c r="D79" s="277" t="n">
        <f aca="false">B79+B77</f>
        <v>260</v>
      </c>
      <c r="E79" s="412" t="n">
        <f aca="false">D79+D85+D86</f>
        <v>660</v>
      </c>
      <c r="F79" s="63"/>
      <c r="G79" s="310" t="s">
        <v>102</v>
      </c>
      <c r="H79" s="129" t="n">
        <f aca="false">H78*H29</f>
        <v>54</v>
      </c>
      <c r="I79" s="211"/>
      <c r="J79" s="277" t="n">
        <f aca="false">H79+H77</f>
        <v>214</v>
      </c>
      <c r="K79" s="212"/>
      <c r="L79" s="63"/>
      <c r="M79" s="310" t="s">
        <v>102</v>
      </c>
      <c r="N79" s="129" t="n">
        <f aca="false">N78*H29</f>
        <v>54</v>
      </c>
      <c r="O79" s="211"/>
      <c r="P79" s="277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4" t="s">
        <v>278</v>
      </c>
      <c r="B80" s="410" t="n">
        <v>0</v>
      </c>
      <c r="C80" s="211"/>
      <c r="D80" s="211"/>
      <c r="E80" s="412" t="n">
        <f aca="false">E79+D82</f>
        <v>660</v>
      </c>
      <c r="F80" s="63"/>
      <c r="G80" s="304" t="s">
        <v>278</v>
      </c>
      <c r="H80" s="410" t="n">
        <v>150</v>
      </c>
      <c r="I80" s="211"/>
      <c r="J80" s="211"/>
      <c r="K80" s="212"/>
      <c r="L80" s="63"/>
      <c r="M80" s="413" t="s">
        <v>278</v>
      </c>
      <c r="N80" s="414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07" t="s">
        <v>279</v>
      </c>
      <c r="B81" s="411" t="n">
        <v>0</v>
      </c>
      <c r="C81" s="211"/>
      <c r="D81" s="211"/>
      <c r="E81" s="212" t="n">
        <f aca="false">E80/12</f>
        <v>55</v>
      </c>
      <c r="F81" s="63"/>
      <c r="G81" s="407" t="s">
        <v>279</v>
      </c>
      <c r="H81" s="411" t="n">
        <f aca="false">IF(G18&gt;40000, 325, 0)</f>
        <v>325</v>
      </c>
      <c r="I81" s="211"/>
      <c r="J81" s="211"/>
      <c r="K81" s="212"/>
      <c r="L81" s="63"/>
      <c r="M81" s="415" t="s">
        <v>279</v>
      </c>
      <c r="N81" s="416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310" t="s">
        <v>280</v>
      </c>
      <c r="B82" s="129" t="n">
        <f aca="false">((B80+B81)/12)*(H29-11)</f>
        <v>0</v>
      </c>
      <c r="C82" s="211"/>
      <c r="D82" s="277" t="n">
        <f aca="false">IF(A50="YES", 0, B82)</f>
        <v>0</v>
      </c>
      <c r="E82" s="212"/>
      <c r="F82" s="63"/>
      <c r="G82" s="310" t="s">
        <v>280</v>
      </c>
      <c r="H82" s="129" t="n">
        <f aca="false">((H80+H81)/12)*(H29-11)</f>
        <v>39.5833333333333</v>
      </c>
      <c r="I82" s="211"/>
      <c r="J82" s="277" t="n">
        <f aca="false">IF(A50="YES", 0, H82)</f>
        <v>39.5833333333333</v>
      </c>
      <c r="K82" s="212"/>
      <c r="L82" s="63"/>
      <c r="M82" s="417" t="s">
        <v>280</v>
      </c>
      <c r="N82" s="418" t="n">
        <f aca="false">((N80+N81)/12)*(H29-11)</f>
        <v>0</v>
      </c>
      <c r="O82" s="211"/>
      <c r="P82" s="277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281</v>
      </c>
      <c r="B83" s="410" t="n">
        <v>0</v>
      </c>
      <c r="C83" s="211"/>
      <c r="D83" s="277" t="n">
        <f aca="false">B83</f>
        <v>0</v>
      </c>
      <c r="E83" s="212" t="n">
        <f aca="false">D83/12</f>
        <v>0</v>
      </c>
      <c r="F83" s="63"/>
      <c r="G83" s="304" t="s">
        <v>281</v>
      </c>
      <c r="H83" s="410" t="n">
        <f aca="false">H108</f>
        <v>1200</v>
      </c>
      <c r="I83" s="211"/>
      <c r="J83" s="277" t="n">
        <f aca="false">H83</f>
        <v>1200</v>
      </c>
      <c r="K83" s="212"/>
      <c r="L83" s="63"/>
      <c r="M83" s="304" t="s">
        <v>281</v>
      </c>
      <c r="N83" s="410" t="n">
        <f aca="false">N108</f>
        <v>1200</v>
      </c>
      <c r="O83" s="211"/>
      <c r="P83" s="277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282</v>
      </c>
      <c r="B84" s="419" t="n">
        <v>0</v>
      </c>
      <c r="C84" s="211"/>
      <c r="D84" s="277" t="n">
        <f aca="false">B84</f>
        <v>0</v>
      </c>
      <c r="E84" s="212"/>
      <c r="F84" s="63"/>
      <c r="G84" s="210" t="s">
        <v>283</v>
      </c>
      <c r="H84" s="419" t="n">
        <f aca="false">J108</f>
        <v>1500</v>
      </c>
      <c r="I84" s="211"/>
      <c r="J84" s="277" t="n">
        <f aca="false">H84</f>
        <v>1500</v>
      </c>
      <c r="K84" s="212"/>
      <c r="L84" s="63"/>
      <c r="M84" s="210" t="s">
        <v>283</v>
      </c>
      <c r="N84" s="419" t="n">
        <f aca="false">P108</f>
        <v>1500</v>
      </c>
      <c r="O84" s="211"/>
      <c r="P84" s="277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7" t="s">
        <v>103</v>
      </c>
      <c r="B85" s="411" t="n">
        <v>200</v>
      </c>
      <c r="C85" s="211"/>
      <c r="D85" s="277" t="n">
        <f aca="false">B85</f>
        <v>200</v>
      </c>
      <c r="E85" s="212"/>
      <c r="F85" s="63"/>
      <c r="G85" s="407" t="s">
        <v>103</v>
      </c>
      <c r="H85" s="411" t="n">
        <v>100</v>
      </c>
      <c r="I85" s="211"/>
      <c r="J85" s="277" t="n">
        <f aca="false">H85</f>
        <v>100</v>
      </c>
      <c r="K85" s="212"/>
      <c r="L85" s="63"/>
      <c r="M85" s="407" t="s">
        <v>103</v>
      </c>
      <c r="N85" s="411" t="n">
        <v>100</v>
      </c>
      <c r="O85" s="211"/>
      <c r="P85" s="277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420" t="s">
        <v>104</v>
      </c>
      <c r="B86" s="421" t="n">
        <v>200</v>
      </c>
      <c r="C86" s="211"/>
      <c r="D86" s="277" t="n">
        <f aca="false">B86</f>
        <v>200</v>
      </c>
      <c r="E86" s="212"/>
      <c r="F86" s="63"/>
      <c r="G86" s="420" t="s">
        <v>104</v>
      </c>
      <c r="H86" s="421" t="n">
        <v>100</v>
      </c>
      <c r="I86" s="211"/>
      <c r="J86" s="277" t="n">
        <f aca="false">H86</f>
        <v>100</v>
      </c>
      <c r="K86" s="212"/>
      <c r="L86" s="63"/>
      <c r="M86" s="420" t="s">
        <v>104</v>
      </c>
      <c r="N86" s="421" t="n">
        <v>100</v>
      </c>
      <c r="O86" s="211"/>
      <c r="P86" s="277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422" t="s">
        <v>105</v>
      </c>
      <c r="B87" s="423" t="n">
        <f aca="false">SUM(D70:D86)</f>
        <v>4711.95</v>
      </c>
      <c r="C87" s="211"/>
      <c r="D87" s="211"/>
      <c r="E87" s="212"/>
      <c r="F87" s="63"/>
      <c r="G87" s="422" t="s">
        <v>105</v>
      </c>
      <c r="H87" s="423" t="n">
        <f aca="false">SUM(J70:J86)</f>
        <v>7205.53333333333</v>
      </c>
      <c r="I87" s="211"/>
      <c r="J87" s="211"/>
      <c r="K87" s="212"/>
      <c r="L87" s="63"/>
      <c r="M87" s="422" t="s">
        <v>105</v>
      </c>
      <c r="N87" s="42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106</v>
      </c>
      <c r="B88" s="419" t="n">
        <f aca="false">B87/H29</f>
        <v>392.6625</v>
      </c>
      <c r="C88" s="211"/>
      <c r="D88" s="211"/>
      <c r="E88" s="212"/>
      <c r="F88" s="63"/>
      <c r="G88" s="210" t="s">
        <v>106</v>
      </c>
      <c r="H88" s="419" t="n">
        <f aca="false">H87/H29</f>
        <v>600.461111111111</v>
      </c>
      <c r="I88" s="211"/>
      <c r="J88" s="211"/>
      <c r="K88" s="212"/>
      <c r="L88" s="63"/>
      <c r="M88" s="210" t="s">
        <v>106</v>
      </c>
      <c r="N88" s="41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4" t="s">
        <v>107</v>
      </c>
      <c r="B89" s="425" t="n">
        <f aca="false">H46</f>
        <v>501</v>
      </c>
      <c r="C89" s="211"/>
      <c r="D89" s="211"/>
      <c r="E89" s="212"/>
      <c r="F89" s="63"/>
      <c r="G89" s="424" t="s">
        <v>107</v>
      </c>
      <c r="H89" s="425" t="n">
        <f aca="false">H46</f>
        <v>501</v>
      </c>
      <c r="I89" s="211"/>
      <c r="J89" s="211"/>
      <c r="K89" s="212"/>
      <c r="L89" s="63"/>
      <c r="M89" s="424" t="s">
        <v>107</v>
      </c>
      <c r="N89" s="42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77"/>
      <c r="C90" s="211"/>
      <c r="D90" s="211"/>
      <c r="E90" s="212"/>
      <c r="F90" s="63"/>
      <c r="G90" s="210"/>
      <c r="H90" s="277"/>
      <c r="I90" s="211"/>
      <c r="J90" s="211"/>
      <c r="K90" s="212"/>
      <c r="L90" s="63"/>
      <c r="M90" s="210"/>
      <c r="N90" s="277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04" t="s">
        <v>117</v>
      </c>
      <c r="B91" s="127" t="n">
        <f aca="false">((B89*H29)+B87)</f>
        <v>10723.95</v>
      </c>
      <c r="C91" s="211"/>
      <c r="D91" s="211"/>
      <c r="E91" s="212"/>
      <c r="F91" s="63"/>
      <c r="G91" s="404" t="s">
        <v>117</v>
      </c>
      <c r="H91" s="127" t="n">
        <f aca="false">((H89*H29)+H87)*1.2</f>
        <v>15861.04</v>
      </c>
      <c r="I91" s="211"/>
      <c r="J91" s="211"/>
      <c r="K91" s="212"/>
      <c r="L91" s="63"/>
      <c r="M91" s="404" t="s">
        <v>117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118</v>
      </c>
      <c r="B92" s="419" t="n">
        <f aca="false">(((B89*H29)+B87)/(1-B76))*B76</f>
        <v>90.8442718838241</v>
      </c>
      <c r="C92" s="211"/>
      <c r="D92" s="211"/>
      <c r="E92" s="426"/>
      <c r="F92" s="63"/>
      <c r="G92" s="210" t="s">
        <v>118</v>
      </c>
      <c r="H92" s="419" t="n">
        <f aca="false">(((H89*H29)+H87)/(1-H76))*H76</f>
        <v>111.967809600645</v>
      </c>
      <c r="I92" s="211"/>
      <c r="J92" s="211"/>
      <c r="K92" s="212"/>
      <c r="L92" s="63"/>
      <c r="M92" s="210" t="s">
        <v>118</v>
      </c>
      <c r="N92" s="41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310" t="s">
        <v>119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310" t="s">
        <v>119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310" t="s">
        <v>119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77"/>
      <c r="C94" s="211"/>
      <c r="D94" s="211"/>
      <c r="E94" s="212"/>
      <c r="F94" s="63"/>
      <c r="G94" s="210"/>
      <c r="H94" s="277"/>
      <c r="I94" s="211"/>
      <c r="J94" s="211"/>
      <c r="K94" s="212"/>
      <c r="L94" s="63"/>
      <c r="M94" s="210"/>
      <c r="N94" s="277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422" t="s">
        <v>120</v>
      </c>
      <c r="B95" s="423" t="n">
        <f aca="false">((H44*B35)+((H44*B35)*B111))/(B63+B64)</f>
        <v>31.304347826087</v>
      </c>
      <c r="C95" s="211"/>
      <c r="D95" s="211"/>
      <c r="E95" s="212"/>
      <c r="F95" s="63"/>
      <c r="G95" s="422" t="s">
        <v>120</v>
      </c>
      <c r="H95" s="423" t="e">
        <f aca="false">(((H44*B35)+((H44*B35)*H111))/(H63+H64))*1.2</f>
        <v>#DIV/0!</v>
      </c>
      <c r="I95" s="211"/>
      <c r="J95" s="211"/>
      <c r="K95" s="212"/>
      <c r="L95" s="63"/>
      <c r="M95" s="422" t="s">
        <v>120</v>
      </c>
      <c r="N95" s="42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427" t="s">
        <v>121</v>
      </c>
      <c r="B96" s="428" t="n">
        <f aca="false">IF(B105=Y104, (B93-D111)/(B64), B93/(B63+B64))</f>
        <v>470.208446603645</v>
      </c>
      <c r="C96" s="211"/>
      <c r="D96" s="211"/>
      <c r="E96" s="212"/>
      <c r="F96" s="63"/>
      <c r="G96" s="427" t="s">
        <v>121</v>
      </c>
      <c r="H96" s="428" t="e">
        <f aca="false">IF(H105=Y104, (H93-J111)/(H64), H93/(H63+H64))</f>
        <v>#DIV/0!</v>
      </c>
      <c r="I96" s="211"/>
      <c r="J96" s="211"/>
      <c r="K96" s="212"/>
      <c r="L96" s="63"/>
      <c r="M96" s="427" t="s">
        <v>121</v>
      </c>
      <c r="N96" s="42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429" t="s">
        <v>122</v>
      </c>
      <c r="B97" s="430" t="n">
        <f aca="false">IF(A111="YES", B96+B95, B96)</f>
        <v>501.512794429732</v>
      </c>
      <c r="C97" s="211"/>
      <c r="D97" s="431"/>
      <c r="E97" s="212"/>
      <c r="F97" s="63"/>
      <c r="G97" s="429" t="s">
        <v>122</v>
      </c>
      <c r="H97" s="430" t="e">
        <f aca="false">IF(G111="YES", H96+H95, H96)</f>
        <v>#DIV/0!</v>
      </c>
      <c r="I97" s="211"/>
      <c r="J97" s="211"/>
      <c r="K97" s="212"/>
      <c r="L97" s="63"/>
      <c r="M97" s="429" t="s">
        <v>122</v>
      </c>
      <c r="N97" s="43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310"/>
      <c r="B98" s="402"/>
      <c r="C98" s="402"/>
      <c r="D98" s="402"/>
      <c r="E98" s="403"/>
      <c r="F98" s="63"/>
      <c r="G98" s="310"/>
      <c r="H98" s="402"/>
      <c r="I98" s="402"/>
      <c r="J98" s="402"/>
      <c r="K98" s="403"/>
      <c r="L98" s="63"/>
      <c r="M98" s="310"/>
      <c r="N98" s="402"/>
      <c r="O98" s="402"/>
      <c r="P98" s="402"/>
      <c r="Q98" s="40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284</v>
      </c>
      <c r="B100" s="209"/>
      <c r="C100" s="209"/>
      <c r="D100" s="209"/>
      <c r="E100" s="209"/>
      <c r="F100" s="63"/>
      <c r="G100" s="209" t="s">
        <v>285</v>
      </c>
      <c r="H100" s="209"/>
      <c r="I100" s="209"/>
      <c r="J100" s="209"/>
      <c r="K100" s="209"/>
      <c r="L100" s="63"/>
      <c r="M100" s="209" t="s">
        <v>286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127</v>
      </c>
      <c r="B102" s="213"/>
      <c r="C102" s="213"/>
      <c r="D102" s="213"/>
      <c r="E102" s="213"/>
      <c r="F102" s="63"/>
      <c r="G102" s="213" t="s">
        <v>127</v>
      </c>
      <c r="H102" s="213"/>
      <c r="I102" s="213"/>
      <c r="J102" s="213"/>
      <c r="K102" s="213"/>
      <c r="L102" s="63"/>
      <c r="M102" s="213" t="s">
        <v>127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131</v>
      </c>
    </row>
    <row r="104" customFormat="false" ht="18.75" hidden="false" customHeight="true" outlineLevel="0" collapsed="false">
      <c r="A104" s="210" t="s">
        <v>128</v>
      </c>
      <c r="B104" s="211" t="s">
        <v>23</v>
      </c>
      <c r="C104" s="211"/>
      <c r="D104" s="211" t="s">
        <v>287</v>
      </c>
      <c r="E104" s="212"/>
      <c r="F104" s="63"/>
      <c r="G104" s="210" t="s">
        <v>128</v>
      </c>
      <c r="H104" s="211" t="s">
        <v>23</v>
      </c>
      <c r="I104" s="211"/>
      <c r="J104" s="211" t="s">
        <v>287</v>
      </c>
      <c r="K104" s="212"/>
      <c r="L104" s="63"/>
      <c r="M104" s="210" t="s">
        <v>128</v>
      </c>
      <c r="N104" s="211" t="s">
        <v>23</v>
      </c>
      <c r="O104" s="211"/>
      <c r="P104" s="211" t="s">
        <v>287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259</v>
      </c>
    </row>
    <row r="105" customFormat="false" ht="18.75" hidden="false" customHeight="true" outlineLevel="0" collapsed="false">
      <c r="A105" s="216" t="s">
        <v>288</v>
      </c>
      <c r="B105" s="331" t="s">
        <v>264</v>
      </c>
      <c r="C105" s="331"/>
      <c r="D105" s="332" t="n">
        <v>0</v>
      </c>
      <c r="E105" s="332"/>
      <c r="F105" s="63"/>
      <c r="G105" s="216" t="s">
        <v>288</v>
      </c>
      <c r="H105" s="331" t="s">
        <v>265</v>
      </c>
      <c r="I105" s="331"/>
      <c r="J105" s="332" t="n">
        <v>5000</v>
      </c>
      <c r="K105" s="332"/>
      <c r="L105" s="63"/>
      <c r="M105" s="216" t="s">
        <v>288</v>
      </c>
      <c r="N105" s="331" t="s">
        <v>264</v>
      </c>
      <c r="O105" s="331"/>
      <c r="P105" s="332" t="n">
        <v>0</v>
      </c>
      <c r="Q105" s="332"/>
      <c r="R105" s="63"/>
      <c r="S105" s="63"/>
      <c r="T105" s="63"/>
      <c r="U105" s="63"/>
      <c r="V105" s="63"/>
      <c r="W105" s="63"/>
      <c r="X105" s="63"/>
      <c r="Y105" s="63"/>
      <c r="Z105" s="63" t="s">
        <v>260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261</v>
      </c>
    </row>
    <row r="107" customFormat="false" ht="18.75" hidden="false" customHeight="true" outlineLevel="0" collapsed="false">
      <c r="A107" s="210" t="s">
        <v>289</v>
      </c>
      <c r="B107" s="211" t="s">
        <v>290</v>
      </c>
      <c r="C107" s="211"/>
      <c r="D107" s="211" t="s">
        <v>291</v>
      </c>
      <c r="E107" s="212"/>
      <c r="F107" s="63"/>
      <c r="G107" s="210" t="s">
        <v>289</v>
      </c>
      <c r="H107" s="211" t="s">
        <v>290</v>
      </c>
      <c r="I107" s="211"/>
      <c r="J107" s="211" t="s">
        <v>291</v>
      </c>
      <c r="K107" s="212"/>
      <c r="L107" s="63"/>
      <c r="M107" s="210" t="s">
        <v>289</v>
      </c>
      <c r="N107" s="211" t="s">
        <v>290</v>
      </c>
      <c r="O107" s="211"/>
      <c r="P107" s="211" t="s">
        <v>291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262</v>
      </c>
    </row>
    <row r="108" customFormat="false" ht="18.75" hidden="false" customHeight="true" outlineLevel="0" collapsed="false">
      <c r="A108" s="333" t="n">
        <v>199.99</v>
      </c>
      <c r="B108" s="103" t="n">
        <v>0</v>
      </c>
      <c r="C108" s="103"/>
      <c r="D108" s="103" t="n">
        <v>0</v>
      </c>
      <c r="E108" s="103"/>
      <c r="F108" s="63"/>
      <c r="G108" s="333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33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264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265</v>
      </c>
    </row>
    <row r="110" customFormat="false" ht="18.75" hidden="false" customHeight="true" outlineLevel="0" collapsed="false">
      <c r="A110" s="216" t="s">
        <v>129</v>
      </c>
      <c r="B110" s="63" t="s">
        <v>132</v>
      </c>
      <c r="C110" s="211"/>
      <c r="D110" s="211" t="s">
        <v>143</v>
      </c>
      <c r="E110" s="212"/>
      <c r="F110" s="63"/>
      <c r="G110" s="216" t="s">
        <v>129</v>
      </c>
      <c r="H110" s="63" t="s">
        <v>132</v>
      </c>
      <c r="I110" s="211"/>
      <c r="J110" s="211" t="s">
        <v>143</v>
      </c>
      <c r="K110" s="212"/>
      <c r="L110" s="63"/>
      <c r="M110" s="216" t="s">
        <v>129</v>
      </c>
      <c r="N110" s="63" t="s">
        <v>132</v>
      </c>
      <c r="O110" s="211"/>
      <c r="P110" s="211" t="s">
        <v>143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266</v>
      </c>
    </row>
    <row r="111" customFormat="false" ht="18.75" hidden="false" customHeight="true" outlineLevel="0" collapsed="false">
      <c r="A111" s="218" t="s">
        <v>18</v>
      </c>
      <c r="B111" s="334" t="n">
        <v>0.2</v>
      </c>
      <c r="C111" s="334"/>
      <c r="D111" s="103" t="n">
        <v>200</v>
      </c>
      <c r="E111" s="103"/>
      <c r="F111" s="63"/>
      <c r="G111" s="218" t="s">
        <v>18</v>
      </c>
      <c r="H111" s="334" t="n">
        <v>0.2</v>
      </c>
      <c r="I111" s="334"/>
      <c r="J111" s="103" t="n">
        <v>5000</v>
      </c>
      <c r="K111" s="103"/>
      <c r="L111" s="63"/>
      <c r="M111" s="218" t="s">
        <v>18</v>
      </c>
      <c r="N111" s="334" t="n">
        <v>0.2</v>
      </c>
      <c r="O111" s="334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267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292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293</v>
      </c>
      <c r="B114" s="213"/>
      <c r="C114" s="213"/>
      <c r="D114" s="213"/>
      <c r="E114" s="213"/>
      <c r="F114" s="63"/>
      <c r="G114" s="213" t="s">
        <v>293</v>
      </c>
      <c r="H114" s="213"/>
      <c r="I114" s="213"/>
      <c r="J114" s="213"/>
      <c r="K114" s="213"/>
      <c r="L114" s="63"/>
      <c r="M114" s="213" t="s">
        <v>293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294</v>
      </c>
      <c r="B116" s="218" t="s">
        <v>19</v>
      </c>
      <c r="C116" s="211"/>
      <c r="D116" s="211"/>
      <c r="E116" s="212"/>
      <c r="F116" s="63"/>
      <c r="G116" s="210" t="s">
        <v>294</v>
      </c>
      <c r="H116" s="218" t="s">
        <v>18</v>
      </c>
      <c r="I116" s="211"/>
      <c r="J116" s="211"/>
      <c r="K116" s="212"/>
      <c r="L116" s="63"/>
      <c r="M116" s="210" t="s">
        <v>294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177</v>
      </c>
      <c r="B118" s="211"/>
      <c r="C118" s="211"/>
      <c r="D118" s="333" t="n">
        <v>0</v>
      </c>
      <c r="E118" s="103" t="n">
        <v>0</v>
      </c>
      <c r="F118" s="63"/>
      <c r="G118" s="210" t="s">
        <v>177</v>
      </c>
      <c r="H118" s="211"/>
      <c r="I118" s="211"/>
      <c r="J118" s="333" t="n">
        <v>10000</v>
      </c>
      <c r="K118" s="103" t="n">
        <v>5000</v>
      </c>
      <c r="L118" s="63"/>
      <c r="M118" s="210" t="s">
        <v>177</v>
      </c>
      <c r="N118" s="211"/>
      <c r="O118" s="211"/>
      <c r="P118" s="333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178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178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178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179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179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179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180</v>
      </c>
      <c r="B121" s="211"/>
      <c r="C121" s="211"/>
      <c r="D121" s="163" t="n">
        <f aca="false">D120-E120</f>
        <v>0</v>
      </c>
      <c r="E121" s="212"/>
      <c r="F121" s="63"/>
      <c r="G121" s="210" t="s">
        <v>180</v>
      </c>
      <c r="H121" s="211"/>
      <c r="I121" s="211"/>
      <c r="J121" s="163" t="n">
        <f aca="false">J120-K120</f>
        <v>5000</v>
      </c>
      <c r="K121" s="212"/>
      <c r="L121" s="63"/>
      <c r="M121" s="210" t="s">
        <v>180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404" t="s">
        <v>139</v>
      </c>
      <c r="B123" s="405"/>
      <c r="C123" s="405"/>
      <c r="D123" s="405"/>
      <c r="E123" s="127" t="n">
        <f aca="false">D105</f>
        <v>0</v>
      </c>
      <c r="F123" s="63"/>
      <c r="G123" s="404" t="s">
        <v>139</v>
      </c>
      <c r="H123" s="405"/>
      <c r="I123" s="405"/>
      <c r="J123" s="405"/>
      <c r="K123" s="127" t="n">
        <f aca="false">J105</f>
        <v>5000</v>
      </c>
      <c r="L123" s="63"/>
      <c r="M123" s="404" t="s">
        <v>139</v>
      </c>
      <c r="N123" s="405"/>
      <c r="O123" s="405"/>
      <c r="P123" s="405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419" t="n">
        <f aca="false">A108</f>
        <v>199.99</v>
      </c>
      <c r="F124" s="63"/>
      <c r="G124" s="210" t="s">
        <v>53</v>
      </c>
      <c r="H124" s="211"/>
      <c r="I124" s="211"/>
      <c r="J124" s="211"/>
      <c r="K124" s="419" t="n">
        <f aca="false">G108</f>
        <v>239.988</v>
      </c>
      <c r="L124" s="63"/>
      <c r="M124" s="210" t="s">
        <v>53</v>
      </c>
      <c r="N124" s="211"/>
      <c r="O124" s="211"/>
      <c r="P124" s="211"/>
      <c r="Q124" s="41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432" t="s">
        <v>295</v>
      </c>
      <c r="B125" s="402"/>
      <c r="C125" s="402"/>
      <c r="D125" s="402"/>
      <c r="E125" s="129" t="n">
        <f aca="false">(E124+E123)-E120</f>
        <v>199.99</v>
      </c>
      <c r="F125" s="63"/>
      <c r="G125" s="432" t="s">
        <v>295</v>
      </c>
      <c r="H125" s="402"/>
      <c r="I125" s="402"/>
      <c r="J125" s="402"/>
      <c r="K125" s="129" t="n">
        <f aca="false">(K124+K123)-K120</f>
        <v>7239.988</v>
      </c>
      <c r="L125" s="63"/>
      <c r="M125" s="432" t="s">
        <v>295</v>
      </c>
      <c r="N125" s="402"/>
      <c r="O125" s="402"/>
      <c r="P125" s="402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296</v>
      </c>
      <c r="B128" s="213"/>
      <c r="C128" s="213"/>
      <c r="D128" s="213"/>
      <c r="E128" s="213"/>
      <c r="F128" s="63"/>
      <c r="G128" s="213" t="s">
        <v>296</v>
      </c>
      <c r="H128" s="213"/>
      <c r="I128" s="213"/>
      <c r="J128" s="213"/>
      <c r="K128" s="213"/>
      <c r="L128" s="63"/>
      <c r="M128" s="213" t="s">
        <v>296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184</v>
      </c>
      <c r="B130" s="169" t="n">
        <v>1200</v>
      </c>
      <c r="C130" s="169"/>
      <c r="D130" s="211"/>
      <c r="E130" s="212"/>
      <c r="F130" s="63"/>
      <c r="G130" s="210" t="s">
        <v>184</v>
      </c>
      <c r="H130" s="169" t="n">
        <v>0</v>
      </c>
      <c r="I130" s="169"/>
      <c r="J130" s="211"/>
      <c r="K130" s="212"/>
      <c r="L130" s="63"/>
      <c r="M130" s="210" t="s">
        <v>184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85</v>
      </c>
      <c r="B132" s="211" t="s">
        <v>86</v>
      </c>
      <c r="C132" s="211"/>
      <c r="D132" s="211" t="s">
        <v>88</v>
      </c>
      <c r="E132" s="212"/>
      <c r="F132" s="63"/>
      <c r="G132" s="210" t="s">
        <v>85</v>
      </c>
      <c r="H132" s="211" t="s">
        <v>86</v>
      </c>
      <c r="I132" s="211"/>
      <c r="J132" s="211" t="s">
        <v>88</v>
      </c>
      <c r="K132" s="212"/>
      <c r="L132" s="63"/>
      <c r="M132" s="210" t="s">
        <v>85</v>
      </c>
      <c r="N132" s="211" t="s">
        <v>86</v>
      </c>
      <c r="O132" s="211"/>
      <c r="P132" s="211" t="s">
        <v>88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433" t="s">
        <v>302</v>
      </c>
      <c r="B135" s="434" t="s">
        <v>248</v>
      </c>
      <c r="C135" s="434"/>
      <c r="D135" s="434" t="s">
        <v>122</v>
      </c>
      <c r="E135" s="212"/>
      <c r="F135" s="63"/>
      <c r="G135" s="433" t="s">
        <v>299</v>
      </c>
      <c r="H135" s="434" t="s">
        <v>300</v>
      </c>
      <c r="I135" s="434"/>
      <c r="J135" s="434" t="s">
        <v>301</v>
      </c>
      <c r="K135" s="212"/>
      <c r="L135" s="63"/>
      <c r="M135" s="433" t="s">
        <v>302</v>
      </c>
      <c r="N135" s="434" t="s">
        <v>248</v>
      </c>
      <c r="O135" s="434"/>
      <c r="P135" s="434" t="s">
        <v>122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48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48" t="e">
        <f aca="false">H96</f>
        <v>#DIV/0!</v>
      </c>
      <c r="H136" s="174" t="e">
        <f aca="false">IF(G111="YES", H95*H63, 0)</f>
        <v>#DIV/0!</v>
      </c>
      <c r="I136" s="174"/>
      <c r="J136" s="349" t="e">
        <f aca="false">H97</f>
        <v>#DIV/0!</v>
      </c>
      <c r="K136" s="212"/>
      <c r="L136" s="63"/>
      <c r="M136" s="348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308</v>
      </c>
      <c r="B138" s="211" t="s">
        <v>239</v>
      </c>
      <c r="C138" s="211"/>
      <c r="D138" s="211" t="s">
        <v>242</v>
      </c>
      <c r="E138" s="212"/>
      <c r="F138" s="63"/>
      <c r="G138" s="210" t="s">
        <v>305</v>
      </c>
      <c r="H138" s="211" t="s">
        <v>306</v>
      </c>
      <c r="I138" s="211"/>
      <c r="J138" s="211" t="s">
        <v>307</v>
      </c>
      <c r="K138" s="212"/>
      <c r="L138" s="63"/>
      <c r="M138" s="210" t="s">
        <v>308</v>
      </c>
      <c r="N138" s="211" t="s">
        <v>239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250</v>
      </c>
      <c r="B141" s="211" t="s">
        <v>251</v>
      </c>
      <c r="C141" s="211"/>
      <c r="D141" s="211" t="s">
        <v>255</v>
      </c>
      <c r="E141" s="212"/>
      <c r="F141" s="63"/>
      <c r="G141" s="210" t="s">
        <v>311</v>
      </c>
      <c r="H141" s="211" t="s">
        <v>312</v>
      </c>
      <c r="I141" s="211"/>
      <c r="J141" s="211" t="s">
        <v>313</v>
      </c>
      <c r="K141" s="212"/>
      <c r="L141" s="63"/>
      <c r="M141" s="210" t="s">
        <v>250</v>
      </c>
      <c r="N141" s="211" t="s">
        <v>251</v>
      </c>
      <c r="O141" s="211"/>
      <c r="P141" s="211" t="s">
        <v>255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142</v>
      </c>
      <c r="B144" s="211" t="s">
        <v>315</v>
      </c>
      <c r="C144" s="211"/>
      <c r="D144" s="211" t="s">
        <v>316</v>
      </c>
      <c r="E144" s="212"/>
      <c r="F144" s="63"/>
      <c r="G144" s="210" t="s">
        <v>314</v>
      </c>
      <c r="H144" s="211" t="s">
        <v>315</v>
      </c>
      <c r="I144" s="211"/>
      <c r="J144" s="211" t="s">
        <v>316</v>
      </c>
      <c r="K144" s="212"/>
      <c r="L144" s="63"/>
      <c r="M144" s="210" t="s">
        <v>142</v>
      </c>
      <c r="N144" s="211" t="s">
        <v>315</v>
      </c>
      <c r="O144" s="211"/>
      <c r="P144" s="211" t="s">
        <v>316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318</v>
      </c>
      <c r="B147" s="211" t="s">
        <v>319</v>
      </c>
      <c r="C147" s="211"/>
      <c r="D147" s="211" t="s">
        <v>320</v>
      </c>
      <c r="E147" s="212"/>
      <c r="F147" s="63"/>
      <c r="G147" s="210" t="s">
        <v>318</v>
      </c>
      <c r="H147" s="211" t="s">
        <v>319</v>
      </c>
      <c r="I147" s="211"/>
      <c r="J147" s="211" t="s">
        <v>320</v>
      </c>
      <c r="K147" s="212"/>
      <c r="L147" s="63"/>
      <c r="M147" s="210" t="s">
        <v>318</v>
      </c>
      <c r="N147" s="211" t="s">
        <v>319</v>
      </c>
      <c r="O147" s="211"/>
      <c r="P147" s="211" t="s">
        <v>320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322</v>
      </c>
      <c r="B150" s="211" t="s">
        <v>323</v>
      </c>
      <c r="C150" s="211"/>
      <c r="D150" s="211"/>
      <c r="E150" s="212"/>
      <c r="F150" s="63"/>
      <c r="G150" s="210" t="s">
        <v>322</v>
      </c>
      <c r="H150" s="211" t="s">
        <v>323</v>
      </c>
      <c r="I150" s="211"/>
      <c r="J150" s="211"/>
      <c r="K150" s="212"/>
      <c r="L150" s="63"/>
      <c r="M150" s="210" t="s">
        <v>322</v>
      </c>
      <c r="N150" s="211" t="s">
        <v>323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328</v>
      </c>
      <c r="N153" s="163" t="s">
        <v>329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398" t="s">
        <v>330</v>
      </c>
      <c r="B154" s="211"/>
      <c r="C154" s="211"/>
      <c r="D154" s="399"/>
      <c r="E154" s="400"/>
      <c r="F154" s="63"/>
      <c r="G154" s="398" t="s">
        <v>330</v>
      </c>
      <c r="H154" s="211"/>
      <c r="I154" s="211"/>
      <c r="J154" s="399"/>
      <c r="K154" s="400"/>
      <c r="L154" s="63"/>
      <c r="M154" s="363" t="n">
        <f aca="false">H40</f>
        <v>0</v>
      </c>
      <c r="N154" s="364" t="n">
        <v>0.99</v>
      </c>
      <c r="O154" s="364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85</v>
      </c>
      <c r="B156" s="247" t="s">
        <v>86</v>
      </c>
      <c r="C156" s="247"/>
      <c r="D156" s="211"/>
      <c r="E156" s="212"/>
      <c r="F156" s="63"/>
      <c r="G156" s="246" t="s">
        <v>85</v>
      </c>
      <c r="H156" s="247" t="s">
        <v>86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398" t="s">
        <v>330</v>
      </c>
      <c r="N157" s="211"/>
      <c r="O157" s="211"/>
      <c r="P157" s="399"/>
      <c r="Q157" s="400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85</v>
      </c>
      <c r="N159" s="247" t="s">
        <v>86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0"/>
      <c r="B163" s="402"/>
      <c r="C163" s="402"/>
      <c r="D163" s="402"/>
      <c r="E163" s="403"/>
      <c r="F163" s="63"/>
      <c r="G163" s="310"/>
      <c r="H163" s="402"/>
      <c r="I163" s="402"/>
      <c r="J163" s="402"/>
      <c r="K163" s="403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310"/>
      <c r="N168" s="402"/>
      <c r="O168" s="402"/>
      <c r="P168" s="402"/>
      <c r="Q168" s="40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1" sqref="A37 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16745.0</v>
      </c>
      <c r="C3" s="497" t="n">
        <v>0.0</v>
      </c>
      <c r="D3" s="497" t="n">
        <v>0.0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510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275.0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380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90" t="n">
        <f aca="false">A44+B44</f>
        <v>1</v>
      </c>
      <c r="E44" s="290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93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578.85</v>
      </c>
      <c r="C67" s="211"/>
      <c r="D67" s="277"/>
      <c r="E67" s="212"/>
      <c r="F67" s="63"/>
      <c r="G67" s="310" t="s">
        <v>96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0.0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0.0</v>
      </c>
      <c r="C75" s="211" t="n">
        <f aca="false">IF(G18&gt;40000, 325, 0)</f>
        <v>325</v>
      </c>
      <c r="D75" s="211"/>
      <c r="E75" s="212"/>
      <c r="F75" s="63"/>
      <c r="G75" s="407" t="s">
        <v>279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105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448.218055555556</v>
      </c>
      <c r="C82" s="211"/>
      <c r="D82" s="211"/>
      <c r="E82" s="212"/>
      <c r="F82" s="63"/>
      <c r="G82" s="210" t="s">
        <v>106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((B83*(H29)+B81))*1.2</f>
        <v>13668.74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(((B83*(H29))+B81)/(1-B70))*B70</f>
        <v>96.4917103670835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9765.23171036708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422" t="s">
        <v>120</v>
      </c>
      <c r="H89" s="42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813.769309197257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813.769309197257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285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380</v>
      </c>
      <c r="B105" s="331" t="n">
        <v>20.0</v>
      </c>
      <c r="C105" s="331"/>
      <c r="D105" s="103" t="s">
        <v>384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380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239.988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-2760.012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813.769309197257</v>
      </c>
      <c r="B128" s="338" t="n">
        <f aca="false">IF(A105="YES", B89, 0)</f>
        <v>0</v>
      </c>
      <c r="C128" s="394"/>
      <c r="D128" s="338" t="n">
        <f aca="false">B91</f>
        <v>813.769309197257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1171.69258941778</v>
      </c>
      <c r="H130" s="174" t="n">
        <f aca="false">IF(G105="YES", H89*H57, 0)</f>
        <v>0</v>
      </c>
      <c r="I130" s="174"/>
      <c r="J130" s="349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Monthly in advance </v>
      </c>
      <c r="B131" s="38" t="n">
        <f aca="false">B90*B57</f>
        <v>813.769309197257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813.769309197257</v>
      </c>
      <c r="B134" s="38" t="n">
        <f aca="false">E114</f>
        <v>4000</v>
      </c>
      <c r="C134" s="280"/>
      <c r="D134" s="352" t="n">
        <f aca="false">B58</f>
        <v>11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813.769309197257</v>
      </c>
      <c r="B137" s="38" t="n">
        <f aca="false">IF(A105="YES", B89, 0)</f>
        <v>0</v>
      </c>
      <c r="C137" s="280"/>
      <c r="D137" s="38" t="n">
        <f aca="false">B91</f>
        <v>813.769309197257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813.769309197257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813.769309197257</v>
      </c>
      <c r="B171" s="367" t="n">
        <f aca="false">IF(A105="YES", B89, 0)</f>
        <v>0</v>
      </c>
      <c r="C171" s="395"/>
      <c r="D171" s="367" t="n">
        <f aca="false">B91</f>
        <v>813.769309197257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Monthly in advance </v>
      </c>
      <c r="B174" s="99" t="n">
        <f aca="false">B90*B57</f>
        <v>813.769309197257</v>
      </c>
      <c r="C174" s="282"/>
      <c r="D174" s="99" t="n">
        <f aca="false">IF(A105="YES", B89*B57, 0)</f>
        <v>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813.769309197257</v>
      </c>
      <c r="B177" s="99" t="n">
        <f aca="false">E114</f>
        <v>4000</v>
      </c>
      <c r="C177" s="282"/>
      <c r="D177" s="371" t="n">
        <f aca="false">B58</f>
        <v>11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813.769309197257</v>
      </c>
      <c r="B180" s="99" t="n">
        <f aca="false">IF(A105="YES", B89, 0)</f>
        <v>0</v>
      </c>
      <c r="C180" s="282"/>
      <c r="D180" s="99" t="n">
        <f aca="false">B91</f>
        <v>813.769309197257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B209</f>
        <v>0.065</v>
      </c>
      <c r="C203" s="338" t="s">
        <v>215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578.85</v>
      </c>
      <c r="C205" s="337" t="s">
        <v>217</v>
      </c>
      <c r="D205" s="377" t="n">
        <f aca="false">B219+E215+B215+B217</f>
        <v>339.99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3813.09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4051.95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1" sqref="A37 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0" t="s">
        <v>375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07"/>
      <c r="B2" s="496" t="s">
        <v>146</v>
      </c>
      <c r="C2" s="496" t="s">
        <v>147</v>
      </c>
      <c r="D2" s="496" t="s">
        <v>148</v>
      </c>
      <c r="E2" s="482" t="s">
        <v>149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152</v>
      </c>
      <c r="B3" s="497" t="n">
        <v>46854.17</v>
      </c>
      <c r="C3" s="497" t="n">
        <v>0.0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153</v>
      </c>
      <c r="B4" s="499" t="n">
        <v>0.0</v>
      </c>
      <c r="C4" s="499" t="n">
        <v>0.0</v>
      </c>
      <c r="D4" s="499" t="n">
        <v>0.0</v>
      </c>
      <c r="E4" s="308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154</v>
      </c>
      <c r="B5" s="497" t="n">
        <v>0.0</v>
      </c>
      <c r="C5" s="497" t="n">
        <v>0.0</v>
      </c>
      <c r="D5" s="497" t="n">
        <v>0.0</v>
      </c>
      <c r="E5" s="41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155</v>
      </c>
      <c r="B6" s="277" t="n">
        <f aca="false">(B3*B4/100)+B5</f>
        <v>0</v>
      </c>
      <c r="C6" s="277" t="n">
        <f aca="false">(C3*C4/100)+C5</f>
        <v>0</v>
      </c>
      <c r="D6" s="277" t="n">
        <f aca="false">(D3*D4/100)+D5</f>
        <v>0</v>
      </c>
      <c r="E6" s="41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156</v>
      </c>
      <c r="B7" s="277" t="n">
        <f aca="false">B3-B6</f>
        <v>46854.17</v>
      </c>
      <c r="C7" s="277" t="n">
        <f aca="false">C3-C6</f>
        <v>0</v>
      </c>
      <c r="D7" s="277" t="n">
        <f aca="false">D3-D6</f>
        <v>833.33</v>
      </c>
      <c r="E7" s="41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164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165</v>
      </c>
      <c r="B10" s="487"/>
      <c r="C10" s="487"/>
      <c r="D10" s="487"/>
      <c r="E10" s="498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166</v>
      </c>
      <c r="B11" s="487"/>
      <c r="C11" s="487"/>
      <c r="D11" s="487"/>
      <c r="E11" s="41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167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168</v>
      </c>
      <c r="B13" s="487"/>
      <c r="C13" s="487"/>
      <c r="D13" s="487"/>
      <c r="E13" s="498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169</v>
      </c>
      <c r="B14" s="487"/>
      <c r="C14" s="487"/>
      <c r="D14" s="487"/>
      <c r="E14" s="498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170</v>
      </c>
      <c r="B15" s="487"/>
      <c r="C15" s="487"/>
      <c r="D15" s="487"/>
      <c r="E15" s="501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171</v>
      </c>
      <c r="B16" s="487"/>
      <c r="C16" s="487"/>
      <c r="D16" s="487"/>
      <c r="E16" s="498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80" t="s">
        <v>172</v>
      </c>
      <c r="B17" s="380"/>
      <c r="C17" s="380"/>
      <c r="D17" s="380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173</v>
      </c>
      <c r="C18" s="489"/>
      <c r="D18" s="489"/>
      <c r="E18" s="502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173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173</v>
      </c>
      <c r="C20" s="489"/>
      <c r="D20" s="489"/>
      <c r="E20" s="502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174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87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88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45013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131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246</v>
      </c>
      <c r="C37" s="211"/>
      <c r="D37" s="217" t="s">
        <v>247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380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248</v>
      </c>
      <c r="B40" s="236" t="s">
        <v>122</v>
      </c>
      <c r="C40" s="226"/>
      <c r="D40" s="181" t="s">
        <v>142</v>
      </c>
      <c r="E40" s="212"/>
      <c r="F40" s="63"/>
      <c r="G40" s="452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250</v>
      </c>
      <c r="B43" s="236" t="s">
        <v>251</v>
      </c>
      <c r="C43" s="226"/>
      <c r="D43" s="236" t="s">
        <v>255</v>
      </c>
      <c r="E43" s="239"/>
      <c r="F43" s="63"/>
      <c r="G43" s="63" t="s">
        <v>252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90" t="n">
        <f aca="false">A44+B44</f>
        <v>1</v>
      </c>
      <c r="E44" s="290"/>
      <c r="F44" s="63"/>
      <c r="G44" s="63" t="s">
        <v>253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254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397" t="s">
        <v>365</v>
      </c>
      <c r="B46" s="226"/>
      <c r="C46" s="226"/>
      <c r="D46" s="226"/>
      <c r="E46" s="239"/>
      <c r="F46" s="63"/>
      <c r="G46" s="63" t="s">
        <v>258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398" t="s">
        <v>84</v>
      </c>
      <c r="B48" s="211"/>
      <c r="C48" s="211"/>
      <c r="D48" s="399"/>
      <c r="E48" s="400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401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85</v>
      </c>
      <c r="B50" s="247" t="s">
        <v>86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310"/>
      <c r="B54" s="402"/>
      <c r="C54" s="402"/>
      <c r="D54" s="402"/>
      <c r="E54" s="40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404"/>
      <c r="B56" s="405"/>
      <c r="C56" s="405"/>
      <c r="D56" s="405"/>
      <c r="E56" s="406"/>
      <c r="F56" s="63"/>
      <c r="G56" s="404"/>
      <c r="H56" s="405"/>
      <c r="I56" s="405"/>
      <c r="J56" s="405"/>
      <c r="K56" s="406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87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87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88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366</v>
      </c>
      <c r="D58" s="211"/>
      <c r="E58" s="212"/>
      <c r="F58" s="63"/>
      <c r="G58" s="210" t="s">
        <v>88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77" t="n">
        <f aca="false">G18</f>
        <v>57885</v>
      </c>
      <c r="C61" s="211"/>
      <c r="D61" s="211"/>
      <c r="E61" s="212"/>
      <c r="F61" s="63"/>
      <c r="G61" s="210" t="s">
        <v>14</v>
      </c>
      <c r="H61" s="277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304" t="s">
        <v>276</v>
      </c>
      <c r="B62" s="305" t="n">
        <v>0.07</v>
      </c>
      <c r="C62" s="211"/>
      <c r="D62" s="211"/>
      <c r="E62" s="212"/>
      <c r="F62" s="63"/>
      <c r="G62" s="304" t="s">
        <v>276</v>
      </c>
      <c r="H62" s="305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277</v>
      </c>
      <c r="B63" s="308" t="n">
        <f aca="false">B62+(B62*0.25*(H29/12-1))</f>
        <v>0.07</v>
      </c>
      <c r="C63" s="211"/>
      <c r="D63" s="211"/>
      <c r="E63" s="212"/>
      <c r="F63" s="63"/>
      <c r="G63" s="210" t="s">
        <v>277</v>
      </c>
      <c r="H63" s="308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310" t="s">
        <v>93</v>
      </c>
      <c r="B64" s="129" t="n">
        <f aca="false">B61*B63</f>
        <v>4051.95</v>
      </c>
      <c r="C64" s="211" t="n">
        <v>10000</v>
      </c>
      <c r="D64" s="277" t="n">
        <f aca="false">B64</f>
        <v>4051.95</v>
      </c>
      <c r="E64" s="212"/>
      <c r="F64" s="63"/>
      <c r="G64" s="310" t="s">
        <v>93</v>
      </c>
      <c r="H64" s="129" t="n">
        <f aca="false">H61*H63</f>
        <v>4051.95</v>
      </c>
      <c r="I64" s="211"/>
      <c r="J64" s="277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304" t="s">
        <v>94</v>
      </c>
      <c r="B65" s="305" t="n">
        <v>0.01</v>
      </c>
      <c r="C65" s="211"/>
      <c r="D65" s="211"/>
      <c r="E65" s="212"/>
      <c r="F65" s="63"/>
      <c r="G65" s="304" t="s">
        <v>94</v>
      </c>
      <c r="H65" s="305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95</v>
      </c>
      <c r="B66" s="308" t="n">
        <f aca="false">B65+(B65*0.5*(H29/12-1))</f>
        <v>0.01</v>
      </c>
      <c r="C66" s="211"/>
      <c r="D66" s="211"/>
      <c r="E66" s="212"/>
      <c r="F66" s="63"/>
      <c r="G66" s="210" t="s">
        <v>95</v>
      </c>
      <c r="H66" s="308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310" t="s">
        <v>96</v>
      </c>
      <c r="B67" s="129" t="n">
        <f aca="false">B61*B66</f>
        <v>578.85</v>
      </c>
      <c r="C67" s="211"/>
      <c r="D67" s="277"/>
      <c r="E67" s="212"/>
      <c r="F67" s="63"/>
      <c r="G67" s="310" t="s">
        <v>96</v>
      </c>
      <c r="H67" s="129" t="n">
        <f aca="false">H61*H66</f>
        <v>289.425</v>
      </c>
      <c r="I67" s="211"/>
      <c r="J67" s="277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304" t="s">
        <v>97</v>
      </c>
      <c r="B68" s="305" t="n">
        <v>0.0075</v>
      </c>
      <c r="C68" s="211"/>
      <c r="D68" s="211"/>
      <c r="E68" s="212"/>
      <c r="F68" s="63"/>
      <c r="G68" s="304" t="s">
        <v>97</v>
      </c>
      <c r="H68" s="305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407" t="s">
        <v>98</v>
      </c>
      <c r="B69" s="408" t="n">
        <v>0.12</v>
      </c>
      <c r="C69" s="211"/>
      <c r="D69" s="211"/>
      <c r="E69" s="212"/>
      <c r="F69" s="63"/>
      <c r="G69" s="407" t="s">
        <v>98</v>
      </c>
      <c r="H69" s="408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310" t="s">
        <v>99</v>
      </c>
      <c r="B70" s="409" t="n">
        <f aca="false">B68*(1+B69)</f>
        <v>0.0084</v>
      </c>
      <c r="C70" s="211"/>
      <c r="D70" s="211"/>
      <c r="E70" s="212"/>
      <c r="F70" s="63"/>
      <c r="G70" s="310" t="s">
        <v>99</v>
      </c>
      <c r="H70" s="409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304" t="s">
        <v>100</v>
      </c>
      <c r="B71" s="410" t="n">
        <v>200.0</v>
      </c>
      <c r="C71" s="211"/>
      <c r="D71" s="211"/>
      <c r="E71" s="212"/>
      <c r="F71" s="63"/>
      <c r="G71" s="304" t="s">
        <v>100</v>
      </c>
      <c r="H71" s="410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407" t="s">
        <v>101</v>
      </c>
      <c r="B72" s="411" t="n">
        <v>5.0</v>
      </c>
      <c r="C72" s="211"/>
      <c r="D72" s="211"/>
      <c r="E72" s="212"/>
      <c r="F72" s="63"/>
      <c r="G72" s="407" t="s">
        <v>101</v>
      </c>
      <c r="H72" s="411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310" t="s">
        <v>102</v>
      </c>
      <c r="B73" s="129" t="n">
        <f aca="false">B72*H29</f>
        <v>60</v>
      </c>
      <c r="C73" s="211"/>
      <c r="D73" s="277" t="n">
        <f aca="false">B73+B71</f>
        <v>260</v>
      </c>
      <c r="E73" s="212"/>
      <c r="F73" s="63"/>
      <c r="G73" s="310" t="s">
        <v>102</v>
      </c>
      <c r="H73" s="129" t="n">
        <f aca="false">H72*H29</f>
        <v>54</v>
      </c>
      <c r="I73" s="211"/>
      <c r="J73" s="277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304" t="s">
        <v>278</v>
      </c>
      <c r="B74" s="410" t="n">
        <v>0.0</v>
      </c>
      <c r="C74" s="211"/>
      <c r="D74" s="211"/>
      <c r="E74" s="212"/>
      <c r="F74" s="63"/>
      <c r="G74" s="304" t="s">
        <v>278</v>
      </c>
      <c r="H74" s="410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07" t="s">
        <v>279</v>
      </c>
      <c r="B75" s="411" t="n">
        <v>0.0</v>
      </c>
      <c r="C75" s="211"/>
      <c r="D75" s="211"/>
      <c r="E75" s="212"/>
      <c r="F75" s="63"/>
      <c r="G75" s="407" t="s">
        <v>279</v>
      </c>
      <c r="H75" s="411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310" t="s">
        <v>280</v>
      </c>
      <c r="B76" s="129" t="n">
        <f aca="false">((B74+B75)/12)*(H29-11)</f>
        <v>0</v>
      </c>
      <c r="C76" s="211"/>
      <c r="D76" s="277" t="n">
        <f aca="false">B76</f>
        <v>0</v>
      </c>
      <c r="E76" s="212"/>
      <c r="F76" s="63"/>
      <c r="G76" s="310" t="s">
        <v>280</v>
      </c>
      <c r="H76" s="129" t="n">
        <f aca="false">((H74+H75)/12)*(H29-11)</f>
        <v>39.5833333333333</v>
      </c>
      <c r="I76" s="211"/>
      <c r="J76" s="277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304" t="s">
        <v>281</v>
      </c>
      <c r="B77" s="410" t="n">
        <f aca="false">B102/(1-0.1)</f>
        <v>444.444444444444</v>
      </c>
      <c r="C77" s="211"/>
      <c r="D77" s="277" t="n">
        <f aca="false">B77</f>
        <v>444.444444444444</v>
      </c>
      <c r="E77" s="212"/>
      <c r="F77" s="63"/>
      <c r="G77" s="304" t="s">
        <v>281</v>
      </c>
      <c r="H77" s="410" t="n">
        <f aca="false">H102</f>
        <v>1200</v>
      </c>
      <c r="I77" s="211"/>
      <c r="J77" s="277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283</v>
      </c>
      <c r="B78" s="419" t="n">
        <f aca="false">D102/(1-0.1)</f>
        <v>222.222222222222</v>
      </c>
      <c r="C78" s="211"/>
      <c r="D78" s="277" t="n">
        <f aca="false">B78</f>
        <v>222.222222222222</v>
      </c>
      <c r="E78" s="212"/>
      <c r="F78" s="63"/>
      <c r="G78" s="210" t="s">
        <v>283</v>
      </c>
      <c r="H78" s="419" t="n">
        <f aca="false">J102</f>
        <v>0</v>
      </c>
      <c r="I78" s="211"/>
      <c r="J78" s="277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407" t="s">
        <v>103</v>
      </c>
      <c r="B79" s="411" t="n">
        <v>200.0</v>
      </c>
      <c r="C79" s="211"/>
      <c r="D79" s="277" t="n">
        <f aca="false">B79</f>
        <v>200</v>
      </c>
      <c r="E79" s="212"/>
      <c r="F79" s="63"/>
      <c r="G79" s="407" t="s">
        <v>103</v>
      </c>
      <c r="H79" s="411" t="n">
        <v>100</v>
      </c>
      <c r="I79" s="211"/>
      <c r="J79" s="277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20" t="s">
        <v>104</v>
      </c>
      <c r="B80" s="421" t="n">
        <v>200.0</v>
      </c>
      <c r="C80" s="211"/>
      <c r="D80" s="277" t="n">
        <f aca="false">B80</f>
        <v>200</v>
      </c>
      <c r="E80" s="212"/>
      <c r="F80" s="63"/>
      <c r="G80" s="420" t="s">
        <v>104</v>
      </c>
      <c r="H80" s="421" t="n">
        <v>100</v>
      </c>
      <c r="I80" s="211"/>
      <c r="J80" s="277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22" t="s">
        <v>105</v>
      </c>
      <c r="B81" s="423" t="n">
        <f aca="false">SUM(D64:D80)</f>
        <v>5378.61666666667</v>
      </c>
      <c r="C81" s="211"/>
      <c r="D81" s="211"/>
      <c r="E81" s="212"/>
      <c r="F81" s="63"/>
      <c r="G81" s="422" t="s">
        <v>105</v>
      </c>
      <c r="H81" s="42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106</v>
      </c>
      <c r="B82" s="419" t="n">
        <f aca="false">B81/H29</f>
        <v>448.218055555556</v>
      </c>
      <c r="C82" s="211"/>
      <c r="D82" s="211"/>
      <c r="E82" s="212"/>
      <c r="F82" s="63"/>
      <c r="G82" s="210" t="s">
        <v>106</v>
      </c>
      <c r="H82" s="41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424" t="s">
        <v>107</v>
      </c>
      <c r="B83" s="425" t="n">
        <f aca="false">H46</f>
        <v>501</v>
      </c>
      <c r="C83" s="211"/>
      <c r="D83" s="211"/>
      <c r="E83" s="212"/>
      <c r="F83" s="63"/>
      <c r="G83" s="424" t="s">
        <v>107</v>
      </c>
      <c r="H83" s="42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77"/>
      <c r="C84" s="211"/>
      <c r="D84" s="211"/>
      <c r="E84" s="212"/>
      <c r="F84" s="63"/>
      <c r="G84" s="210"/>
      <c r="H84" s="277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404" t="s">
        <v>117</v>
      </c>
      <c r="B85" s="127" t="n">
        <f aca="false">((B83*(H29)+B81))</f>
        <v>11390.6166666667</v>
      </c>
      <c r="C85" s="211"/>
      <c r="D85" s="211"/>
      <c r="E85" s="212"/>
      <c r="F85" s="63"/>
      <c r="G85" s="404" t="s">
        <v>117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118</v>
      </c>
      <c r="B86" s="419" t="n">
        <f aca="false">(B85/(1-B70))*B70</f>
        <v>96.4917103670835</v>
      </c>
      <c r="C86" s="211"/>
      <c r="D86" s="211"/>
      <c r="E86" s="212"/>
      <c r="F86" s="63"/>
      <c r="G86" s="210" t="s">
        <v>118</v>
      </c>
      <c r="H86" s="41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10" t="s">
        <v>119</v>
      </c>
      <c r="B87" s="129" t="n">
        <f aca="false">IF(B110="YES",((B85+B86)-E114),((B85+B86)))</f>
        <v>7487.10837703375</v>
      </c>
      <c r="C87" s="211"/>
      <c r="D87" s="211"/>
      <c r="E87" s="212"/>
      <c r="F87" s="63"/>
      <c r="G87" s="310" t="s">
        <v>119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77"/>
      <c r="C88" s="211"/>
      <c r="D88" s="211"/>
      <c r="E88" s="212"/>
      <c r="F88" s="63"/>
      <c r="G88" s="210"/>
      <c r="H88" s="277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422" t="s">
        <v>120</v>
      </c>
      <c r="B89" s="450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422" t="s">
        <v>120</v>
      </c>
      <c r="H89" s="42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427" t="s">
        <v>121</v>
      </c>
      <c r="B90" s="428" t="n">
        <f aca="false">IF(B99=Z102, (B87-D105)/(B58), B87/(B57+B58))</f>
        <v>623.925698086146</v>
      </c>
      <c r="C90" s="211"/>
      <c r="D90" s="211"/>
      <c r="E90" s="212"/>
      <c r="F90" s="63"/>
      <c r="G90" s="427" t="s">
        <v>121</v>
      </c>
      <c r="H90" s="42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429" t="s">
        <v>122</v>
      </c>
      <c r="B91" s="430" t="n">
        <f aca="false">IF(A105="YES", B90+B89, B90)</f>
        <v>623.925698086146</v>
      </c>
      <c r="C91" s="211"/>
      <c r="D91" s="211"/>
      <c r="E91" s="212"/>
      <c r="F91" s="63"/>
      <c r="G91" s="429" t="s">
        <v>122</v>
      </c>
      <c r="H91" s="43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310"/>
      <c r="B92" s="402"/>
      <c r="C92" s="402"/>
      <c r="D92" s="402"/>
      <c r="E92" s="403"/>
      <c r="F92" s="63"/>
      <c r="G92" s="310"/>
      <c r="H92" s="402"/>
      <c r="I92" s="402"/>
      <c r="J92" s="402"/>
      <c r="K92" s="40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284</v>
      </c>
      <c r="B94" s="209"/>
      <c r="C94" s="209"/>
      <c r="D94" s="209"/>
      <c r="E94" s="209"/>
      <c r="F94" s="63"/>
      <c r="G94" s="209" t="s">
        <v>285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127</v>
      </c>
      <c r="B96" s="213"/>
      <c r="C96" s="213"/>
      <c r="D96" s="213"/>
      <c r="E96" s="213"/>
      <c r="F96" s="63"/>
      <c r="G96" s="213" t="s">
        <v>127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128</v>
      </c>
      <c r="B98" s="211" t="s">
        <v>23</v>
      </c>
      <c r="C98" s="211"/>
      <c r="D98" s="211" t="s">
        <v>287</v>
      </c>
      <c r="E98" s="212"/>
      <c r="F98" s="63"/>
      <c r="G98" s="210" t="s">
        <v>128</v>
      </c>
      <c r="H98" s="211" t="s">
        <v>23</v>
      </c>
      <c r="I98" s="211"/>
      <c r="J98" s="211" t="s">
        <v>287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288</v>
      </c>
      <c r="B99" s="331" t="s">
        <v>339</v>
      </c>
      <c r="C99" s="331"/>
      <c r="D99" s="103" t="n">
        <v>1000.0</v>
      </c>
      <c r="E99" s="103"/>
      <c r="F99" s="63"/>
      <c r="G99" s="216" t="s">
        <v>288</v>
      </c>
      <c r="H99" s="331" t="s">
        <v>131</v>
      </c>
      <c r="I99" s="33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289</v>
      </c>
      <c r="B101" s="211" t="s">
        <v>290</v>
      </c>
      <c r="C101" s="211"/>
      <c r="D101" s="211" t="s">
        <v>291</v>
      </c>
      <c r="E101" s="212"/>
      <c r="F101" s="63"/>
      <c r="G101" s="210" t="s">
        <v>289</v>
      </c>
      <c r="H101" s="211" t="s">
        <v>290</v>
      </c>
      <c r="I101" s="211"/>
      <c r="J101" s="211" t="s">
        <v>291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131</v>
      </c>
      <c r="AA101" s="63"/>
    </row>
    <row r="102" customFormat="false" ht="18.75" hidden="false" customHeight="true" outlineLevel="0" collapsed="false">
      <c r="A102" s="333" t="n">
        <v>199.99</v>
      </c>
      <c r="B102" s="103" t="n">
        <v>400.0</v>
      </c>
      <c r="C102" s="103"/>
      <c r="D102" s="103" t="n">
        <v>200.0</v>
      </c>
      <c r="E102" s="103"/>
      <c r="F102" s="63"/>
      <c r="G102" s="333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259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260</v>
      </c>
      <c r="AA103" s="63"/>
    </row>
    <row r="104" customFormat="false" ht="18.75" hidden="false" customHeight="true" outlineLevel="0" collapsed="false">
      <c r="A104" s="216" t="s">
        <v>129</v>
      </c>
      <c r="B104" s="63" t="s">
        <v>132</v>
      </c>
      <c r="C104" s="211"/>
      <c r="D104" s="211" t="s">
        <v>143</v>
      </c>
      <c r="E104" s="212"/>
      <c r="F104" s="63"/>
      <c r="G104" s="216" t="s">
        <v>129</v>
      </c>
      <c r="H104" s="63" t="s">
        <v>132</v>
      </c>
      <c r="I104" s="211"/>
      <c r="J104" s="211" t="s">
        <v>143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261</v>
      </c>
      <c r="AA104" s="63"/>
    </row>
    <row r="105" customFormat="false" ht="18.75" hidden="false" customHeight="true" outlineLevel="0" collapsed="false">
      <c r="A105" s="218" t="s">
        <v>380</v>
      </c>
      <c r="B105" s="331" t="n">
        <v>20.0</v>
      </c>
      <c r="C105" s="331"/>
      <c r="D105" s="103" t="s">
        <v>384</v>
      </c>
      <c r="E105" s="103"/>
      <c r="F105" s="63"/>
      <c r="G105" s="218" t="s">
        <v>18</v>
      </c>
      <c r="H105" s="334" t="n">
        <v>0.2</v>
      </c>
      <c r="I105" s="334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262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264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265</v>
      </c>
      <c r="AA107" s="63"/>
    </row>
    <row r="108" customFormat="false" ht="18.75" hidden="false" customHeight="true" outlineLevel="0" collapsed="false">
      <c r="A108" s="213" t="s">
        <v>293</v>
      </c>
      <c r="B108" s="213"/>
      <c r="C108" s="213"/>
      <c r="D108" s="213"/>
      <c r="E108" s="213"/>
      <c r="F108" s="63"/>
      <c r="G108" s="213" t="s">
        <v>293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266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267</v>
      </c>
    </row>
    <row r="110" customFormat="false" ht="18.75" hidden="false" customHeight="true" outlineLevel="0" collapsed="false">
      <c r="A110" s="210" t="s">
        <v>294</v>
      </c>
      <c r="B110" s="218" t="s">
        <v>380</v>
      </c>
      <c r="C110" s="211"/>
      <c r="D110" s="211"/>
      <c r="E110" s="212"/>
      <c r="F110" s="63"/>
      <c r="G110" s="210" t="s">
        <v>294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177</v>
      </c>
      <c r="B112" s="211"/>
      <c r="C112" s="211"/>
      <c r="D112" s="333" t="n">
        <v>10000.0</v>
      </c>
      <c r="E112" s="103" t="n">
        <v>6000.0</v>
      </c>
      <c r="F112" s="63"/>
      <c r="G112" s="210" t="s">
        <v>177</v>
      </c>
      <c r="H112" s="211"/>
      <c r="I112" s="211"/>
      <c r="J112" s="333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178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178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179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179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180</v>
      </c>
      <c r="B115" s="211"/>
      <c r="C115" s="211"/>
      <c r="D115" s="163" t="n">
        <f aca="false">D114-E114</f>
        <v>4000</v>
      </c>
      <c r="E115" s="212"/>
      <c r="F115" s="63"/>
      <c r="G115" s="210" t="s">
        <v>180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404" t="s">
        <v>139</v>
      </c>
      <c r="B117" s="405"/>
      <c r="C117" s="405"/>
      <c r="D117" s="405"/>
      <c r="E117" s="127" t="n">
        <f aca="false">D99</f>
        <v>1000</v>
      </c>
      <c r="F117" s="63"/>
      <c r="G117" s="404" t="s">
        <v>139</v>
      </c>
      <c r="H117" s="405"/>
      <c r="I117" s="405"/>
      <c r="J117" s="405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419" t="n">
        <f aca="false">A102</f>
        <v>199.99</v>
      </c>
      <c r="F118" s="63"/>
      <c r="G118" s="210" t="s">
        <v>53</v>
      </c>
      <c r="H118" s="211"/>
      <c r="I118" s="211"/>
      <c r="J118" s="211"/>
      <c r="K118" s="41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432" t="s">
        <v>295</v>
      </c>
      <c r="B119" s="402"/>
      <c r="C119" s="402"/>
      <c r="D119" s="402"/>
      <c r="E119" s="129" t="n">
        <f aca="false">(E118+E117)-D115</f>
        <v>-2800.01</v>
      </c>
      <c r="F119" s="63"/>
      <c r="G119" s="432" t="s">
        <v>295</v>
      </c>
      <c r="H119" s="402"/>
      <c r="I119" s="402"/>
      <c r="J119" s="402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296</v>
      </c>
      <c r="B122" s="213"/>
      <c r="C122" s="213"/>
      <c r="D122" s="213"/>
      <c r="E122" s="213"/>
      <c r="F122" s="63"/>
      <c r="G122" s="213" t="s">
        <v>296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1"/>
      <c r="B123" s="280"/>
      <c r="C123" s="280"/>
      <c r="D123" s="280"/>
      <c r="E123" s="283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36" t="s">
        <v>128</v>
      </c>
      <c r="B124" s="337" t="n">
        <v>0.0</v>
      </c>
      <c r="C124" s="338"/>
      <c r="D124" s="337" t="s">
        <v>86</v>
      </c>
      <c r="E124" s="339"/>
      <c r="F124" s="63"/>
      <c r="G124" s="210" t="s">
        <v>184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40" t="s">
        <v>288</v>
      </c>
      <c r="B125" s="341" t="n">
        <f aca="false">A161</f>
        <v>12</v>
      </c>
      <c r="C125" s="342"/>
      <c r="D125" s="341" t="n">
        <f aca="false">B160</f>
        <v>5000</v>
      </c>
      <c r="E125" s="339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36"/>
      <c r="B126" s="337"/>
      <c r="C126" s="337"/>
      <c r="D126" s="337"/>
      <c r="E126" s="339"/>
      <c r="F126" s="63"/>
      <c r="G126" s="210" t="s">
        <v>85</v>
      </c>
      <c r="H126" s="211" t="s">
        <v>86</v>
      </c>
      <c r="I126" s="211"/>
      <c r="J126" s="211" t="s">
        <v>88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36" t="s">
        <v>121</v>
      </c>
      <c r="B127" s="337" t="s">
        <v>297</v>
      </c>
      <c r="C127" s="338"/>
      <c r="D127" s="337" t="s">
        <v>298</v>
      </c>
      <c r="E127" s="339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40" t="n">
        <f aca="false">B90</f>
        <v>623.925698086146</v>
      </c>
      <c r="B128" s="338" t="n">
        <f aca="false">IF(A105="YES", B89, 0)</f>
        <v>0</v>
      </c>
      <c r="C128" s="394"/>
      <c r="D128" s="338" t="n">
        <f aca="false">B91</f>
        <v>623.925698086146</v>
      </c>
      <c r="E128" s="339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81"/>
      <c r="B129" s="280"/>
      <c r="C129" s="280"/>
      <c r="D129" s="280"/>
      <c r="E129" s="283"/>
      <c r="F129" s="63"/>
      <c r="G129" s="433" t="s">
        <v>299</v>
      </c>
      <c r="H129" s="434" t="s">
        <v>300</v>
      </c>
      <c r="I129" s="434"/>
      <c r="J129" s="434" t="s">
        <v>301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451"/>
    </row>
    <row r="130" customFormat="false" ht="18.75" hidden="false" customHeight="true" outlineLevel="0" collapsed="false">
      <c r="A130" s="346" t="s">
        <v>23</v>
      </c>
      <c r="B130" s="347" t="s">
        <v>303</v>
      </c>
      <c r="C130" s="343"/>
      <c r="D130" s="347" t="s">
        <v>304</v>
      </c>
      <c r="E130" s="283"/>
      <c r="F130" s="63"/>
      <c r="G130" s="348" t="n">
        <f aca="false">H90</f>
        <v>1171.69258941778</v>
      </c>
      <c r="H130" s="174" t="n">
        <f aca="false">IF(G105="YES", H89*H57, 0)</f>
        <v>0</v>
      </c>
      <c r="I130" s="174"/>
      <c r="J130" s="349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451"/>
    </row>
    <row r="131" customFormat="false" ht="18.75" hidden="false" customHeight="true" outlineLevel="0" collapsed="false">
      <c r="A131" s="350" t="str">
        <f aca="false">B99</f>
        <v> Terminal pause with 9 down </v>
      </c>
      <c r="B131" s="38" t="n">
        <f aca="false">B90*B57</f>
        <v>5615.33128277531</v>
      </c>
      <c r="C131" s="280"/>
      <c r="D131" s="38" t="n">
        <f aca="false">IF(A105="YES", B89*B57, 0)</f>
        <v>0</v>
      </c>
      <c r="E131" s="283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451"/>
    </row>
    <row r="132" customFormat="false" ht="18.75" hidden="false" customHeight="true" outlineLevel="0" collapsed="false">
      <c r="A132" s="281"/>
      <c r="B132" s="280"/>
      <c r="C132" s="280"/>
      <c r="D132" s="280"/>
      <c r="E132" s="283"/>
      <c r="F132" s="63"/>
      <c r="G132" s="210" t="s">
        <v>305</v>
      </c>
      <c r="H132" s="211" t="s">
        <v>306</v>
      </c>
      <c r="I132" s="211"/>
      <c r="J132" s="211" t="s">
        <v>307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309</v>
      </c>
      <c r="B133" s="39" t="s">
        <v>310</v>
      </c>
      <c r="C133" s="351"/>
      <c r="D133" s="243" t="s">
        <v>206</v>
      </c>
      <c r="E133" s="283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5615.33128277531</v>
      </c>
      <c r="B134" s="38" t="n">
        <f aca="false">E114</f>
        <v>4000</v>
      </c>
      <c r="C134" s="280"/>
      <c r="D134" s="352" t="n">
        <f aca="false">B58</f>
        <v>3</v>
      </c>
      <c r="E134" s="283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53"/>
      <c r="C135" s="280"/>
      <c r="D135" s="280"/>
      <c r="E135" s="283"/>
      <c r="F135" s="63"/>
      <c r="G135" s="210" t="s">
        <v>311</v>
      </c>
      <c r="H135" s="211" t="s">
        <v>312</v>
      </c>
      <c r="I135" s="211"/>
      <c r="J135" s="211" t="s">
        <v>313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121</v>
      </c>
      <c r="B136" s="354" t="s">
        <v>297</v>
      </c>
      <c r="C136" s="280"/>
      <c r="D136" s="280" t="s">
        <v>298</v>
      </c>
      <c r="E136" s="283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623.925698086146</v>
      </c>
      <c r="B137" s="38" t="n">
        <f aca="false">IF(A105="YES", B89, 0)</f>
        <v>0</v>
      </c>
      <c r="C137" s="280"/>
      <c r="D137" s="38" t="n">
        <f aca="false">B91</f>
        <v>623.925698086146</v>
      </c>
      <c r="E137" s="283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81"/>
      <c r="B138" s="280"/>
      <c r="C138" s="280"/>
      <c r="D138" s="280"/>
      <c r="E138" s="283"/>
      <c r="F138" s="63"/>
      <c r="G138" s="210" t="s">
        <v>314</v>
      </c>
      <c r="H138" s="211" t="s">
        <v>315</v>
      </c>
      <c r="I138" s="211"/>
      <c r="J138" s="211" t="s">
        <v>316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55" t="s">
        <v>69</v>
      </c>
      <c r="B139" s="356" t="s">
        <v>317</v>
      </c>
      <c r="C139" s="38"/>
      <c r="D139" s="356" t="s">
        <v>75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57" t="n">
        <f aca="false">(G18*0.000006)*1.2*100</f>
        <v>41.6772</v>
      </c>
      <c r="B140" s="358" t="n">
        <f aca="false">G18*0.000002 *1.2*100</f>
        <v>13.8924</v>
      </c>
      <c r="C140" s="280"/>
      <c r="D140" s="358" t="n">
        <f aca="false">A140+B140</f>
        <v>55.5696</v>
      </c>
      <c r="E140" s="283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57"/>
      <c r="B141" s="358"/>
      <c r="C141" s="280"/>
      <c r="D141" s="358"/>
      <c r="E141" s="283"/>
      <c r="F141" s="63"/>
      <c r="G141" s="210" t="s">
        <v>318</v>
      </c>
      <c r="H141" s="211" t="s">
        <v>319</v>
      </c>
      <c r="I141" s="211"/>
      <c r="J141" s="211" t="s">
        <v>320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55" t="s">
        <v>321</v>
      </c>
      <c r="B142" s="356" t="s">
        <v>53</v>
      </c>
      <c r="C142" s="38"/>
      <c r="D142" s="356" t="s">
        <v>281</v>
      </c>
      <c r="E142" s="283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280"/>
      <c r="D143" s="148" t="n">
        <f aca="false">B102</f>
        <v>400</v>
      </c>
      <c r="E143" s="283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280"/>
      <c r="D144" s="38"/>
      <c r="E144" s="283"/>
      <c r="F144" s="63"/>
      <c r="G144" s="210" t="s">
        <v>322</v>
      </c>
      <c r="H144" s="211" t="s">
        <v>323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59" t="s">
        <v>324</v>
      </c>
      <c r="B145" s="360"/>
      <c r="C145" s="361"/>
      <c r="D145" s="360"/>
      <c r="E145" s="362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57"/>
      <c r="B146" s="358"/>
      <c r="C146" s="280"/>
      <c r="D146" s="358"/>
      <c r="E146" s="283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81" t="s">
        <v>325</v>
      </c>
      <c r="B147" s="280" t="s">
        <v>326</v>
      </c>
      <c r="C147" s="280"/>
      <c r="D147" s="280" t="s">
        <v>327</v>
      </c>
      <c r="E147" s="283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398" t="s">
        <v>330</v>
      </c>
      <c r="H148" s="211"/>
      <c r="I148" s="211"/>
      <c r="J148" s="399"/>
      <c r="K148" s="400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81"/>
      <c r="B149" s="280"/>
      <c r="C149" s="280"/>
      <c r="D149" s="280"/>
      <c r="E149" s="283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81" t="s">
        <v>331</v>
      </c>
      <c r="B150" s="280" t="s">
        <v>323</v>
      </c>
      <c r="C150" s="280"/>
      <c r="D150" s="280" t="s">
        <v>320</v>
      </c>
      <c r="E150" s="283"/>
      <c r="F150" s="63"/>
      <c r="G150" s="246" t="s">
        <v>85</v>
      </c>
      <c r="H150" s="247" t="s">
        <v>86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81"/>
      <c r="B152" s="280"/>
      <c r="C152" s="280"/>
      <c r="D152" s="280"/>
      <c r="E152" s="283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81" t="s">
        <v>332</v>
      </c>
      <c r="B153" s="280"/>
      <c r="C153" s="280"/>
      <c r="D153" s="280"/>
      <c r="E153" s="283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280"/>
      <c r="D154" s="280"/>
      <c r="E154" s="283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81"/>
      <c r="B155" s="280"/>
      <c r="C155" s="280"/>
      <c r="D155" s="280"/>
      <c r="E155" s="283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81"/>
      <c r="B156" s="280"/>
      <c r="C156" s="280"/>
      <c r="D156" s="280"/>
      <c r="E156" s="283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93" t="s">
        <v>330</v>
      </c>
      <c r="B157" s="280"/>
      <c r="C157" s="280"/>
      <c r="D157" s="294"/>
      <c r="E157" s="295"/>
      <c r="F157" s="63"/>
      <c r="G157" s="310"/>
      <c r="H157" s="402"/>
      <c r="I157" s="402"/>
      <c r="J157" s="402"/>
      <c r="K157" s="40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81"/>
      <c r="B158" s="296"/>
      <c r="C158" s="296"/>
      <c r="D158" s="280"/>
      <c r="E158" s="28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85</v>
      </c>
      <c r="B159" s="247" t="s">
        <v>86</v>
      </c>
      <c r="C159" s="247"/>
      <c r="D159" s="280"/>
      <c r="E159" s="28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280"/>
      <c r="E160" s="28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623.925698086146</v>
      </c>
      <c r="C161" s="74"/>
      <c r="D161" s="280"/>
      <c r="E161" s="28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81"/>
      <c r="B162" s="280"/>
      <c r="C162" s="280"/>
      <c r="D162" s="280"/>
      <c r="E162" s="28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1"/>
      <c r="B163" s="280"/>
      <c r="C163" s="280"/>
      <c r="D163" s="280"/>
      <c r="E163" s="28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281"/>
      <c r="B164" s="280"/>
      <c r="C164" s="280"/>
      <c r="D164" s="280"/>
      <c r="E164" s="28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65" t="s">
        <v>296</v>
      </c>
      <c r="B165" s="365"/>
      <c r="C165" s="365"/>
      <c r="D165" s="365"/>
      <c r="E165" s="365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81"/>
      <c r="B166" s="282"/>
      <c r="C166" s="282"/>
      <c r="D166" s="282"/>
      <c r="E166" s="28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36" t="s">
        <v>128</v>
      </c>
      <c r="B167" s="366" t="s">
        <v>39</v>
      </c>
      <c r="C167" s="367"/>
      <c r="D167" s="366" t="s">
        <v>86</v>
      </c>
      <c r="E167" s="339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40" t="s">
        <v>288</v>
      </c>
      <c r="B168" s="368" t="n">
        <f aca="false">A161</f>
        <v>12</v>
      </c>
      <c r="C168" s="369"/>
      <c r="D168" s="367" t="n">
        <f aca="false">B160</f>
        <v>5000</v>
      </c>
      <c r="E168" s="339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36"/>
      <c r="B169" s="366"/>
      <c r="C169" s="366"/>
      <c r="D169" s="366"/>
      <c r="E169" s="339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36" t="s">
        <v>121</v>
      </c>
      <c r="B170" s="366" t="s">
        <v>297</v>
      </c>
      <c r="C170" s="367"/>
      <c r="D170" s="366" t="s">
        <v>298</v>
      </c>
      <c r="E170" s="339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40" t="n">
        <f aca="false">B90</f>
        <v>623.925698086146</v>
      </c>
      <c r="B171" s="367" t="n">
        <f aca="false">IF(A105="YES", B89, 0)</f>
        <v>0</v>
      </c>
      <c r="C171" s="395"/>
      <c r="D171" s="367" t="n">
        <f aca="false">B91</f>
        <v>623.925698086146</v>
      </c>
      <c r="E171" s="339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281"/>
      <c r="B172" s="282"/>
      <c r="C172" s="282"/>
      <c r="D172" s="282"/>
      <c r="E172" s="28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46" t="s">
        <v>23</v>
      </c>
      <c r="B173" s="370" t="s">
        <v>303</v>
      </c>
      <c r="C173" s="226"/>
      <c r="D173" s="370" t="s">
        <v>304</v>
      </c>
      <c r="E173" s="28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50" t="str">
        <f aca="false">B99</f>
        <v> Terminal pause with 9 down </v>
      </c>
      <c r="B174" s="99" t="n">
        <f aca="false">B90*B57</f>
        <v>5615.33128277531</v>
      </c>
      <c r="C174" s="282"/>
      <c r="D174" s="99" t="n">
        <f aca="false">IF(A105="YES", B89*B57, 0)</f>
        <v>0</v>
      </c>
      <c r="E174" s="28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281"/>
      <c r="B175" s="282"/>
      <c r="C175" s="282"/>
      <c r="D175" s="282"/>
      <c r="E175" s="28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309</v>
      </c>
      <c r="B176" s="163" t="s">
        <v>310</v>
      </c>
      <c r="C176" s="285"/>
      <c r="D176" s="237" t="s">
        <v>206</v>
      </c>
      <c r="E176" s="28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5615.33128277531</v>
      </c>
      <c r="B177" s="99" t="n">
        <f aca="false">E114</f>
        <v>4000</v>
      </c>
      <c r="C177" s="282"/>
      <c r="D177" s="371" t="n">
        <f aca="false">B58</f>
        <v>3</v>
      </c>
      <c r="E177" s="28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72"/>
      <c r="C178" s="282"/>
      <c r="D178" s="282"/>
      <c r="E178" s="28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121</v>
      </c>
      <c r="B179" s="373" t="s">
        <v>297</v>
      </c>
      <c r="C179" s="282"/>
      <c r="D179" s="282" t="s">
        <v>298</v>
      </c>
      <c r="E179" s="28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623.925698086146</v>
      </c>
      <c r="B180" s="99" t="n">
        <f aca="false">IF(A105="YES", B89, 0)</f>
        <v>0</v>
      </c>
      <c r="C180" s="282"/>
      <c r="D180" s="99" t="n">
        <f aca="false">B91</f>
        <v>623.925698086146</v>
      </c>
      <c r="E180" s="28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281"/>
      <c r="B181" s="282"/>
      <c r="C181" s="282"/>
      <c r="D181" s="282"/>
      <c r="E181" s="28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55" t="s">
        <v>69</v>
      </c>
      <c r="B182" s="374" t="s">
        <v>317</v>
      </c>
      <c r="C182" s="99"/>
      <c r="D182" s="374" t="s">
        <v>75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57" t="n">
        <f aca="false">(G18*0.000006)*1.2*100</f>
        <v>41.6772</v>
      </c>
      <c r="B183" s="375" t="n">
        <f aca="false">G18*0.000002 *1.2*100</f>
        <v>13.8924</v>
      </c>
      <c r="C183" s="282"/>
      <c r="D183" s="375" t="n">
        <f aca="false">A183+B183</f>
        <v>55.5696</v>
      </c>
      <c r="E183" s="28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57"/>
      <c r="B184" s="375"/>
      <c r="C184" s="282"/>
      <c r="D184" s="375"/>
      <c r="E184" s="28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55" t="s">
        <v>321</v>
      </c>
      <c r="B185" s="374" t="s">
        <v>53</v>
      </c>
      <c r="C185" s="99"/>
      <c r="D185" s="374" t="s">
        <v>281</v>
      </c>
      <c r="E185" s="28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282"/>
      <c r="D186" s="148" t="n">
        <f aca="false">B102</f>
        <v>400</v>
      </c>
      <c r="E186" s="28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282"/>
      <c r="D187" s="99"/>
      <c r="E187" s="28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59" t="s">
        <v>324</v>
      </c>
      <c r="B188" s="360"/>
      <c r="C188" s="361"/>
      <c r="D188" s="360"/>
      <c r="E188" s="362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57"/>
      <c r="B189" s="375"/>
      <c r="C189" s="282"/>
      <c r="D189" s="375"/>
      <c r="E189" s="28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281" t="s">
        <v>325</v>
      </c>
      <c r="B190" s="282" t="s">
        <v>326</v>
      </c>
      <c r="C190" s="282"/>
      <c r="D190" s="282" t="s">
        <v>327</v>
      </c>
      <c r="E190" s="28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281"/>
      <c r="B192" s="282"/>
      <c r="C192" s="282"/>
      <c r="D192" s="282"/>
      <c r="E192" s="28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281" t="s">
        <v>331</v>
      </c>
      <c r="B193" s="282" t="s">
        <v>323</v>
      </c>
      <c r="C193" s="282"/>
      <c r="D193" s="282" t="s">
        <v>320</v>
      </c>
      <c r="E193" s="28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281"/>
      <c r="B195" s="282"/>
      <c r="C195" s="282"/>
      <c r="D195" s="282"/>
      <c r="E195" s="28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281" t="s">
        <v>332</v>
      </c>
      <c r="B196" s="282"/>
      <c r="C196" s="282"/>
      <c r="D196" s="282"/>
      <c r="E196" s="28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282"/>
      <c r="D197" s="282"/>
      <c r="E197" s="28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298"/>
      <c r="B198" s="299"/>
      <c r="C198" s="299"/>
      <c r="D198" s="299"/>
      <c r="E198" s="300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65" t="s">
        <v>212</v>
      </c>
      <c r="B201" s="365"/>
      <c r="C201" s="365"/>
      <c r="D201" s="365"/>
      <c r="E201" s="365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281"/>
      <c r="B202" s="280"/>
      <c r="C202" s="280"/>
      <c r="D202" s="280"/>
      <c r="E202" s="28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36" t="s">
        <v>213</v>
      </c>
      <c r="B203" s="376" t="n">
        <f aca="false">H29</f>
        <v>12</v>
      </c>
      <c r="C203" s="338" t="s">
        <v>215</v>
      </c>
      <c r="D203" s="377" t="n">
        <f aca="false">D64</f>
        <v>4051.95</v>
      </c>
      <c r="E203" s="339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40"/>
      <c r="B204" s="341"/>
      <c r="C204" s="342"/>
      <c r="D204" s="341"/>
      <c r="E204" s="339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36" t="s">
        <v>216</v>
      </c>
      <c r="B205" s="338" t="n">
        <f aca="false">B213</f>
        <v>578.85</v>
      </c>
      <c r="C205" s="337" t="s">
        <v>217</v>
      </c>
      <c r="D205" s="377" t="n">
        <f aca="false">B219+E215+B215+B217</f>
        <v>339.99</v>
      </c>
      <c r="E205" s="339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36"/>
      <c r="B206" s="378"/>
      <c r="C206" s="338"/>
      <c r="D206" s="337"/>
      <c r="E206" s="339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40" t="s">
        <v>218</v>
      </c>
      <c r="B207" s="338" t="n">
        <f aca="false">E217</f>
        <v>3813.09</v>
      </c>
      <c r="C207" s="342"/>
      <c r="D207" s="338"/>
      <c r="E207" s="339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281"/>
      <c r="B208" s="354"/>
      <c r="C208" s="280"/>
      <c r="D208" s="280"/>
      <c r="E208" s="28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213</v>
      </c>
      <c r="B209" s="379" t="n">
        <v>0.065</v>
      </c>
      <c r="C209" s="343"/>
      <c r="D209" s="347"/>
      <c r="E209" s="28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80"/>
      <c r="B210" s="39"/>
      <c r="C210" s="280"/>
      <c r="D210" s="38"/>
      <c r="E210" s="28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284" t="s">
        <v>215</v>
      </c>
      <c r="B211" s="100" t="n">
        <f aca="false">D64</f>
        <v>4051.95</v>
      </c>
      <c r="C211" s="381" t="s">
        <v>221</v>
      </c>
      <c r="D211" s="280"/>
      <c r="E211" s="309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51"/>
      <c r="D212" s="243"/>
      <c r="E212" s="28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221</v>
      </c>
      <c r="B213" s="100" t="n">
        <f aca="false">B67</f>
        <v>578.85</v>
      </c>
      <c r="C213" s="351" t="s">
        <v>333</v>
      </c>
      <c r="D213" s="382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54"/>
      <c r="C214" s="351"/>
      <c r="D214" s="280"/>
      <c r="E214" s="28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333</v>
      </c>
      <c r="B215" s="237" t="n">
        <f aca="false">B191*E213*100</f>
        <v>40</v>
      </c>
      <c r="C215" s="351" t="s">
        <v>223</v>
      </c>
      <c r="D215" s="280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51"/>
      <c r="D216" s="38"/>
      <c r="E216" s="28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284" t="s">
        <v>334</v>
      </c>
      <c r="B217" s="237" t="n">
        <f aca="false">B78-(B78*(E213*100))</f>
        <v>200</v>
      </c>
      <c r="C217" s="351" t="s">
        <v>218</v>
      </c>
      <c r="D217" s="280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83"/>
      <c r="B218" s="356"/>
      <c r="C218" s="38"/>
      <c r="D218" s="356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83" t="s">
        <v>335</v>
      </c>
      <c r="B219" s="356" t="n">
        <f aca="false">D191/0.1</f>
        <v>0</v>
      </c>
      <c r="C219" s="38"/>
      <c r="D219" s="356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83"/>
      <c r="B220" s="356"/>
      <c r="C220" s="38"/>
      <c r="D220" s="356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59" t="s">
        <v>336</v>
      </c>
      <c r="B221" s="384"/>
      <c r="C221" s="361"/>
      <c r="D221" s="360"/>
      <c r="E221" s="362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57"/>
      <c r="B222" s="385"/>
      <c r="C222" s="280"/>
      <c r="D222" s="358"/>
      <c r="E222" s="28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57" t="s">
        <v>225</v>
      </c>
      <c r="B223" s="100" t="n">
        <f aca="false">B71</f>
        <v>200</v>
      </c>
      <c r="C223" s="351" t="s">
        <v>226</v>
      </c>
      <c r="D223" s="358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57"/>
      <c r="B224" s="385"/>
      <c r="C224" s="351" t="s">
        <v>227</v>
      </c>
      <c r="D224" s="358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57" t="s">
        <v>228</v>
      </c>
      <c r="B225" s="386" t="n">
        <f aca="false">B68</f>
        <v>0.0075</v>
      </c>
      <c r="C225" s="351" t="s">
        <v>229</v>
      </c>
      <c r="D225" s="358"/>
      <c r="E225" s="309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57"/>
      <c r="B226" s="385"/>
      <c r="C226" s="351" t="s">
        <v>230</v>
      </c>
      <c r="D226" s="358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57" t="s">
        <v>231</v>
      </c>
      <c r="B227" s="100" t="n">
        <f aca="false">B79</f>
        <v>200</v>
      </c>
      <c r="C227" s="387" t="s">
        <v>337</v>
      </c>
      <c r="D227" s="388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284"/>
      <c r="B228" s="354"/>
      <c r="C228" s="387"/>
      <c r="D228" s="389"/>
      <c r="E228" s="390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232</v>
      </c>
      <c r="B229" s="100" t="n">
        <f aca="false">B80</f>
        <v>200</v>
      </c>
      <c r="C229" s="391" t="s">
        <v>338</v>
      </c>
      <c r="D229" s="391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281"/>
      <c r="B230" s="280"/>
      <c r="C230" s="280"/>
      <c r="D230" s="280"/>
      <c r="E230" s="28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281"/>
      <c r="B231" s="280"/>
      <c r="C231" s="280"/>
      <c r="D231" s="280"/>
      <c r="E231" s="28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281"/>
      <c r="B233" s="280"/>
      <c r="C233" s="280"/>
      <c r="D233" s="280"/>
      <c r="E233" s="28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281"/>
      <c r="B234" s="280"/>
      <c r="C234" s="280"/>
      <c r="D234" s="280"/>
      <c r="E234" s="28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280"/>
      <c r="D235" s="280"/>
      <c r="E235" s="28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298"/>
      <c r="B236" s="299"/>
      <c r="C236" s="299"/>
      <c r="D236" s="299"/>
      <c r="E236" s="300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4403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2023-03-27T10:56:55Z</dcterms:modified>
  <cp:revision>723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