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sonalContractPurchase" sheetId="1" state="visible" r:id="rId2"/>
    <sheet name="ContractPurchase" sheetId="2" state="visible" r:id="rId3"/>
    <sheet name="HirePurchaseRegulated" sheetId="3" state="visible" r:id="rId4"/>
    <sheet name="Formula1-FL" sheetId="4" state="visible" r:id="rId5"/>
    <sheet name="Formula1-PCH" sheetId="5" state="visible" r:id="rId6"/>
    <sheet name="Formula1-BCH" sheetId="6" state="visible" r:id="rId7"/>
    <sheet name="FL (Formula 2) - BCH, PCH, FL" sheetId="7" state="visible" r:id="rId8"/>
    <sheet name="BCH (Formula 3) - BCH, PCH" sheetId="8" state="visible" r:id="rId9"/>
    <sheet name="HirePurchaseNonRegulated" sheetId="9" state="visible" r:id="rId10"/>
    <sheet name="Sheet6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<sst xmlns="http://schemas.openxmlformats.org/spreadsheetml/2006/main" count="4158" uniqueCount="262">
  <si>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</si>
  <si>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</si>
  <si>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</si>
  <si>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</si>
  <si>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</si>
  <si>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</si>
  <si>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</si>
  <si>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</si>
  <si>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</si>
  <si>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</si>
  <si>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</si>
  <si>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</si>
  <si>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</si>
  <si>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</si>
  <si>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</si>
  <si>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</si>
  <si>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</si>
  <si>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</si>
  <si>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</si>
  <si>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</si>
  <si>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</si>
  <si>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</si>
  <si>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</si>
  <si>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</si>
  <si>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</si>
  <si>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</si>
  <si>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</si>
  <si>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</si>
  <si>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- 1</t>
  </si>
  <si>
    <t xml:space="preserve">Maintenance include</t>
  </si>
  <si>
    <t xml:space="preserve">Payment profile</t>
  </si>
  <si>
    <t xml:space="preserve">Monthly Advance</t>
  </si>
  <si>
    <t xml:space="preserve">Number of Monthly Advance</t>
  </si>
  <si>
    <t xml:space="preserve">       Own book customer quote</t>
  </si>
  <si>
    <t xml:space="preserve">Advance payment in Value</t>
  </si>
  <si>
    <t xml:space="preserve">Duration</t>
  </si>
  <si>
    <t xml:space="preserve">Target rental</t>
  </si>
  <si>
    <t xml:space="preserve">Mileage</t>
  </si>
  <si>
    <t xml:space="preserve">Residual Value</t>
  </si>
  <si>
    <t xml:space="preserve">Term (months)</t>
  </si>
  <si>
    <t xml:space="preserve">Mileage per annum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</si>
  <si>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</si>
  <si>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</si>
  <si>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</si>
  <si>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</si>
  <si>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</si>
  <si>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</si>
  <si>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</si>
  <si>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Subsequence term</t>
  </si>
  <si>
    <t xml:space="preserve">Calculation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</si>
  <si>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</si>
  <si>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</si>
  <si>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</si>
  <si>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Advance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</si>
  <si>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</si>
  <si>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</si>
  <si>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</si>
  <si>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</si>
  <si>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</si>
  <si>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</si>
  <si>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  = X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</si>
  <si>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</si>
  <si>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</si>
  <si>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</si>
  <si>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</si>
  <si>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</si>
  <si>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</si>
  <si>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Subsequent monthly rentals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</si>
  <si>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</si>
  <si>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</si>
  <si>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</si>
  <si>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</si>
  <si>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</si>
  <si>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</si>
  <si>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</si>
  <si>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</si>
  <si>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</si>
  <si>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</si>
  <si>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</si>
  <si>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</si>
  <si>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</si>
  <si>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</si>
  <si>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</si>
  <si>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</si>
  <si>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</si>
  <si>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</si>
  <si>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</si>
  <si>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</si>
  <si>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</si>
  <si>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</si>
  <si>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</si>
  <si>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</si>
  <si>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</si>
  <si>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</si>
  <si>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</si>
  <si>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</si>
  <si>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</si>
  <si>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</si>
  <si>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</si>
  <si>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</si>
  <si>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Total monthly rental (Ex. VAT)</t>
  </si>
  <si>
    <t xml:space="preserve">Personal contract purchase</t>
  </si>
  <si>
    <t xml:space="preserve">Hire purchase - Regulated</t>
  </si>
  <si>
    <t xml:space="preserve">Contract purchase</t>
  </si>
  <si>
    <t xml:space="preserve">Contract type</t>
  </si>
  <si>
    <t xml:space="preserve">Hire purchase - NON regulated</t>
  </si>
  <si>
    <t xml:space="preserve"> Monthly in advance </t>
  </si>
  <si>
    <t xml:space="preserve">Maintenance margin %</t>
  </si>
  <si>
    <t xml:space="preserve">Credit type</t>
  </si>
  <si>
    <t xml:space="preserve">APR</t>
  </si>
  <si>
    <t xml:space="preserve">Limited Credit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</si>
  <si>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</si>
  <si>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</si>
  <si>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</si>
  <si>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</si>
  <si>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Order deposit</t>
  </si>
  <si>
    <t xml:space="preserve">Finance deposit</t>
  </si>
  <si>
    <t xml:space="preserve">Total deposit</t>
  </si>
  <si>
    <t xml:space="preserve">Document fee (Ex. VAT)</t>
  </si>
  <si>
    <t xml:space="preserve">Initial payment</t>
  </si>
  <si>
    <t xml:space="preserve">239.99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</si>
  <si>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</si>
  <si>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</si>
  <si>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</si>
  <si>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</si>
  <si>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</si>
  <si>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</si>
  <si>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</si>
  <si>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</si>
  <si>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</si>
  <si>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</si>
  <si>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</si>
  <si>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</si>
  <si>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</si>
  <si>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</si>
  <si>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</si>
  <si>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</si>
  <si>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Deposit required</t>
  </si>
  <si>
    <t xml:space="preserve">Balance to finanace</t>
  </si>
  <si>
    <t xml:space="preserve">Document fee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</si>
  <si>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</si>
  <si>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</si>
  <si>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</si>
  <si>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</si>
  <si>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</si>
  <si>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</si>
  <si>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</si>
  <si>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</si>
  <si>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</si>
  <si>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</si>
  <si>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</si>
  <si>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</si>
  <si>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</si>
  <si>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</si>
  <si>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</si>
  <si>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</si>
  <si>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</si>
  <si>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</si>
  <si>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</si>
  <si>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</si>
  <si>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</si>
  <si>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0</t>
  </si>
  <si>
    <t xml:space="preserve">100</t>
  </si>
  <si>
    <t xml:space="preserve">A1 Credit</t>
  </si>
  <si>
    <t xml:space="preserve">199.99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</si>
  <si>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</si>
  <si>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</si>
  <si>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</si>
  <si>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</si>
  <si>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Minimum Margin (%)</t>
  </si>
  <si>
    <t xml:space="preserve">Margin Required (%)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</si>
  <si>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</si>
  <si>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</si>
  <si>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</si>
  <si>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</si>
  <si>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Refferal commision</t>
  </si>
  <si>
    <t xml:space="preserve">Customer Quote - Finance Lease</t>
  </si>
  <si>
    <t xml:space="preserve">Customer Quote - Personal Contract Hire</t>
  </si>
  <si>
    <t xml:space="preserve">Order deposit (No VAT)</t>
  </si>
  <si>
    <t xml:space="preserve"> Spread rentals initial payment </t>
  </si>
  <si>
    <t xml:space="preserve">Business Contract Hire</t>
  </si>
  <si>
    <t xml:space="preserve"> Terminal pause with 9 down </t>
  </si>
  <si>
    <t xml:space="preserve"> Spread rentals with 6 down </t>
  </si>
  <si>
    <t xml:space="preserve"> Spread rentals with 3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</si>
  <si>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</si>
  <si>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</si>
  <si>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</si>
  <si>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</si>
  <si>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 Spread rentals with 12 down </t>
  </si>
  <si>
    <t xml:space="preserve"> Terminal pause with 3 down 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</si>
  <si>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</si>
  <si>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</si>
  <si>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</si>
  <si>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</si>
  <si>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</si>
  <si>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</si>
  <si>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Balance due</t>
  </si>
  <si>
    <t xml:space="preserve">        Summary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</si>
  <si>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</si>
  <si>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</si>
  <si>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</si>
  <si>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</si>
  <si>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</si>
  <si>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</si>
  <si>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</si>
  <si>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</si>
  <si>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</si>
  <si>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</si>
  <si>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</si>
  <si>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</si>
  <si>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</si>
  <si>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</si>
  <si>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</si>
  <si>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</si>
  <si>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</si>
  <si>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</si>
  <si>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</si>
  <si>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</si>
  <si>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</si>
  <si>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</si>
  <si>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</si>
  <si>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</si>
  <si>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</si>
  <si>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</si>
  <si>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</si>
  <si>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</si>
  <si>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Customer Quote - Business Contract Hire</t>
  </si>
  <si>
    <t xml:space="preserve">Select Caste</t>
  </si>
  <si>
    <t xml:space="preserve">Referrer commission (Ex. VAT)</t>
  </si>
  <si>
    <t xml:space="preserve">Holding cost - formula - 3</t>
  </si>
  <si>
    <t xml:space="preserve">       Funder information</t>
  </si>
  <si>
    <t xml:space="preserve">Funder</t>
  </si>
  <si>
    <t xml:space="preserve">Quote reference</t>
  </si>
  <si>
    <t xml:space="preserve">Quote expiry date </t>
  </si>
  <si>
    <t xml:space="preserve">Test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</si>
  <si>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</si>
  <si>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</si>
  <si>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</si>
  <si>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</si>
  <si>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</si>
  <si>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Miles per annum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</si>
  <si>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</si>
  <si>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</si>
  <si>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</si>
  <si>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</si>
  <si>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</si>
  <si>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</si>
  <si>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</si>
  <si>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</si>
  <si>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</si>
  <si>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</si>
  <si>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</si>
  <si>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RFL included?</t>
  </si>
  <si>
    <t xml:space="preserve">Upload document</t>
  </si>
  <si>
    <t xml:space="preserve">Referrer commision</t>
  </si>
  <si>
    <t xml:space="preserve">`</t>
  </si>
  <si>
    <t xml:space="preserve">Hire purchase - NON Regulated</t>
  </si>
  <si>
    <t>YES</t>
  </si>
  <si>
    <t>0</t>
  </si>
  <si>
    <t>100</t>
  </si>
  <si>
    <t>A1 Credit</t>
  </si>
  <si>
    <t>239.99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</si>
</sst>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%"/>
    <numFmt numFmtId="167" formatCode="#,##0.00"/>
    <numFmt numFmtId="168" formatCode="General"/>
    <numFmt numFmtId="169" formatCode="0.00%"/>
    <numFmt numFmtId="170" formatCode="#,##0.000000000"/>
    <numFmt numFmtId="171" formatCode="0.00"/>
    <numFmt numFmtId="172" formatCode="#,##0.0"/>
    <numFmt numFmtId="173" formatCode="0.0000000000000"/>
    <numFmt numFmtId="174" formatCode="0.0000"/>
    <numFmt numFmtId="175" formatCode="0.000%"/>
    <numFmt numFmtId="176" formatCode="#,##0.00000"/>
    <numFmt numFmtId="177" formatCode="#,##0.000"/>
    <numFmt numFmtId="178" formatCode="#,##0.0000000000"/>
    <numFmt numFmtId="179" formatCode="#,##0.0000"/>
    <numFmt numFmtId="180" formatCode="\£#,##0.00000"/>
    <numFmt numFmtId="181" formatCode="[$-409]m/d/yyyy"/>
    <numFmt numFmtId="182" formatCode="#,##0.0000000"/>
  </numFmts>
  <fonts count="2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36"/>
      <color rgb="FFFFFF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sz val="18"/>
      <color rgb="FF000000"/>
      <name val="Calibri"/>
      <family val="2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sz val="11"/>
      <color rgb="FF7E3794"/>
      <name val="Inconsolata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9D18E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A5A5A5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08080"/>
      </patternFill>
    </fill>
    <fill>
      <patternFill patternType="solid">
        <fgColor rgb="FFE7E6E6"/>
        <bgColor rgb="FFD9D9D9"/>
      </patternFill>
    </fill>
    <fill>
      <patternFill patternType="solid">
        <fgColor rgb="FFA9D18E"/>
        <bgColor rgb="FFA8D08D"/>
      </patternFill>
    </fill>
    <fill>
      <patternFill patternType="solid">
        <fgColor rgb="FFA5A5A5"/>
        <bgColor rgb="FFA6A6A6"/>
      </patternFill>
    </fill>
    <fill>
      <patternFill patternType="solid">
        <fgColor rgb="FFA8D08D"/>
        <bgColor rgb="FFA9D18E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3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5" borderId="1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2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5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1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9D18E"/>
      <rgbColor rgb="FFFF99CC"/>
      <rgbColor rgb="FFCC99FF"/>
      <rgbColor rgb="FFFFCC99"/>
      <rgbColor rgb="FF3366FF"/>
      <rgbColor rgb="FF33CCCC"/>
      <rgbColor rgb="FFA8D08D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true" showOutlineSymbols="true" defaultGridColor="true" view="normal" topLeftCell="A88" colorId="64" zoomScale="75" zoomScaleNormal="75" zoomScalePageLayoutView="100" workbookViewId="0">
      <selection pane="topLeft" activeCell="A109" activeCellId="0" sqref="A109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15.0</v>
      </c>
      <c r="C4" s="10" t="n">
        <v>0</v>
      </c>
      <c r="D4" s="10" t="n">
        <v>0.0</v>
      </c>
      <c r="E4" s="10"/>
      <c r="F4" s="10" t="n">
        <v>9.0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52.0</v>
      </c>
      <c r="C5" s="8" t="n">
        <v>0</v>
      </c>
      <c r="D5" s="8" t="n">
        <v>0.0</v>
      </c>
      <c r="E5" s="8"/>
      <c r="F5" s="8" t="n">
        <v>15.0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7080.1255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89.9997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39774.0445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743.3303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39774.0445</v>
      </c>
      <c r="F9" s="15"/>
      <c r="G9" s="16"/>
      <c r="H9" s="17" t="n">
        <f aca="false">B7+D7+F7+H3</f>
        <v>40517.3748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50.0</v>
      </c>
      <c r="F10" s="18"/>
      <c r="G10" s="13"/>
      <c r="H10" s="9" t="n">
        <v>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8113.47496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585.0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55.0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49320.84976</v>
      </c>
      <c r="I15" s="2"/>
      <c r="J15" s="20" t="n">
        <f aca="false">H15</f>
        <v>49320.84976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120.0</v>
      </c>
      <c r="F16" s="18"/>
      <c r="G16" s="13"/>
      <c r="H16" s="9" t="n">
        <v>120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49176.84976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257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</v>
      </c>
      <c r="P29" s="32"/>
    </row>
    <row r="30" customFormat="false" ht="17.9" hidden="false" customHeight="false" outlineLevel="0" collapsed="false">
      <c r="A30" s="7" t="s">
        <v>36</v>
      </c>
      <c r="B30" s="45" t="s">
        <v>258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37</v>
      </c>
      <c r="K30" s="4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38</v>
      </c>
      <c r="K31" s="47" t="n">
        <v>27500</v>
      </c>
      <c r="P31" s="32"/>
    </row>
    <row r="32" customFormat="false" ht="34.8" hidden="false" customHeight="false" outlineLevel="0" collapsed="false">
      <c r="A32" s="7" t="s">
        <v>39</v>
      </c>
      <c r="B32" s="14" t="s">
        <v>40</v>
      </c>
      <c r="C32" s="14"/>
      <c r="D32" s="14"/>
      <c r="E32" s="14" t="s">
        <v>41</v>
      </c>
      <c r="F32" s="14"/>
      <c r="G32" s="14"/>
      <c r="H32" s="12"/>
      <c r="I32" s="2" t="n">
        <v>0</v>
      </c>
      <c r="J32" s="39" t="s">
        <v>42</v>
      </c>
      <c r="K32" s="47" t="n">
        <v>1030.0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712.772406008963</v>
      </c>
      <c r="F33" s="49"/>
      <c r="G33" s="49"/>
      <c r="H33" s="50"/>
      <c r="I33" s="2"/>
      <c r="J33" s="41" t="s">
        <v>43</v>
      </c>
      <c r="K33" s="51" t="n">
        <f aca="false">H21-H11+(H16*20%)</f>
        <v>41087.3748</v>
      </c>
      <c r="L33" s="1" t="n">
        <f aca="false">H21-H11+(H16*20%)</f>
        <v>41087.3748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44</v>
      </c>
      <c r="B35" s="14" t="s">
        <v>45</v>
      </c>
      <c r="C35" s="14"/>
      <c r="D35" s="32"/>
      <c r="E35" s="14" t="s">
        <v>46</v>
      </c>
      <c r="F35" s="52"/>
      <c r="G35" s="52"/>
      <c r="H35" s="50"/>
      <c r="I35" s="2"/>
      <c r="J35" s="53" t="s">
        <v>47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684.161294897852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48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49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50</v>
      </c>
      <c r="B39" s="14" t="s">
        <v>51</v>
      </c>
      <c r="C39" s="14"/>
      <c r="D39" s="32"/>
      <c r="E39" s="14" t="s">
        <v>52</v>
      </c>
      <c r="F39" s="52"/>
      <c r="G39" s="52"/>
      <c r="H39" s="50"/>
      <c r="J39" s="2" t="s">
        <v>53</v>
      </c>
      <c r="K39" s="2" t="n">
        <f aca="false">K33</f>
        <v>41087.3748</v>
      </c>
      <c r="L39" s="2" t="n">
        <f aca="false">(L47*K46)+K44</f>
        <v>43933.392151445</v>
      </c>
      <c r="N39" s="1" t="n">
        <f aca="false">K39-L39</f>
        <v>-2846.01735144504</v>
      </c>
      <c r="P39" s="32"/>
    </row>
    <row r="40" customFormat="false" ht="17.35" hidden="false" customHeight="false" outlineLevel="0" collapsed="false">
      <c r="A40" s="57" t="n">
        <f aca="false">E36*A45/100</f>
        <v>27500</v>
      </c>
      <c r="B40" s="58" t="n">
        <f aca="false">IF(B26="YES", K42, "0.00")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54</v>
      </c>
      <c r="K40" s="2" t="n">
        <f aca="false">(A40)/1.2</f>
        <v>22916.6666666667</v>
      </c>
      <c r="L40" s="2" t="n">
        <f aca="false">K39-L39</f>
        <v>-2846.01735144504</v>
      </c>
      <c r="N40" s="1" t="n">
        <f aca="false">N38-N39</f>
        <v>5757.69735144504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55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56</v>
      </c>
      <c r="K42" s="2" t="n">
        <f aca="false">(K32/K36/100)*C45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57</v>
      </c>
      <c r="K43" s="2"/>
      <c r="L43" s="2"/>
      <c r="P43" s="32"/>
    </row>
    <row r="44" customFormat="false" ht="17.35" hidden="false" customHeight="false" outlineLevel="0" collapsed="false">
      <c r="A44" s="64" t="s">
        <v>58</v>
      </c>
      <c r="B44" s="14"/>
      <c r="C44" s="65" t="s">
        <v>59</v>
      </c>
      <c r="D44" s="65"/>
      <c r="E44" s="14"/>
      <c r="F44" s="14"/>
      <c r="G44" s="14"/>
      <c r="H44" s="12"/>
      <c r="J44" s="2" t="s">
        <v>60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66" t="s">
        <v>259</v>
      </c>
      <c r="B45" s="14"/>
      <c r="C45" s="67" t="s">
        <v>259</v>
      </c>
      <c r="D45" s="67"/>
      <c r="E45" s="67"/>
      <c r="F45" s="14"/>
      <c r="G45" s="14"/>
      <c r="H45" s="12"/>
      <c r="J45" s="2" t="s">
        <v>61</v>
      </c>
      <c r="K45" s="2" t="n">
        <f aca="false">(K39-K44)</f>
        <v>22322.4650294319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62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63</v>
      </c>
      <c r="K47" s="2" t="n">
        <f aca="false">K45/K46</f>
        <v>684.161294897852</v>
      </c>
      <c r="L47" s="2" t="n">
        <f aca="false">L49-K42</f>
        <v>771.388888888889</v>
      </c>
      <c r="M47" s="1" t="n">
        <f aca="false">K47-L47</f>
        <v>-87.2275939910366</v>
      </c>
      <c r="P47" s="32"/>
    </row>
    <row r="48" customFormat="false" ht="31.8" hidden="false" customHeight="false" outlineLevel="0" collapsed="false">
      <c r="A48" s="69" t="s">
        <v>64</v>
      </c>
      <c r="B48" s="14"/>
      <c r="C48" s="14"/>
      <c r="D48" s="70"/>
      <c r="E48" s="70"/>
      <c r="F48" s="70"/>
      <c r="G48" s="70"/>
      <c r="H48" s="71"/>
      <c r="J48" s="72" t="s">
        <v>65</v>
      </c>
      <c r="K48" s="2" t="n">
        <f aca="false">IF(B26="YES", K47+K42, K47)</f>
        <v>712.772406008963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66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39</v>
      </c>
      <c r="B50" s="75" t="s">
        <v>40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712.772406008963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53</v>
      </c>
      <c r="B58" s="14" t="n">
        <v>1</v>
      </c>
      <c r="C58" s="14"/>
      <c r="D58" s="14"/>
      <c r="E58" s="80"/>
      <c r="F58" s="80"/>
      <c r="G58" s="80"/>
      <c r="H58" s="12"/>
      <c r="J58" s="7" t="s">
        <v>53</v>
      </c>
      <c r="K58" s="14" t="n">
        <v>1</v>
      </c>
      <c r="L58" s="14"/>
      <c r="M58" s="14"/>
      <c r="N58" s="80"/>
      <c r="O58" s="80"/>
      <c r="P58" s="80"/>
      <c r="Q58" s="12"/>
      <c r="S58" s="7" t="s">
        <v>53</v>
      </c>
      <c r="T58" s="14" t="n">
        <v>1</v>
      </c>
      <c r="U58" s="14"/>
      <c r="V58" s="14"/>
      <c r="W58" s="80"/>
      <c r="X58" s="80"/>
      <c r="Y58" s="80"/>
      <c r="Z58" s="12"/>
      <c r="AB58" s="7" t="s">
        <v>53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67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67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67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67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68</v>
      </c>
      <c r="B60" s="82" t="n">
        <v>10.0</v>
      </c>
      <c r="C60" s="14"/>
      <c r="D60" s="14"/>
      <c r="E60" s="80"/>
      <c r="F60" s="80"/>
      <c r="G60" s="80"/>
      <c r="H60" s="12"/>
      <c r="J60" s="81" t="s">
        <v>68</v>
      </c>
      <c r="K60" s="82" t="n">
        <v>20</v>
      </c>
      <c r="L60" s="14"/>
      <c r="M60" s="14"/>
      <c r="N60" s="80"/>
      <c r="O60" s="80"/>
      <c r="P60" s="80"/>
      <c r="Q60" s="12"/>
      <c r="S60" s="81" t="s">
        <v>68</v>
      </c>
      <c r="T60" s="82" t="n">
        <v>10</v>
      </c>
      <c r="U60" s="14"/>
      <c r="V60" s="14"/>
      <c r="W60" s="80"/>
      <c r="X60" s="80"/>
      <c r="Y60" s="80"/>
      <c r="Z60" s="12"/>
      <c r="AB60" s="81" t="s">
        <v>68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69</v>
      </c>
      <c r="B62" s="84" t="n">
        <v>0.0</v>
      </c>
      <c r="C62" s="14"/>
      <c r="D62" s="14"/>
      <c r="E62" s="80"/>
      <c r="F62" s="80"/>
      <c r="G62" s="80"/>
      <c r="H62" s="12"/>
      <c r="J62" s="83" t="s">
        <v>69</v>
      </c>
      <c r="K62" s="84" t="n">
        <v>0.06</v>
      </c>
      <c r="L62" s="14"/>
      <c r="M62" s="14"/>
      <c r="N62" s="80"/>
      <c r="O62" s="80"/>
      <c r="P62" s="80"/>
      <c r="Q62" s="12"/>
      <c r="S62" s="83" t="s">
        <v>69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69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70</v>
      </c>
      <c r="B63" s="85" t="n">
        <v>0.065</v>
      </c>
      <c r="C63" s="14"/>
      <c r="D63" s="14"/>
      <c r="E63" s="80"/>
      <c r="F63" s="80"/>
      <c r="G63" s="80"/>
      <c r="H63" s="12"/>
      <c r="J63" s="4" t="s">
        <v>70</v>
      </c>
      <c r="K63" s="85" t="n">
        <v>0.08</v>
      </c>
      <c r="L63" s="14"/>
      <c r="M63" s="14"/>
      <c r="N63" s="80"/>
      <c r="O63" s="80"/>
      <c r="P63" s="80"/>
      <c r="Q63" s="12"/>
      <c r="S63" s="4" t="s">
        <v>70</v>
      </c>
      <c r="T63" s="85" t="n">
        <v>0.059</v>
      </c>
      <c r="U63" s="14"/>
      <c r="V63" s="14"/>
      <c r="W63" s="80"/>
      <c r="X63" s="80"/>
      <c r="Y63" s="80"/>
      <c r="Z63" s="12"/>
      <c r="AB63" s="4" t="s">
        <v>70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71</v>
      </c>
      <c r="B64" s="87" t="n">
        <v>0.024</v>
      </c>
      <c r="C64" s="14"/>
      <c r="D64" s="14"/>
      <c r="E64" s="80"/>
      <c r="F64" s="80"/>
      <c r="G64" s="80"/>
      <c r="H64" s="12"/>
      <c r="J64" s="86" t="s">
        <v>71</v>
      </c>
      <c r="K64" s="87" t="n">
        <v>0.1</v>
      </c>
      <c r="L64" s="14"/>
      <c r="M64" s="14"/>
      <c r="N64" s="80"/>
      <c r="O64" s="80"/>
      <c r="P64" s="80"/>
      <c r="Q64" s="12"/>
      <c r="S64" s="86" t="s">
        <v>71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71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72</v>
      </c>
      <c r="B65" s="68" t="e">
        <f aca="false">(B89*B59)-(K47*K29)</f>
        <v>#DIV/0!</v>
      </c>
      <c r="C65" s="14"/>
      <c r="D65" s="14"/>
      <c r="E65" s="80"/>
      <c r="F65" s="80"/>
      <c r="G65" s="80"/>
      <c r="H65" s="12"/>
      <c r="J65" s="60" t="s">
        <v>72</v>
      </c>
      <c r="K65" s="68" t="n">
        <f aca="false">(K89*K59)-(K47*K29)</f>
        <v>13671.511329935</v>
      </c>
      <c r="L65" s="14"/>
      <c r="M65" s="14"/>
      <c r="N65" s="80"/>
      <c r="O65" s="80"/>
      <c r="P65" s="80"/>
      <c r="Q65" s="12"/>
      <c r="S65" s="60" t="s">
        <v>72</v>
      </c>
      <c r="T65" s="68" t="n">
        <f aca="false">(T89*T59)-(K47*K29)</f>
        <v>23627.5095202674</v>
      </c>
      <c r="U65" s="14"/>
      <c r="V65" s="14"/>
      <c r="W65" s="80"/>
      <c r="X65" s="80"/>
      <c r="Y65" s="80"/>
      <c r="Z65" s="12"/>
      <c r="AB65" s="60" t="s">
        <v>72</v>
      </c>
      <c r="AC65" s="68" t="n">
        <f aca="false">(AC89*AC59)-(K47*K29)</f>
        <v>-3958.68009620292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73</v>
      </c>
      <c r="B66" s="84" t="n">
        <v>0.01</v>
      </c>
      <c r="C66" s="14"/>
      <c r="D66" s="14"/>
      <c r="E66" s="80"/>
      <c r="F66" s="80"/>
      <c r="G66" s="80"/>
      <c r="H66" s="12"/>
      <c r="J66" s="83" t="s">
        <v>73</v>
      </c>
      <c r="K66" s="84" t="n">
        <v>0.05</v>
      </c>
      <c r="L66" s="14"/>
      <c r="M66" s="14"/>
      <c r="N66" s="80"/>
      <c r="O66" s="80"/>
      <c r="P66" s="80"/>
      <c r="Q66" s="12"/>
      <c r="S66" s="83" t="s">
        <v>73</v>
      </c>
      <c r="T66" s="84" t="n">
        <v>0.005</v>
      </c>
      <c r="U66" s="14"/>
      <c r="V66" s="14"/>
      <c r="W66" s="80"/>
      <c r="X66" s="80"/>
      <c r="Y66" s="80"/>
      <c r="Z66" s="12"/>
      <c r="AB66" s="83" t="s">
        <v>73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74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74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74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74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75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75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75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75</v>
      </c>
      <c r="AC68" s="68" t="n">
        <f aca="false">AH158*AC67</f>
        <v>357.06785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76</v>
      </c>
      <c r="B69" s="84" t="n">
        <v>0</v>
      </c>
      <c r="C69" s="14"/>
      <c r="D69" s="14"/>
      <c r="E69" s="80"/>
      <c r="F69" s="80"/>
      <c r="G69" s="80"/>
      <c r="H69" s="12"/>
      <c r="J69" s="83" t="s">
        <v>76</v>
      </c>
      <c r="K69" s="84" t="n">
        <v>0</v>
      </c>
      <c r="L69" s="14"/>
      <c r="M69" s="14"/>
      <c r="N69" s="80"/>
      <c r="O69" s="80"/>
      <c r="P69" s="80"/>
      <c r="Q69" s="12"/>
      <c r="S69" s="83" t="s">
        <v>76</v>
      </c>
      <c r="T69" s="84" t="n">
        <v>0</v>
      </c>
      <c r="U69" s="14"/>
      <c r="V69" s="14"/>
      <c r="W69" s="80"/>
      <c r="X69" s="80"/>
      <c r="Y69" s="80"/>
      <c r="Z69" s="12"/>
      <c r="AB69" s="83" t="s">
        <v>76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77</v>
      </c>
      <c r="B70" s="85" t="n">
        <v>0</v>
      </c>
      <c r="C70" s="14"/>
      <c r="D70" s="14"/>
      <c r="E70" s="80"/>
      <c r="F70" s="80"/>
      <c r="G70" s="80"/>
      <c r="H70" s="12"/>
      <c r="J70" s="4" t="s">
        <v>77</v>
      </c>
      <c r="K70" s="85" t="n">
        <v>0</v>
      </c>
      <c r="L70" s="14"/>
      <c r="M70" s="14"/>
      <c r="N70" s="80"/>
      <c r="O70" s="80"/>
      <c r="P70" s="80"/>
      <c r="Q70" s="12"/>
      <c r="S70" s="4" t="s">
        <v>77</v>
      </c>
      <c r="T70" s="85" t="n">
        <v>0</v>
      </c>
      <c r="U70" s="14"/>
      <c r="V70" s="14"/>
      <c r="W70" s="80"/>
      <c r="X70" s="80"/>
      <c r="Y70" s="80"/>
      <c r="Z70" s="12"/>
      <c r="AB70" s="4" t="s">
        <v>77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78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78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78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78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79</v>
      </c>
      <c r="B72" s="90" t="n">
        <v>0</v>
      </c>
      <c r="C72" s="14"/>
      <c r="D72" s="14"/>
      <c r="E72" s="80"/>
      <c r="F72" s="80"/>
      <c r="G72" s="80"/>
      <c r="H72" s="12"/>
      <c r="J72" s="83" t="s">
        <v>79</v>
      </c>
      <c r="K72" s="90" t="n">
        <v>0</v>
      </c>
      <c r="L72" s="14"/>
      <c r="M72" s="14"/>
      <c r="N72" s="80"/>
      <c r="O72" s="80"/>
      <c r="P72" s="80"/>
      <c r="Q72" s="12"/>
      <c r="S72" s="83" t="s">
        <v>79</v>
      </c>
      <c r="T72" s="90" t="n">
        <v>0</v>
      </c>
      <c r="U72" s="14"/>
      <c r="V72" s="14"/>
      <c r="W72" s="80"/>
      <c r="X72" s="80"/>
      <c r="Y72" s="80"/>
      <c r="Z72" s="12"/>
      <c r="AB72" s="83" t="s">
        <v>79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80</v>
      </c>
      <c r="B73" s="82" t="n">
        <v>0</v>
      </c>
      <c r="C73" s="14"/>
      <c r="D73" s="14"/>
      <c r="E73" s="80"/>
      <c r="F73" s="80"/>
      <c r="G73" s="80"/>
      <c r="H73" s="12"/>
      <c r="J73" s="4" t="s">
        <v>80</v>
      </c>
      <c r="K73" s="82" t="n">
        <v>0</v>
      </c>
      <c r="L73" s="14"/>
      <c r="M73" s="14"/>
      <c r="N73" s="80"/>
      <c r="O73" s="80"/>
      <c r="P73" s="80"/>
      <c r="Q73" s="12"/>
      <c r="S73" s="4" t="s">
        <v>80</v>
      </c>
      <c r="T73" s="82" t="n">
        <v>0</v>
      </c>
      <c r="U73" s="14"/>
      <c r="V73" s="14"/>
      <c r="W73" s="80"/>
      <c r="X73" s="80"/>
      <c r="Y73" s="80"/>
      <c r="Z73" s="12"/>
      <c r="AB73" s="4" t="s">
        <v>80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81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81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81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81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82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82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82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82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83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83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83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83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84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84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84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84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85</v>
      </c>
      <c r="B78" s="12" t="n">
        <f aca="false">B77/K29</f>
        <v>0</v>
      </c>
      <c r="C78" s="14"/>
      <c r="D78" s="14"/>
      <c r="E78" s="80"/>
      <c r="F78" s="80"/>
      <c r="G78" s="80"/>
      <c r="H78" s="12"/>
      <c r="J78" s="7" t="s">
        <v>85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85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85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86</v>
      </c>
      <c r="B79" s="63" t="n">
        <f aca="false">K47</f>
        <v>684.161294897852</v>
      </c>
      <c r="C79" s="14"/>
      <c r="D79" s="14"/>
      <c r="E79" s="80"/>
      <c r="F79" s="80"/>
      <c r="G79" s="80"/>
      <c r="H79" s="12"/>
      <c r="J79" s="94" t="s">
        <v>86</v>
      </c>
      <c r="K79" s="63" t="n">
        <f aca="false">K47</f>
        <v>684.161294897852</v>
      </c>
      <c r="L79" s="14"/>
      <c r="M79" s="14"/>
      <c r="N79" s="80"/>
      <c r="O79" s="80"/>
      <c r="P79" s="80"/>
      <c r="Q79" s="12"/>
      <c r="S79" s="94" t="s">
        <v>86</v>
      </c>
      <c r="T79" s="63" t="n">
        <f aca="false">B52</f>
        <v>712.772406008963</v>
      </c>
      <c r="U79" s="14"/>
      <c r="V79" s="14"/>
      <c r="W79" s="80"/>
      <c r="X79" s="80"/>
      <c r="Y79" s="80"/>
      <c r="Z79" s="12"/>
      <c r="AB79" s="94" t="s">
        <v>86</v>
      </c>
      <c r="AC79" s="63" t="n">
        <f aca="false">B52</f>
        <v>712.772406008963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87</v>
      </c>
      <c r="B81" s="36" t="n">
        <f aca="false">G158</f>
        <v>48676.84976</v>
      </c>
      <c r="C81" s="14"/>
      <c r="D81" s="14"/>
      <c r="E81" s="80"/>
      <c r="F81" s="80"/>
      <c r="G81" s="80"/>
      <c r="H81" s="12"/>
      <c r="J81" s="34" t="s">
        <v>87</v>
      </c>
      <c r="K81" s="36" t="n">
        <f aca="false">P158</f>
        <v>27893.036</v>
      </c>
      <c r="L81" s="14"/>
      <c r="M81" s="14"/>
      <c r="N81" s="80"/>
      <c r="O81" s="80"/>
      <c r="P81" s="80"/>
      <c r="Q81" s="12"/>
      <c r="S81" s="34" t="s">
        <v>87</v>
      </c>
      <c r="T81" s="36" t="n">
        <f aca="false">Y158</f>
        <v>58532.43785</v>
      </c>
      <c r="U81" s="14"/>
      <c r="V81" s="14"/>
      <c r="W81" s="80"/>
      <c r="X81" s="80"/>
      <c r="Y81" s="80"/>
      <c r="Z81" s="12"/>
      <c r="AB81" s="34" t="s">
        <v>87</v>
      </c>
      <c r="AC81" s="36" t="n">
        <f aca="false">AH158</f>
        <v>35706.785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54</v>
      </c>
      <c r="B82" s="12" t="n">
        <f aca="false">A40</f>
        <v>27500</v>
      </c>
      <c r="C82" s="14"/>
      <c r="D82" s="14"/>
      <c r="E82" s="80"/>
      <c r="F82" s="80"/>
      <c r="G82" s="80"/>
      <c r="H82" s="12"/>
      <c r="J82" s="7" t="s">
        <v>54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54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54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88</v>
      </c>
      <c r="B83" s="88" t="n">
        <f aca="false">B62+B63+B64</f>
        <v>0</v>
      </c>
      <c r="C83" s="14"/>
      <c r="D83" s="14"/>
      <c r="E83" s="80"/>
      <c r="F83" s="80"/>
      <c r="G83" s="80"/>
      <c r="H83" s="12"/>
      <c r="J83" s="7" t="s">
        <v>88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88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88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89</v>
      </c>
      <c r="B84" s="88" t="n">
        <f aca="false">B83/12</f>
        <v>0</v>
      </c>
      <c r="C84" s="14"/>
      <c r="D84" s="14"/>
      <c r="E84" s="80"/>
      <c r="F84" s="80"/>
      <c r="G84" s="80"/>
      <c r="H84" s="12"/>
      <c r="J84" s="7" t="s">
        <v>89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89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89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90</v>
      </c>
      <c r="B85" s="12" t="n">
        <f aca="false">IF(B82=0, (B59+B58), (B59))</f>
        <v>35</v>
      </c>
      <c r="C85" s="14"/>
      <c r="D85" s="14"/>
      <c r="E85" s="80"/>
      <c r="F85" s="80"/>
      <c r="G85" s="80"/>
      <c r="H85" s="12"/>
      <c r="J85" s="7" t="s">
        <v>90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90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90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91</v>
      </c>
      <c r="B86" s="12" t="n">
        <f aca="false">(B82/((1+B84)^(B85+1)))</f>
        <v>27500</v>
      </c>
      <c r="C86" s="14"/>
      <c r="D86" s="14"/>
      <c r="E86" s="80"/>
      <c r="F86" s="80"/>
      <c r="G86" s="80"/>
      <c r="H86" s="12"/>
      <c r="J86" s="7" t="s">
        <v>91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91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91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92</v>
      </c>
      <c r="B87" s="12" t="e">
        <f aca="false">((1-(1/((1+B84)^B85)))/B84)</f>
        <v>#DIV/0!</v>
      </c>
      <c r="C87" s="14"/>
      <c r="D87" s="14"/>
      <c r="E87" s="80"/>
      <c r="F87" s="80"/>
      <c r="G87" s="80"/>
      <c r="H87" s="12"/>
      <c r="J87" s="7" t="s">
        <v>92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92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92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93</v>
      </c>
      <c r="B88" s="12" t="n">
        <f aca="false">B81-B86</f>
        <v>21176.84976</v>
      </c>
      <c r="C88" s="14"/>
      <c r="D88" s="14"/>
      <c r="E88" s="80"/>
      <c r="F88" s="80"/>
      <c r="G88" s="80"/>
      <c r="H88" s="12"/>
      <c r="J88" s="7" t="s">
        <v>93</v>
      </c>
      <c r="K88" s="12" t="n">
        <f aca="false">K81-K86</f>
        <v>27893.036</v>
      </c>
      <c r="L88" s="14"/>
      <c r="M88" s="14"/>
      <c r="N88" s="80"/>
      <c r="O88" s="80"/>
      <c r="P88" s="80"/>
      <c r="Q88" s="12"/>
      <c r="S88" s="7" t="s">
        <v>93</v>
      </c>
      <c r="T88" s="12" t="n">
        <f aca="false">T81-T86</f>
        <v>39929.5720402377</v>
      </c>
      <c r="U88" s="14"/>
      <c r="V88" s="14"/>
      <c r="W88" s="80"/>
      <c r="X88" s="80"/>
      <c r="Y88" s="80"/>
      <c r="Z88" s="12"/>
      <c r="AB88" s="7" t="s">
        <v>93</v>
      </c>
      <c r="AC88" s="12" t="n">
        <f aca="false">AC81-AC86</f>
        <v>17103.9191902377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94</v>
      </c>
      <c r="B89" s="12" t="e">
        <f aca="false">(B88/B87)</f>
        <v>#DIV/0!</v>
      </c>
      <c r="C89" s="14"/>
      <c r="D89" s="14"/>
      <c r="E89" s="80"/>
      <c r="F89" s="80"/>
      <c r="G89" s="80"/>
      <c r="H89" s="12"/>
      <c r="J89" s="7" t="s">
        <v>94</v>
      </c>
      <c r="K89" s="12" t="n">
        <f aca="false">(K88/K87)</f>
        <v>1094.32336989308</v>
      </c>
      <c r="L89" s="14"/>
      <c r="M89" s="14"/>
      <c r="N89" s="80"/>
      <c r="O89" s="80"/>
      <c r="P89" s="80"/>
      <c r="Q89" s="12"/>
      <c r="S89" s="7" t="s">
        <v>94</v>
      </c>
      <c r="T89" s="12" t="n">
        <f aca="false">(T88/T87)</f>
        <v>1378.78046104543</v>
      </c>
      <c r="U89" s="14"/>
      <c r="V89" s="14"/>
      <c r="W89" s="80"/>
      <c r="X89" s="80"/>
      <c r="Y89" s="80"/>
      <c r="Z89" s="12"/>
      <c r="AB89" s="7" t="s">
        <v>94</v>
      </c>
      <c r="AC89" s="12" t="n">
        <f aca="false">(AC88/AC87)</f>
        <v>590.603614860565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95</v>
      </c>
      <c r="B90" s="12" t="e">
        <f aca="false">((B89*(B85))+B77)</f>
        <v>#DIV/0!</v>
      </c>
      <c r="C90" s="14"/>
      <c r="D90" s="14"/>
      <c r="E90" s="80"/>
      <c r="F90" s="80"/>
      <c r="G90" s="80"/>
      <c r="H90" s="12"/>
      <c r="J90" s="7" t="s">
        <v>95</v>
      </c>
      <c r="K90" s="12" t="n">
        <f aca="false">((K89*(K85))+K77)</f>
        <v>39395.6413161508</v>
      </c>
      <c r="L90" s="14"/>
      <c r="M90" s="14"/>
      <c r="N90" s="80"/>
      <c r="O90" s="80"/>
      <c r="P90" s="80"/>
      <c r="Q90" s="12"/>
      <c r="S90" s="7" t="s">
        <v>95</v>
      </c>
      <c r="T90" s="12" t="n">
        <f aca="false">(T89*(T85))+T77</f>
        <v>48257.3161365901</v>
      </c>
      <c r="U90" s="14"/>
      <c r="V90" s="14"/>
      <c r="W90" s="80"/>
      <c r="X90" s="80"/>
      <c r="Y90" s="80"/>
      <c r="Z90" s="12"/>
      <c r="AB90" s="7" t="s">
        <v>95</v>
      </c>
      <c r="AC90" s="12" t="n">
        <f aca="false">(AC89*(AC59))+AC77</f>
        <v>20671.1265201198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96</v>
      </c>
      <c r="B91" s="12" t="e">
        <f aca="false">(B90/(1-B71))*B71</f>
        <v>#DIV/0!</v>
      </c>
      <c r="C91" s="14"/>
      <c r="D91" s="14"/>
      <c r="E91" s="80"/>
      <c r="F91" s="80"/>
      <c r="G91" s="80"/>
      <c r="H91" s="12"/>
      <c r="J91" s="7" t="s">
        <v>96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96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96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97</v>
      </c>
      <c r="B92" s="68" t="e">
        <f aca="false">(B90+B91)</f>
        <v>#DIV/0!</v>
      </c>
      <c r="C92" s="14"/>
      <c r="D92" s="14"/>
      <c r="E92" s="80"/>
      <c r="F92" s="80"/>
      <c r="G92" s="80"/>
      <c r="H92" s="12"/>
      <c r="J92" s="60" t="s">
        <v>97</v>
      </c>
      <c r="K92" s="68" t="n">
        <f aca="false">(K90+K91)</f>
        <v>39395.6413161508</v>
      </c>
      <c r="L92" s="14"/>
      <c r="M92" s="14"/>
      <c r="N92" s="80"/>
      <c r="O92" s="80"/>
      <c r="P92" s="80"/>
      <c r="Q92" s="12"/>
      <c r="S92" s="60" t="s">
        <v>97</v>
      </c>
      <c r="T92" s="68" t="n">
        <f aca="false">(T90+T91)</f>
        <v>48257.3161365901</v>
      </c>
      <c r="U92" s="14"/>
      <c r="V92" s="14"/>
      <c r="W92" s="80"/>
      <c r="X92" s="80"/>
      <c r="Y92" s="80"/>
      <c r="Z92" s="12"/>
      <c r="AB92" s="60" t="s">
        <v>97</v>
      </c>
      <c r="AC92" s="68" t="n">
        <f aca="false">(AC90+AC91)</f>
        <v>20671.1265201198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98</v>
      </c>
      <c r="B94" s="93" t="n">
        <f aca="false">IF(B26="YES",((E40/B85)*(1+A108)*1.2),"0")</f>
        <v>35.3142857142857</v>
      </c>
      <c r="C94" s="14"/>
      <c r="D94" s="14"/>
      <c r="E94" s="80"/>
      <c r="F94" s="80"/>
      <c r="G94" s="80"/>
      <c r="H94" s="12"/>
      <c r="J94" s="92" t="s">
        <v>98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98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98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99</v>
      </c>
      <c r="B95" s="96" t="e">
        <f aca="false">B92/(B85)</f>
        <v>#DIV/0!</v>
      </c>
      <c r="C95" s="14"/>
      <c r="D95" s="14"/>
      <c r="E95" s="80"/>
      <c r="F95" s="80"/>
      <c r="G95" s="80"/>
      <c r="H95" s="12"/>
      <c r="J95" s="95" t="s">
        <v>99</v>
      </c>
      <c r="K95" s="96" t="n">
        <f aca="false">K92/(K85)</f>
        <v>1094.32336989308</v>
      </c>
      <c r="L95" s="14"/>
      <c r="M95" s="14"/>
      <c r="N95" s="80"/>
      <c r="O95" s="80"/>
      <c r="P95" s="80"/>
      <c r="Q95" s="12"/>
      <c r="S95" s="95" t="s">
        <v>99</v>
      </c>
      <c r="T95" s="96" t="n">
        <f aca="false">T92/(T85)</f>
        <v>1378.78046104543</v>
      </c>
      <c r="U95" s="14"/>
      <c r="V95" s="14"/>
      <c r="W95" s="80"/>
      <c r="X95" s="80"/>
      <c r="Y95" s="80"/>
      <c r="Z95" s="12"/>
      <c r="AB95" s="95" t="s">
        <v>99</v>
      </c>
      <c r="AC95" s="96" t="n">
        <f aca="false">AC92/(AC59)</f>
        <v>590.603614860565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100</v>
      </c>
      <c r="B96" s="98" t="e">
        <f aca="false">(B94+B95)</f>
        <v>#DIV/0!</v>
      </c>
      <c r="C96" s="14"/>
      <c r="D96" s="14"/>
      <c r="E96" s="80"/>
      <c r="F96" s="80"/>
      <c r="G96" s="80"/>
      <c r="H96" s="12"/>
      <c r="J96" s="97" t="s">
        <v>100</v>
      </c>
      <c r="K96" s="98" t="n">
        <f aca="false">(K94+K95)</f>
        <v>1138.95670322641</v>
      </c>
      <c r="L96" s="14"/>
      <c r="M96" s="14"/>
      <c r="N96" s="80"/>
      <c r="O96" s="80"/>
      <c r="P96" s="80"/>
      <c r="Q96" s="12"/>
      <c r="S96" s="97" t="s">
        <v>100</v>
      </c>
      <c r="T96" s="98" t="n">
        <f aca="false">T94+T95</f>
        <v>1414.09474675972</v>
      </c>
      <c r="U96" s="14"/>
      <c r="V96" s="14"/>
      <c r="W96" s="80"/>
      <c r="X96" s="80"/>
      <c r="Y96" s="80"/>
      <c r="Z96" s="12"/>
      <c r="AB96" s="97" t="s">
        <v>100</v>
      </c>
      <c r="AC96" s="98" t="n">
        <f aca="false">AC94+AC95</f>
        <v>632.980757717708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101</v>
      </c>
      <c r="B100" s="3"/>
      <c r="C100" s="3"/>
      <c r="D100" s="3"/>
      <c r="E100" s="3"/>
      <c r="F100" s="3"/>
      <c r="G100" s="3"/>
      <c r="H100" s="3"/>
      <c r="J100" s="3" t="s">
        <v>102</v>
      </c>
      <c r="K100" s="3"/>
      <c r="L100" s="3"/>
      <c r="M100" s="3"/>
      <c r="N100" s="3"/>
      <c r="O100" s="3"/>
      <c r="P100" s="3"/>
      <c r="Q100" s="3"/>
      <c r="S100" s="3" t="s">
        <v>103</v>
      </c>
      <c r="T100" s="3"/>
      <c r="U100" s="3"/>
      <c r="V100" s="3"/>
      <c r="W100" s="3"/>
      <c r="X100" s="3"/>
      <c r="Y100" s="3"/>
      <c r="Z100" s="3"/>
      <c r="AB100" s="3" t="s">
        <v>101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104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104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104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104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105</v>
      </c>
      <c r="B105" s="23" t="s">
        <v>106</v>
      </c>
      <c r="C105" s="23"/>
      <c r="D105" s="23"/>
      <c r="E105" s="45" t="s">
        <v>257</v>
      </c>
      <c r="F105" s="45"/>
      <c r="G105" s="45"/>
      <c r="H105" s="101"/>
      <c r="J105" s="37" t="s">
        <v>105</v>
      </c>
      <c r="K105" s="23" t="s">
        <v>106</v>
      </c>
      <c r="L105" s="23"/>
      <c r="M105" s="23"/>
      <c r="N105" s="45" t="s">
        <v>25</v>
      </c>
      <c r="O105" s="45"/>
      <c r="P105" s="45"/>
      <c r="Q105" s="101"/>
      <c r="S105" s="37" t="s">
        <v>105</v>
      </c>
      <c r="T105" s="23" t="s">
        <v>106</v>
      </c>
      <c r="U105" s="23"/>
      <c r="V105" s="23"/>
      <c r="W105" s="45" t="s">
        <v>25</v>
      </c>
      <c r="X105" s="45"/>
      <c r="Y105" s="45"/>
      <c r="Z105" s="101"/>
      <c r="AB105" s="37" t="s">
        <v>105</v>
      </c>
      <c r="AC105" s="23" t="s">
        <v>106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107</v>
      </c>
      <c r="B107" s="14" t="s">
        <v>108</v>
      </c>
      <c r="C107" s="14"/>
      <c r="D107" s="80"/>
      <c r="E107" s="14" t="s">
        <v>109</v>
      </c>
      <c r="F107" s="14"/>
      <c r="G107" s="80"/>
      <c r="H107" s="101"/>
      <c r="J107" s="7" t="s">
        <v>107</v>
      </c>
      <c r="K107" s="14" t="s">
        <v>108</v>
      </c>
      <c r="L107" s="14"/>
      <c r="M107" s="80"/>
      <c r="N107" s="14" t="s">
        <v>109</v>
      </c>
      <c r="O107" s="14"/>
      <c r="P107" s="80"/>
      <c r="Q107" s="101"/>
      <c r="S107" s="7" t="s">
        <v>107</v>
      </c>
      <c r="T107" s="14" t="s">
        <v>108</v>
      </c>
      <c r="U107" s="14"/>
      <c r="V107" s="80"/>
      <c r="W107" s="14" t="s">
        <v>109</v>
      </c>
      <c r="X107" s="14"/>
      <c r="Y107" s="80"/>
      <c r="Z107" s="101"/>
      <c r="AB107" s="7" t="s">
        <v>107</v>
      </c>
      <c r="AC107" s="14" t="s">
        <v>108</v>
      </c>
      <c r="AD107" s="14"/>
      <c r="AE107" s="80"/>
      <c r="AF107" s="14" t="s">
        <v>109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260</v>
      </c>
      <c r="C108" s="58"/>
      <c r="D108" s="58"/>
      <c r="E108" s="103" t="n">
        <f aca="false">B83</f>
        <v>0</v>
      </c>
      <c r="F108" s="103"/>
      <c r="G108" s="103"/>
      <c r="H108" s="50"/>
      <c r="J108" s="102" t="n">
        <v>0.3</v>
      </c>
      <c r="K108" s="58" t="s">
        <v>111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112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112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113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111</v>
      </c>
    </row>
    <row r="110" customFormat="false" ht="17.35" hidden="false" customHeight="false" outlineLevel="0" collapsed="false">
      <c r="A110" s="7" t="s">
        <v>114</v>
      </c>
      <c r="B110" s="14" t="s">
        <v>115</v>
      </c>
      <c r="C110" s="14"/>
      <c r="D110" s="14"/>
      <c r="E110" s="14" t="s">
        <v>116</v>
      </c>
      <c r="F110" s="14"/>
      <c r="G110" s="14"/>
      <c r="H110" s="12"/>
      <c r="J110" s="7" t="s">
        <v>114</v>
      </c>
      <c r="K110" s="14" t="s">
        <v>115</v>
      </c>
      <c r="L110" s="14"/>
      <c r="M110" s="14"/>
      <c r="N110" s="14" t="s">
        <v>116</v>
      </c>
      <c r="O110" s="14"/>
      <c r="P110" s="14"/>
      <c r="Q110" s="12"/>
      <c r="S110" s="7" t="s">
        <v>114</v>
      </c>
      <c r="T110" s="14" t="s">
        <v>115</v>
      </c>
      <c r="U110" s="14"/>
      <c r="V110" s="14"/>
      <c r="W110" s="14" t="s">
        <v>116</v>
      </c>
      <c r="X110" s="14"/>
      <c r="Y110" s="14"/>
      <c r="Z110" s="12"/>
      <c r="AB110" s="7" t="s">
        <v>114</v>
      </c>
      <c r="AC110" s="14" t="s">
        <v>115</v>
      </c>
      <c r="AD110" s="14"/>
      <c r="AE110" s="14"/>
      <c r="AF110" s="14" t="s">
        <v>116</v>
      </c>
      <c r="AG110" s="14"/>
      <c r="AH110" s="14"/>
      <c r="AI110" s="12"/>
    </row>
    <row r="111" customFormat="false" ht="17.35" hidden="false" customHeight="false" outlineLevel="0" collapsed="false">
      <c r="A111" s="38" t="s">
        <v>257</v>
      </c>
      <c r="B111" s="58" t="n">
        <v>200.0</v>
      </c>
      <c r="C111" s="58"/>
      <c r="D111" s="58"/>
      <c r="E111" s="58" t="n">
        <v>200.0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117</v>
      </c>
      <c r="B113" s="14" t="s">
        <v>118</v>
      </c>
      <c r="C113" s="14"/>
      <c r="D113" s="14"/>
      <c r="E113" s="14" t="s">
        <v>119</v>
      </c>
      <c r="F113" s="14"/>
      <c r="G113" s="80"/>
      <c r="H113" s="101"/>
      <c r="J113" s="105" t="s">
        <v>117</v>
      </c>
      <c r="K113" s="14" t="s">
        <v>118</v>
      </c>
      <c r="L113" s="14"/>
      <c r="M113" s="14"/>
      <c r="N113" s="14" t="s">
        <v>119</v>
      </c>
      <c r="O113" s="14"/>
      <c r="P113" s="80"/>
      <c r="Q113" s="101"/>
      <c r="S113" s="105" t="s">
        <v>117</v>
      </c>
      <c r="T113" s="14" t="s">
        <v>118</v>
      </c>
      <c r="U113" s="14"/>
      <c r="V113" s="14"/>
      <c r="W113" s="14" t="s">
        <v>119</v>
      </c>
      <c r="X113" s="14"/>
      <c r="Y113" s="80"/>
      <c r="Z113" s="101"/>
      <c r="AB113" s="105" t="s">
        <v>117</v>
      </c>
      <c r="AC113" s="14" t="s">
        <v>118</v>
      </c>
      <c r="AD113" s="14"/>
      <c r="AE113" s="14"/>
      <c r="AF113" s="14" t="s">
        <v>119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0</v>
      </c>
      <c r="B114" s="58" t="s">
        <v>261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121</v>
      </c>
      <c r="B117" s="43"/>
      <c r="C117" s="43"/>
      <c r="D117" s="43"/>
      <c r="E117" s="43"/>
      <c r="F117" s="43"/>
      <c r="G117" s="43"/>
      <c r="H117" s="43"/>
      <c r="J117" s="43" t="s">
        <v>121</v>
      </c>
      <c r="K117" s="43"/>
      <c r="L117" s="43"/>
      <c r="M117" s="43"/>
      <c r="N117" s="43"/>
      <c r="O117" s="43"/>
      <c r="P117" s="43"/>
      <c r="Q117" s="43"/>
      <c r="S117" s="43" t="s">
        <v>121</v>
      </c>
      <c r="T117" s="43"/>
      <c r="U117" s="43"/>
      <c r="V117" s="43"/>
      <c r="W117" s="43"/>
      <c r="X117" s="43"/>
      <c r="Y117" s="43"/>
      <c r="Z117" s="43"/>
      <c r="AB117" s="43" t="s">
        <v>121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122</v>
      </c>
      <c r="C120" s="110" t="s">
        <v>123</v>
      </c>
      <c r="D120" s="109" t="s">
        <v>122</v>
      </c>
      <c r="E120" s="111" t="s">
        <v>123</v>
      </c>
      <c r="F120" s="109" t="s">
        <v>122</v>
      </c>
      <c r="G120" s="111" t="s">
        <v>123</v>
      </c>
      <c r="H120" s="112"/>
      <c r="J120" s="4"/>
      <c r="K120" s="109" t="s">
        <v>122</v>
      </c>
      <c r="L120" s="110" t="s">
        <v>123</v>
      </c>
      <c r="M120" s="109" t="s">
        <v>122</v>
      </c>
      <c r="N120" s="111" t="s">
        <v>123</v>
      </c>
      <c r="O120" s="109" t="s">
        <v>122</v>
      </c>
      <c r="P120" s="111" t="s">
        <v>123</v>
      </c>
      <c r="Q120" s="112"/>
      <c r="S120" s="4"/>
      <c r="T120" s="109" t="s">
        <v>122</v>
      </c>
      <c r="U120" s="110" t="s">
        <v>123</v>
      </c>
      <c r="V120" s="109" t="s">
        <v>122</v>
      </c>
      <c r="W120" s="111" t="s">
        <v>123</v>
      </c>
      <c r="X120" s="109" t="s">
        <v>122</v>
      </c>
      <c r="Y120" s="111" t="s">
        <v>123</v>
      </c>
      <c r="Z120" s="112"/>
      <c r="AB120" s="4"/>
      <c r="AC120" s="109" t="s">
        <v>122</v>
      </c>
      <c r="AD120" s="110" t="s">
        <v>123</v>
      </c>
      <c r="AE120" s="109" t="s">
        <v>122</v>
      </c>
      <c r="AF120" s="111" t="s">
        <v>123</v>
      </c>
      <c r="AG120" s="109" t="s">
        <v>122</v>
      </c>
      <c r="AH120" s="111" t="s">
        <v>123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15</v>
      </c>
      <c r="C122" s="10" t="n">
        <v>15.0</v>
      </c>
      <c r="D122" s="116" t="n">
        <f aca="false">D4</f>
        <v>0</v>
      </c>
      <c r="E122" s="10" t="n">
        <f aca="false">D122</f>
        <v>0.0</v>
      </c>
      <c r="F122" s="116" t="n">
        <f aca="false">F4</f>
        <v>9</v>
      </c>
      <c r="G122" s="117" t="n">
        <f aca="false">F122</f>
        <v>9.0</v>
      </c>
      <c r="H122" s="11"/>
      <c r="J122" s="7" t="s">
        <v>6</v>
      </c>
      <c r="K122" s="116" t="n">
        <f aca="false">B4</f>
        <v>15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9</v>
      </c>
      <c r="P122" s="117" t="n">
        <f aca="false">O122</f>
        <v>9</v>
      </c>
      <c r="Q122" s="11"/>
      <c r="S122" s="7" t="s">
        <v>6</v>
      </c>
      <c r="T122" s="116" t="n">
        <f aca="false">B4</f>
        <v>15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9</v>
      </c>
      <c r="Y122" s="117" t="n">
        <f aca="false">X122</f>
        <v>9</v>
      </c>
      <c r="Z122" s="11"/>
      <c r="AB122" s="7" t="s">
        <v>6</v>
      </c>
      <c r="AC122" s="116" t="n">
        <f aca="false">B4</f>
        <v>15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9</v>
      </c>
      <c r="AH122" s="117" t="n">
        <f aca="false">AG122</f>
        <v>9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52</v>
      </c>
      <c r="C123" s="114" t="n">
        <v>-948.01</v>
      </c>
      <c r="D123" s="118" t="n">
        <f aca="false">D5</f>
        <v>0</v>
      </c>
      <c r="E123" s="114" t="n">
        <f aca="false">D123</f>
        <v>0.0</v>
      </c>
      <c r="F123" s="118" t="n">
        <f aca="false">F5</f>
        <v>15</v>
      </c>
      <c r="G123" s="114" t="n">
        <f aca="false">F123</f>
        <v>15.0</v>
      </c>
      <c r="H123" s="12"/>
      <c r="J123" s="7" t="s">
        <v>7</v>
      </c>
      <c r="K123" s="118" t="n">
        <f aca="false">B5</f>
        <v>52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15</v>
      </c>
      <c r="P123" s="114" t="n">
        <f aca="false">O123</f>
        <v>15</v>
      </c>
      <c r="Q123" s="12"/>
      <c r="S123" s="7" t="s">
        <v>7</v>
      </c>
      <c r="T123" s="118" t="n">
        <f aca="false">B5</f>
        <v>52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15</v>
      </c>
      <c r="Y123" s="114" t="n">
        <f aca="false">X123</f>
        <v>15</v>
      </c>
      <c r="Z123" s="12"/>
      <c r="AB123" s="7" t="s">
        <v>7</v>
      </c>
      <c r="AC123" s="118" t="n">
        <f aca="false">B5</f>
        <v>52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15</v>
      </c>
      <c r="AH123" s="114" t="n">
        <f aca="false">AG123</f>
        <v>15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702864.55</v>
      </c>
      <c r="C124" s="119" t="n">
        <f aca="false">(C121*C122/100)+C123</f>
        <v>7080.1255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7514.97</v>
      </c>
      <c r="G124" s="119" t="n">
        <f aca="false">(G121*G122/100)+G123</f>
        <v>89.9997</v>
      </c>
      <c r="H124" s="12"/>
      <c r="J124" s="7" t="s">
        <v>8</v>
      </c>
      <c r="K124" s="118" t="n">
        <f aca="false">(K121*K122)+K123</f>
        <v>702864.55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7514.97</v>
      </c>
      <c r="P124" s="119" t="n">
        <f aca="false">(P121*P122)+P123</f>
        <v>7514.97</v>
      </c>
      <c r="Q124" s="12"/>
      <c r="S124" s="7" t="s">
        <v>8</v>
      </c>
      <c r="T124" s="118" t="n">
        <f aca="false">(T121*T122)+T123</f>
        <v>702864.55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7514.97</v>
      </c>
      <c r="Y124" s="119" t="n">
        <f aca="false">(Y121*Y122/100)+Y123</f>
        <v>89.9997</v>
      </c>
      <c r="Z124" s="12"/>
      <c r="AB124" s="7" t="s">
        <v>8</v>
      </c>
      <c r="AC124" s="118" t="n">
        <f aca="false">(AC121*AC122)+AC123</f>
        <v>702864.55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7514.97</v>
      </c>
      <c r="AH124" s="119" t="n">
        <f aca="false">(AH121*AH122)+AH123</f>
        <v>7514.97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-656010.38</v>
      </c>
      <c r="C125" s="121" t="n">
        <f aca="false">C121-C124</f>
        <v>39774.0445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-6681.64</v>
      </c>
      <c r="G125" s="121" t="n">
        <f aca="false">G121-G124</f>
        <v>743.3303</v>
      </c>
      <c r="H125" s="68"/>
      <c r="J125" s="60" t="s">
        <v>9</v>
      </c>
      <c r="K125" s="120" t="n">
        <f aca="false">K121-K124</f>
        <v>-656010.38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-6681.64</v>
      </c>
      <c r="P125" s="121" t="n">
        <f aca="false">P121-P124</f>
        <v>-6681.64</v>
      </c>
      <c r="Q125" s="68"/>
      <c r="S125" s="60" t="s">
        <v>9</v>
      </c>
      <c r="T125" s="120" t="n">
        <f aca="false">T121-T124</f>
        <v>-656010.38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-6681.64</v>
      </c>
      <c r="Y125" s="121" t="n">
        <f aca="false">Y121-Y124</f>
        <v>743.3303</v>
      </c>
      <c r="Z125" s="68"/>
      <c r="AB125" s="60" t="s">
        <v>9</v>
      </c>
      <c r="AC125" s="120" t="n">
        <f aca="false">AC121-AC124</f>
        <v>-656010.38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-6681.64</v>
      </c>
      <c r="AH125" s="121" t="n">
        <f aca="false">AH121-AH124</f>
        <v>-6681.64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122</v>
      </c>
      <c r="H127" s="124" t="s">
        <v>123</v>
      </c>
      <c r="J127" s="122"/>
      <c r="K127" s="123"/>
      <c r="L127" s="123"/>
      <c r="M127" s="123"/>
      <c r="N127" s="123"/>
      <c r="O127" s="123"/>
      <c r="P127" s="16" t="s">
        <v>122</v>
      </c>
      <c r="Q127" s="124" t="s">
        <v>123</v>
      </c>
      <c r="S127" s="122"/>
      <c r="T127" s="123"/>
      <c r="U127" s="123"/>
      <c r="V127" s="123"/>
      <c r="W127" s="123"/>
      <c r="X127" s="123"/>
      <c r="Y127" s="16" t="s">
        <v>122</v>
      </c>
      <c r="Z127" s="124" t="s">
        <v>123</v>
      </c>
      <c r="AB127" s="122"/>
      <c r="AC127" s="123"/>
      <c r="AD127" s="123"/>
      <c r="AE127" s="123"/>
      <c r="AF127" s="123"/>
      <c r="AG127" s="123"/>
      <c r="AH127" s="16" t="s">
        <v>122</v>
      </c>
      <c r="AI127" s="124" t="s">
        <v>123</v>
      </c>
    </row>
    <row r="128" customFormat="false" ht="17.35" hidden="false" customHeight="false" outlineLevel="0" collapsed="false">
      <c r="A128" s="125" t="s">
        <v>124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124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124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124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125</v>
      </c>
      <c r="B130" s="129" t="s">
        <v>126</v>
      </c>
      <c r="C130" s="129"/>
      <c r="D130" s="129" t="s">
        <v>127</v>
      </c>
      <c r="E130" s="129"/>
      <c r="F130" s="129" t="s">
        <v>7</v>
      </c>
      <c r="G130" s="129"/>
      <c r="H130" s="130" t="s">
        <v>123</v>
      </c>
      <c r="J130" s="131" t="s">
        <v>125</v>
      </c>
      <c r="K130" s="129" t="s">
        <v>126</v>
      </c>
      <c r="L130" s="129"/>
      <c r="M130" s="129" t="s">
        <v>127</v>
      </c>
      <c r="N130" s="129"/>
      <c r="O130" s="129" t="s">
        <v>7</v>
      </c>
      <c r="P130" s="129"/>
      <c r="Q130" s="130" t="s">
        <v>123</v>
      </c>
      <c r="S130" s="131" t="s">
        <v>125</v>
      </c>
      <c r="T130" s="129" t="s">
        <v>126</v>
      </c>
      <c r="U130" s="129"/>
      <c r="V130" s="129" t="s">
        <v>127</v>
      </c>
      <c r="W130" s="129"/>
      <c r="X130" s="129" t="s">
        <v>7</v>
      </c>
      <c r="Y130" s="129"/>
      <c r="Z130" s="130" t="s">
        <v>123</v>
      </c>
      <c r="AB130" s="131" t="s">
        <v>125</v>
      </c>
      <c r="AC130" s="129" t="s">
        <v>126</v>
      </c>
      <c r="AD130" s="129"/>
      <c r="AE130" s="129" t="s">
        <v>127</v>
      </c>
      <c r="AF130" s="129"/>
      <c r="AG130" s="129" t="s">
        <v>7</v>
      </c>
      <c r="AH130" s="129"/>
      <c r="AI130" s="130" t="s">
        <v>123</v>
      </c>
    </row>
    <row r="131" customFormat="false" ht="17.35" hidden="false" customHeight="false" outlineLevel="0" collapsed="false">
      <c r="A131" s="7" t="s">
        <v>128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128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128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128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129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129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129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129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130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130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130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130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40517.3748</v>
      </c>
      <c r="H135" s="135" t="n">
        <f aca="false">C125+E125+G125+H128</f>
        <v>40517.3748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40517.3748</v>
      </c>
      <c r="Q135" s="135" t="n">
        <f aca="false">L125+N125+P125+Q128</f>
        <v>21947.53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40517.3748</v>
      </c>
      <c r="Z135" s="135" t="n">
        <f aca="false">U125+W125+Y125+Z128</f>
        <v>47480.364875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40517.3748</v>
      </c>
      <c r="AI135" s="135" t="n">
        <f aca="false">AD125+AF125+AH125+AI128</f>
        <v>28458.9875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50</v>
      </c>
      <c r="H136" s="12" t="n">
        <f aca="false">G136</f>
        <v>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50</v>
      </c>
      <c r="Q136" s="12" t="n">
        <f aca="false">P136</f>
        <v>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50</v>
      </c>
      <c r="Z136" s="12" t="n">
        <f aca="false">Y136</f>
        <v>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50</v>
      </c>
      <c r="AI136" s="12" t="n">
        <f aca="false">AH136</f>
        <v>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8113.47496</v>
      </c>
      <c r="H137" s="12" t="n">
        <f aca="false">(H135+H136)*20%</f>
        <v>8113.47496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8113.47496</v>
      </c>
      <c r="Q137" s="12" t="n">
        <f aca="false">(Q135+Q136)*20%</f>
        <v>4399.506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8113.47496</v>
      </c>
      <c r="Z137" s="12" t="n">
        <f aca="false">(Z135+Z136)*20%</f>
        <v>9506.072975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8113.47496</v>
      </c>
      <c r="AI137" s="12" t="n">
        <f aca="false">(AI135+AI136)*20%</f>
        <v>5701.7975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49320.84976</v>
      </c>
      <c r="H141" s="137" t="n">
        <f aca="false">(H135+H136+H139+H140+H137)-H138</f>
        <v>49320.84976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49320.84976</v>
      </c>
      <c r="Q141" s="137" t="n">
        <f aca="false">(Q135+Q136+Q139+Q140+Q137)-Q138</f>
        <v>27037.036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49320.84976</v>
      </c>
      <c r="Z141" s="137" t="n">
        <f aca="false">(Z135+Z136+Z139+Z140+Z137)-Z138</f>
        <v>57676.43785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49320.84976</v>
      </c>
      <c r="AI141" s="137" t="n">
        <f aca="false">(AI135+AI136+AI139+AI140+AI137)-AI138</f>
        <v>34850.785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120</v>
      </c>
      <c r="H142" s="38" t="n">
        <f aca="false">G142</f>
        <v>120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120</v>
      </c>
      <c r="Q142" s="38" t="n">
        <f aca="false">P142</f>
        <v>120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120</v>
      </c>
      <c r="Z142" s="38" t="n">
        <f aca="false">Y142</f>
        <v>120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120</v>
      </c>
      <c r="AI142" s="38" t="n">
        <f aca="false">AH142</f>
        <v>120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120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120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49176.84976</v>
      </c>
      <c r="H147" s="140" t="n">
        <f aca="false">H141-((H144*1.2)+(H145*1.2)+(H146*1.2)+(H142*1.2))</f>
        <v>49176.84976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49176.84976</v>
      </c>
      <c r="Q147" s="140" t="n">
        <f aca="false">Q141-((Q144*1.2)+(Q145*1.2)+(Q146*1.2)+(Q142*1.2))</f>
        <v>26893.036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49176.84976</v>
      </c>
      <c r="Z147" s="140" t="n">
        <f aca="false">Z141-((Z144*1.2)+(Z145*1.2)+(Z146*1.2)+(Z142*1.2))</f>
        <v>57532.43785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49176.84976</v>
      </c>
      <c r="AI147" s="140" t="n">
        <f aca="false">AI141-((AI144*1.2)+(AI145*1.2)+(AI146*1.2)+(AI142*1.2))</f>
        <v>34706.785</v>
      </c>
    </row>
    <row r="148" customFormat="false" ht="17.35" hidden="false" customHeight="false" outlineLevel="0" collapsed="false">
      <c r="A148" s="18" t="s">
        <v>131</v>
      </c>
      <c r="B148" s="18"/>
      <c r="C148" s="18"/>
      <c r="D148" s="18"/>
      <c r="E148" s="18"/>
      <c r="F148" s="18"/>
      <c r="G148" s="13"/>
      <c r="H148" s="38" t="n">
        <f aca="false">Q147-P147</f>
        <v>-22283.81376</v>
      </c>
      <c r="I148" s="1" t="n">
        <f aca="false">(H148-G81)/1.2</f>
        <v>-18569.8448</v>
      </c>
      <c r="J148" s="18" t="s">
        <v>131</v>
      </c>
      <c r="K148" s="18"/>
      <c r="L148" s="18"/>
      <c r="M148" s="18"/>
      <c r="N148" s="18"/>
      <c r="O148" s="18"/>
      <c r="P148" s="13"/>
      <c r="Q148" s="38" t="n">
        <f aca="false">Q147-P147</f>
        <v>-22283.81376</v>
      </c>
      <c r="S148" s="18" t="s">
        <v>131</v>
      </c>
      <c r="T148" s="18"/>
      <c r="U148" s="18"/>
      <c r="V148" s="18"/>
      <c r="W148" s="18"/>
      <c r="X148" s="18"/>
      <c r="Y148" s="13"/>
      <c r="Z148" s="38" t="n">
        <f aca="false">Z147-Y147</f>
        <v>8355.58809000001</v>
      </c>
      <c r="AB148" s="18" t="s">
        <v>131</v>
      </c>
      <c r="AC148" s="18"/>
      <c r="AD148" s="18"/>
      <c r="AE148" s="18"/>
      <c r="AF148" s="18"/>
      <c r="AG148" s="18"/>
      <c r="AH148" s="13"/>
      <c r="AI148" s="38" t="n">
        <f aca="false">AI147-AH147</f>
        <v>-14470.06476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132</v>
      </c>
      <c r="B150" s="43"/>
      <c r="C150" s="43"/>
      <c r="D150" s="43"/>
      <c r="E150" s="43"/>
      <c r="F150" s="43"/>
      <c r="G150" s="43"/>
      <c r="H150" s="43"/>
      <c r="J150" s="43" t="s">
        <v>132</v>
      </c>
      <c r="K150" s="43"/>
      <c r="L150" s="43"/>
      <c r="M150" s="43"/>
      <c r="N150" s="43"/>
      <c r="O150" s="43"/>
      <c r="P150" s="43"/>
      <c r="Q150" s="43"/>
      <c r="S150" s="43" t="s">
        <v>132</v>
      </c>
      <c r="T150" s="43"/>
      <c r="U150" s="43"/>
      <c r="V150" s="43"/>
      <c r="W150" s="43"/>
      <c r="X150" s="43"/>
      <c r="Y150" s="43"/>
      <c r="Z150" s="43"/>
      <c r="AB150" s="43" t="s">
        <v>132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133</v>
      </c>
      <c r="B152" s="14"/>
      <c r="C152" s="14"/>
      <c r="D152" s="31"/>
      <c r="E152" s="58" t="n">
        <v>2000.0</v>
      </c>
      <c r="F152" s="58"/>
      <c r="G152" s="58" t="n">
        <v>1000.0</v>
      </c>
      <c r="H152" s="58"/>
      <c r="J152" s="7" t="s">
        <v>133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133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133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134</v>
      </c>
      <c r="B153" s="14"/>
      <c r="C153" s="14"/>
      <c r="D153" s="31"/>
      <c r="E153" s="26" t="n">
        <f aca="false">G153</f>
        <v>500</v>
      </c>
      <c r="F153" s="26"/>
      <c r="G153" s="58" t="n">
        <v>500.0</v>
      </c>
      <c r="H153" s="58"/>
      <c r="J153" s="7" t="s">
        <v>134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134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134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135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135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135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135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136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136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136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136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137</v>
      </c>
      <c r="B157" s="35"/>
      <c r="C157" s="35"/>
      <c r="D157" s="79"/>
      <c r="E157" s="35"/>
      <c r="F157" s="79"/>
      <c r="G157" s="142" t="n">
        <f aca="false">A114</f>
        <v>0</v>
      </c>
      <c r="H157" s="142"/>
      <c r="J157" s="34" t="s">
        <v>137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137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137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138</v>
      </c>
      <c r="B158" s="14"/>
      <c r="C158" s="14"/>
      <c r="D158" s="80"/>
      <c r="E158" s="14"/>
      <c r="F158" s="80"/>
      <c r="G158" s="144" t="n">
        <f aca="false">H147-G154-G157</f>
        <v>48676.84976</v>
      </c>
      <c r="H158" s="144"/>
      <c r="J158" s="143" t="s">
        <v>138</v>
      </c>
      <c r="K158" s="14"/>
      <c r="L158" s="14"/>
      <c r="M158" s="80"/>
      <c r="N158" s="14"/>
      <c r="O158" s="80"/>
      <c r="P158" s="144" t="n">
        <f aca="false">Q147-P154-P157</f>
        <v>27893.036</v>
      </c>
      <c r="Q158" s="144"/>
      <c r="S158" s="143" t="s">
        <v>138</v>
      </c>
      <c r="T158" s="14"/>
      <c r="U158" s="14"/>
      <c r="V158" s="80"/>
      <c r="W158" s="14"/>
      <c r="X158" s="80"/>
      <c r="Y158" s="144" t="n">
        <f aca="false">Z147-Y154-Y157</f>
        <v>58532.43785</v>
      </c>
      <c r="Z158" s="144"/>
      <c r="AB158" s="143" t="s">
        <v>138</v>
      </c>
      <c r="AC158" s="14"/>
      <c r="AD158" s="14"/>
      <c r="AE158" s="80"/>
      <c r="AF158" s="14"/>
      <c r="AG158" s="80"/>
      <c r="AH158" s="144" t="n">
        <f aca="false">AI147-AH154-AH157</f>
        <v>35706.785</v>
      </c>
      <c r="AI158" s="144"/>
    </row>
    <row r="159" customFormat="false" ht="17.35" hidden="false" customHeight="false" outlineLevel="0" collapsed="false">
      <c r="A159" s="60" t="s">
        <v>139</v>
      </c>
      <c r="B159" s="61"/>
      <c r="C159" s="61"/>
      <c r="D159" s="99"/>
      <c r="E159" s="61"/>
      <c r="F159" s="99"/>
      <c r="G159" s="145" t="str">
        <f aca="false">B114</f>
        <v>239.99</v>
      </c>
      <c r="H159" s="145"/>
      <c r="J159" s="60" t="s">
        <v>139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139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139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140</v>
      </c>
      <c r="B162" s="43"/>
      <c r="C162" s="43"/>
      <c r="D162" s="43"/>
      <c r="E162" s="43"/>
      <c r="F162" s="43"/>
      <c r="G162" s="43"/>
      <c r="H162" s="43"/>
      <c r="J162" s="43" t="s">
        <v>140</v>
      </c>
      <c r="K162" s="43"/>
      <c r="L162" s="43"/>
      <c r="M162" s="43"/>
      <c r="N162" s="43"/>
      <c r="O162" s="43"/>
      <c r="P162" s="43"/>
      <c r="Q162" s="43"/>
      <c r="S162" s="43" t="s">
        <v>140</v>
      </c>
      <c r="T162" s="43"/>
      <c r="U162" s="43"/>
      <c r="V162" s="43"/>
      <c r="W162" s="43"/>
      <c r="X162" s="43"/>
      <c r="Y162" s="43"/>
      <c r="Z162" s="43"/>
      <c r="AB162" s="43" t="s">
        <v>140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141</v>
      </c>
      <c r="B166" s="148" t="s">
        <v>142</v>
      </c>
      <c r="C166" s="148"/>
      <c r="D166" s="148"/>
      <c r="E166" s="148" t="s">
        <v>143</v>
      </c>
      <c r="F166" s="31"/>
      <c r="G166" s="31"/>
      <c r="H166" s="12"/>
      <c r="J166" s="147" t="s">
        <v>141</v>
      </c>
      <c r="K166" s="148" t="s">
        <v>142</v>
      </c>
      <c r="L166" s="148"/>
      <c r="M166" s="148"/>
      <c r="N166" s="148" t="s">
        <v>143</v>
      </c>
      <c r="O166" s="31"/>
      <c r="P166" s="31"/>
      <c r="Q166" s="12"/>
      <c r="S166" s="147" t="s">
        <v>141</v>
      </c>
      <c r="T166" s="148" t="s">
        <v>142</v>
      </c>
      <c r="U166" s="148"/>
      <c r="V166" s="148"/>
      <c r="W166" s="148" t="s">
        <v>143</v>
      </c>
      <c r="X166" s="31"/>
      <c r="Y166" s="31"/>
      <c r="Z166" s="12"/>
      <c r="AB166" s="147" t="s">
        <v>141</v>
      </c>
      <c r="AC166" s="148" t="s">
        <v>142</v>
      </c>
      <c r="AD166" s="148"/>
      <c r="AE166" s="148"/>
      <c r="AF166" s="148" t="s">
        <v>143</v>
      </c>
      <c r="AG166" s="31"/>
      <c r="AH166" s="31"/>
      <c r="AI166" s="12"/>
    </row>
    <row r="167" customFormat="false" ht="17.35" hidden="false" customHeight="false" outlineLevel="0" collapsed="false">
      <c r="A167" s="149" t="e">
        <f aca="false">B95</f>
        <v>#DIV/0!</v>
      </c>
      <c r="B167" s="150" t="n">
        <f aca="false">B94</f>
        <v>35.3142857142857</v>
      </c>
      <c r="C167" s="148"/>
      <c r="D167" s="148"/>
      <c r="E167" s="150" t="e">
        <f aca="false">B96</f>
        <v>#DIV/0!</v>
      </c>
      <c r="F167" s="31"/>
      <c r="G167" s="31"/>
      <c r="H167" s="12"/>
      <c r="J167" s="149" t="n">
        <f aca="false">K95</f>
        <v>1094.32336989308</v>
      </c>
      <c r="K167" s="150" t="n">
        <f aca="false">K94</f>
        <v>44.6333333333333</v>
      </c>
      <c r="L167" s="148"/>
      <c r="M167" s="148"/>
      <c r="N167" s="150" t="n">
        <f aca="false">K96</f>
        <v>1138.95670322641</v>
      </c>
      <c r="O167" s="31"/>
      <c r="P167" s="31"/>
      <c r="Q167" s="12"/>
      <c r="S167" s="149" t="n">
        <f aca="false">T95</f>
        <v>1378.78046104543</v>
      </c>
      <c r="T167" s="150" t="n">
        <f aca="false">T94</f>
        <v>35.3142857142857</v>
      </c>
      <c r="U167" s="148"/>
      <c r="V167" s="148"/>
      <c r="W167" s="150" t="n">
        <f aca="false">T96</f>
        <v>1414.09474675972</v>
      </c>
      <c r="X167" s="31"/>
      <c r="Y167" s="31"/>
      <c r="Z167" s="12"/>
      <c r="AB167" s="149" t="n">
        <f aca="false">AC95</f>
        <v>590.603614860565</v>
      </c>
      <c r="AC167" s="150" t="n">
        <f aca="false">AC94</f>
        <v>42.3771428571428</v>
      </c>
      <c r="AD167" s="148"/>
      <c r="AE167" s="148"/>
      <c r="AF167" s="150" t="n">
        <f aca="false">AC96</f>
        <v>632.980757717708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39</v>
      </c>
      <c r="B169" s="14" t="s">
        <v>40</v>
      </c>
      <c r="C169" s="14"/>
      <c r="D169" s="31"/>
      <c r="E169" s="14" t="s">
        <v>144</v>
      </c>
      <c r="F169" s="31"/>
      <c r="G169" s="31"/>
      <c r="H169" s="12"/>
      <c r="J169" s="7" t="s">
        <v>39</v>
      </c>
      <c r="K169" s="14" t="s">
        <v>40</v>
      </c>
      <c r="L169" s="14"/>
      <c r="M169" s="31"/>
      <c r="N169" s="14" t="s">
        <v>144</v>
      </c>
      <c r="O169" s="31"/>
      <c r="P169" s="31"/>
      <c r="Q169" s="12"/>
      <c r="S169" s="7" t="s">
        <v>39</v>
      </c>
      <c r="T169" s="14" t="s">
        <v>40</v>
      </c>
      <c r="U169" s="14"/>
      <c r="V169" s="31"/>
      <c r="W169" s="14" t="s">
        <v>144</v>
      </c>
      <c r="X169" s="31"/>
      <c r="Y169" s="31"/>
      <c r="Z169" s="12"/>
      <c r="AB169" s="7" t="s">
        <v>39</v>
      </c>
      <c r="AC169" s="14" t="s">
        <v>40</v>
      </c>
      <c r="AD169" s="14"/>
      <c r="AE169" s="31"/>
      <c r="AF169" s="14" t="s">
        <v>144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n">
        <f aca="false">B30</f>
        <v>0</v>
      </c>
      <c r="C170" s="152"/>
      <c r="D170" s="31"/>
      <c r="E170" s="59" t="n">
        <f aca="false">IF(A111="YES",A40, 0)</f>
        <v>27500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27500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27500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145</v>
      </c>
      <c r="B172" s="14" t="s">
        <v>146</v>
      </c>
      <c r="C172" s="14"/>
      <c r="D172" s="31"/>
      <c r="E172" s="14" t="s">
        <v>147</v>
      </c>
      <c r="F172" s="31"/>
      <c r="G172" s="31"/>
      <c r="H172" s="12"/>
      <c r="J172" s="7" t="s">
        <v>145</v>
      </c>
      <c r="K172" s="14" t="s">
        <v>146</v>
      </c>
      <c r="L172" s="14"/>
      <c r="M172" s="31"/>
      <c r="N172" s="14" t="s">
        <v>147</v>
      </c>
      <c r="O172" s="31"/>
      <c r="P172" s="31"/>
      <c r="Q172" s="12"/>
      <c r="S172" s="7" t="s">
        <v>145</v>
      </c>
      <c r="T172" s="14" t="s">
        <v>146</v>
      </c>
      <c r="U172" s="14"/>
      <c r="V172" s="31"/>
      <c r="W172" s="14" t="s">
        <v>147</v>
      </c>
      <c r="X172" s="31"/>
      <c r="Y172" s="31"/>
      <c r="Z172" s="12"/>
      <c r="AB172" s="7" t="s">
        <v>145</v>
      </c>
      <c r="AC172" s="14" t="s">
        <v>146</v>
      </c>
      <c r="AD172" s="14"/>
      <c r="AE172" s="31"/>
      <c r="AF172" s="14" t="s">
        <v>147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40567.3748</v>
      </c>
      <c r="B173" s="23" t="n">
        <f aca="false">H137</f>
        <v>8113.47496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21997.53</v>
      </c>
      <c r="K173" s="23" t="n">
        <f aca="false">Q137</f>
        <v>4399.506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47530.364875</v>
      </c>
      <c r="T173" s="23" t="n">
        <f aca="false">Z137</f>
        <v>9506.072975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28508.9875</v>
      </c>
      <c r="AC173" s="23" t="n">
        <f aca="false">AI137</f>
        <v>5701.7975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148</v>
      </c>
      <c r="B175" s="14" t="s">
        <v>115</v>
      </c>
      <c r="C175" s="14"/>
      <c r="D175" s="31"/>
      <c r="E175" s="14" t="s">
        <v>116</v>
      </c>
      <c r="F175" s="31"/>
      <c r="G175" s="31"/>
      <c r="H175" s="12"/>
      <c r="J175" s="7" t="s">
        <v>148</v>
      </c>
      <c r="K175" s="14" t="s">
        <v>115</v>
      </c>
      <c r="L175" s="14"/>
      <c r="M175" s="31"/>
      <c r="N175" s="14" t="s">
        <v>116</v>
      </c>
      <c r="O175" s="31"/>
      <c r="P175" s="31"/>
      <c r="Q175" s="12"/>
      <c r="S175" s="7" t="s">
        <v>148</v>
      </c>
      <c r="T175" s="14" t="s">
        <v>115</v>
      </c>
      <c r="U175" s="14"/>
      <c r="V175" s="31"/>
      <c r="W175" s="14" t="s">
        <v>116</v>
      </c>
      <c r="X175" s="31"/>
      <c r="Y175" s="31"/>
      <c r="Z175" s="12"/>
      <c r="AB175" s="7" t="s">
        <v>148</v>
      </c>
      <c r="AC175" s="14" t="s">
        <v>115</v>
      </c>
      <c r="AD175" s="14"/>
      <c r="AE175" s="31"/>
      <c r="AF175" s="14" t="s">
        <v>116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49320.84976</v>
      </c>
      <c r="B176" s="23" t="n">
        <f aca="false">B111</f>
        <v>0</v>
      </c>
      <c r="C176" s="23"/>
      <c r="D176" s="31"/>
      <c r="E176" s="23" t="n">
        <f aca="false">E111</f>
        <v>0</v>
      </c>
      <c r="F176" s="31"/>
      <c r="G176" s="31"/>
      <c r="H176" s="153"/>
      <c r="J176" s="55" t="n">
        <f aca="false">Q141</f>
        <v>27037.036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57676.43785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34850.785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117</v>
      </c>
      <c r="B178" s="14" t="s">
        <v>133</v>
      </c>
      <c r="C178" s="14"/>
      <c r="D178" s="31"/>
      <c r="E178" s="14" t="s">
        <v>138</v>
      </c>
      <c r="F178" s="31"/>
      <c r="G178" s="31"/>
      <c r="H178" s="12"/>
      <c r="J178" s="7" t="s">
        <v>117</v>
      </c>
      <c r="K178" s="14" t="s">
        <v>133</v>
      </c>
      <c r="L178" s="14"/>
      <c r="M178" s="31"/>
      <c r="N178" s="14" t="s">
        <v>138</v>
      </c>
      <c r="O178" s="31"/>
      <c r="P178" s="31"/>
      <c r="Q178" s="12"/>
      <c r="S178" s="7" t="s">
        <v>117</v>
      </c>
      <c r="T178" s="14" t="s">
        <v>133</v>
      </c>
      <c r="U178" s="14"/>
      <c r="V178" s="31"/>
      <c r="W178" s="14" t="s">
        <v>138</v>
      </c>
      <c r="X178" s="31"/>
      <c r="Y178" s="31"/>
      <c r="Z178" s="12"/>
      <c r="AB178" s="7" t="s">
        <v>117</v>
      </c>
      <c r="AC178" s="14" t="s">
        <v>133</v>
      </c>
      <c r="AD178" s="14"/>
      <c r="AE178" s="31"/>
      <c r="AF178" s="14" t="s">
        <v>138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0</v>
      </c>
      <c r="B179" s="23" t="n">
        <f aca="false">G154</f>
        <v>500</v>
      </c>
      <c r="C179" s="23"/>
      <c r="D179" s="31"/>
      <c r="E179" s="23" t="n">
        <f aca="false">A176-A179-B179</f>
        <v>48820.84976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28037.036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58676.43785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35850.785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149</v>
      </c>
      <c r="B181" s="14" t="s">
        <v>139</v>
      </c>
      <c r="C181" s="14"/>
      <c r="D181" s="31"/>
      <c r="E181" s="14" t="s">
        <v>150</v>
      </c>
      <c r="F181" s="31"/>
      <c r="G181" s="31"/>
      <c r="H181" s="12"/>
      <c r="J181" s="7" t="s">
        <v>149</v>
      </c>
      <c r="K181" s="14" t="s">
        <v>139</v>
      </c>
      <c r="L181" s="14"/>
      <c r="M181" s="31"/>
      <c r="N181" s="14" t="s">
        <v>150</v>
      </c>
      <c r="O181" s="31"/>
      <c r="P181" s="31"/>
      <c r="Q181" s="12"/>
      <c r="S181" s="7" t="s">
        <v>149</v>
      </c>
      <c r="T181" s="14" t="s">
        <v>139</v>
      </c>
      <c r="U181" s="14"/>
      <c r="V181" s="31"/>
      <c r="W181" s="14" t="s">
        <v>150</v>
      </c>
      <c r="X181" s="31"/>
      <c r="Y181" s="31"/>
      <c r="Z181" s="12"/>
      <c r="AB181" s="7" t="s">
        <v>149</v>
      </c>
      <c r="AC181" s="14" t="s">
        <v>139</v>
      </c>
      <c r="AD181" s="14"/>
      <c r="AE181" s="31"/>
      <c r="AF181" s="14" t="s">
        <v>150</v>
      </c>
      <c r="AG181" s="31"/>
      <c r="AH181" s="31"/>
      <c r="AI181" s="12"/>
    </row>
    <row r="182" customFormat="false" ht="17.35" hidden="false" customHeight="false" outlineLevel="0" collapsed="false">
      <c r="A182" s="22" t="e">
        <f aca="false">(A167*B59)+E185-E179-A185</f>
        <v>#DIV/0!</v>
      </c>
      <c r="B182" s="23" t="str">
        <f aca="false">B114</f>
        <v>239.99</v>
      </c>
      <c r="C182" s="23"/>
      <c r="D182" s="31"/>
      <c r="E182" s="23" t="e">
        <f aca="false">E179+A182+B182+A185</f>
        <v>#DIV/0!</v>
      </c>
      <c r="F182" s="31"/>
      <c r="G182" s="31"/>
      <c r="H182" s="153"/>
      <c r="J182" s="22" t="n">
        <f aca="false">(J167*K59)+N185-N179-J185</f>
        <v>37764.2819462577</v>
      </c>
      <c r="K182" s="23" t="n">
        <f aca="false">K114</f>
        <v>239.99</v>
      </c>
      <c r="L182" s="23"/>
      <c r="M182" s="31"/>
      <c r="N182" s="23" t="n">
        <f aca="false">N179+J182+K182+J185</f>
        <v>66061.3079462577</v>
      </c>
      <c r="O182" s="31"/>
      <c r="P182" s="31"/>
      <c r="Q182" s="153"/>
      <c r="S182" s="22" t="n">
        <f aca="false">(S167*T59)+W185-W179-S185</f>
        <v>17080.8782865901</v>
      </c>
      <c r="T182" s="23" t="n">
        <f aca="false">T114</f>
        <v>199.99</v>
      </c>
      <c r="U182" s="23"/>
      <c r="V182" s="31"/>
      <c r="W182" s="23" t="n">
        <f aca="false">W179+S182+T182+S185</f>
        <v>75967.3061365901</v>
      </c>
      <c r="X182" s="31"/>
      <c r="Y182" s="31"/>
      <c r="Z182" s="153"/>
      <c r="AB182" s="22" t="n">
        <f aca="false">(AB167*AC59)+AF185-AF179-AB185</f>
        <v>12320.3415201198</v>
      </c>
      <c r="AC182" s="23" t="n">
        <f aca="false">AC114</f>
        <v>239.99</v>
      </c>
      <c r="AD182" s="23"/>
      <c r="AE182" s="31"/>
      <c r="AF182" s="23" t="n">
        <f aca="false">AF179+AB182+AC182+AB185</f>
        <v>48421.1165201198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151</v>
      </c>
      <c r="B184" s="14" t="s">
        <v>152</v>
      </c>
      <c r="C184" s="14"/>
      <c r="D184" s="31"/>
      <c r="E184" s="14" t="s">
        <v>153</v>
      </c>
      <c r="F184" s="31"/>
      <c r="G184" s="31"/>
      <c r="H184" s="12"/>
      <c r="J184" s="7" t="s">
        <v>151</v>
      </c>
      <c r="K184" s="14" t="s">
        <v>152</v>
      </c>
      <c r="L184" s="14"/>
      <c r="M184" s="31"/>
      <c r="N184" s="14" t="s">
        <v>153</v>
      </c>
      <c r="O184" s="31"/>
      <c r="P184" s="31"/>
      <c r="Q184" s="12"/>
      <c r="S184" s="7" t="s">
        <v>151</v>
      </c>
      <c r="T184" s="14" t="s">
        <v>152</v>
      </c>
      <c r="U184" s="14"/>
      <c r="V184" s="31"/>
      <c r="W184" s="14" t="s">
        <v>153</v>
      </c>
      <c r="X184" s="31"/>
      <c r="Y184" s="31"/>
      <c r="Z184" s="12"/>
      <c r="AB184" s="7" t="s">
        <v>151</v>
      </c>
      <c r="AC184" s="14" t="s">
        <v>152</v>
      </c>
      <c r="AD184" s="14"/>
      <c r="AE184" s="31"/>
      <c r="AF184" s="14" t="s">
        <v>153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239.99</v>
      </c>
      <c r="C185" s="23"/>
      <c r="D185" s="31"/>
      <c r="E185" s="23" t="n">
        <f aca="false">E170+A185</f>
        <v>27510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154</v>
      </c>
      <c r="B187" s="14" t="s">
        <v>155</v>
      </c>
      <c r="C187" s="14"/>
      <c r="D187" s="14"/>
      <c r="E187" s="26" t="s">
        <v>156</v>
      </c>
      <c r="F187" s="31"/>
      <c r="G187" s="31"/>
      <c r="H187" s="12"/>
      <c r="J187" s="7" t="s">
        <v>154</v>
      </c>
      <c r="K187" s="14" t="s">
        <v>155</v>
      </c>
      <c r="L187" s="14"/>
      <c r="M187" s="14"/>
      <c r="N187" s="26" t="s">
        <v>156</v>
      </c>
      <c r="O187" s="31"/>
      <c r="P187" s="31"/>
      <c r="Q187" s="12"/>
      <c r="S187" s="7" t="s">
        <v>154</v>
      </c>
      <c r="T187" s="14" t="s">
        <v>155</v>
      </c>
      <c r="U187" s="14"/>
      <c r="V187" s="14"/>
      <c r="W187" s="26" t="s">
        <v>156</v>
      </c>
      <c r="X187" s="154"/>
      <c r="Y187" s="154"/>
      <c r="Z187" s="12"/>
      <c r="AB187" s="7" t="s">
        <v>154</v>
      </c>
      <c r="AC187" s="14" t="s">
        <v>155</v>
      </c>
      <c r="AD187" s="14"/>
      <c r="AE187" s="14"/>
      <c r="AF187" s="26" t="s">
        <v>156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(G158*B67)/1.2</f>
        <v>304.230311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0.09864169952</v>
      </c>
      <c r="K188" s="23" t="n">
        <f aca="false">(P158*K67)/1.2</f>
        <v>1743.31475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487.770315416667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297.556541666667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157</v>
      </c>
      <c r="B190" s="26" t="s">
        <v>158</v>
      </c>
      <c r="C190" s="14"/>
      <c r="D190" s="14"/>
      <c r="E190" s="26" t="s">
        <v>159</v>
      </c>
      <c r="F190" s="31"/>
      <c r="G190" s="31"/>
      <c r="H190" s="12"/>
      <c r="J190" s="64" t="s">
        <v>157</v>
      </c>
      <c r="K190" s="26" t="s">
        <v>158</v>
      </c>
      <c r="L190" s="14"/>
      <c r="M190" s="14"/>
      <c r="N190" s="26" t="s">
        <v>159</v>
      </c>
      <c r="O190" s="31"/>
      <c r="P190" s="31"/>
      <c r="Q190" s="12"/>
      <c r="S190" s="64" t="s">
        <v>157</v>
      </c>
      <c r="T190" s="26" t="s">
        <v>158</v>
      </c>
      <c r="U190" s="14"/>
      <c r="V190" s="14"/>
      <c r="W190" s="26" t="s">
        <v>159</v>
      </c>
      <c r="X190" s="154"/>
      <c r="Y190" s="154"/>
      <c r="Z190" s="12"/>
      <c r="AB190" s="64" t="s">
        <v>157</v>
      </c>
      <c r="AC190" s="26" t="s">
        <v>158</v>
      </c>
      <c r="AD190" s="14"/>
      <c r="AE190" s="14"/>
      <c r="AF190" s="26" t="s">
        <v>159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139.99</v>
      </c>
      <c r="B191" s="23" t="n">
        <f aca="false">B188+E188+A191</f>
        <v>444.220311</v>
      </c>
      <c r="C191" s="14"/>
      <c r="D191" s="14"/>
      <c r="E191" s="23" t="n">
        <f aca="false">H148</f>
        <v>-22283.81376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2914.20475</v>
      </c>
      <c r="L191" s="14"/>
      <c r="M191" s="14"/>
      <c r="N191" s="23" t="n">
        <f aca="false">Q148</f>
        <v>-22283.81376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1608.36031541667</v>
      </c>
      <c r="U191" s="14"/>
      <c r="V191" s="14"/>
      <c r="W191" s="23" t="n">
        <f aca="false">Z148</f>
        <v>8355.58809000001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1458.14654166667</v>
      </c>
      <c r="AD191" s="14"/>
      <c r="AE191" s="14"/>
      <c r="AF191" s="23" t="n">
        <f aca="false">AI148</f>
        <v>-14470.06476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160</v>
      </c>
      <c r="B193" s="14"/>
      <c r="C193" s="14"/>
      <c r="D193" s="70"/>
      <c r="E193" s="70"/>
      <c r="F193" s="70"/>
      <c r="G193" s="70"/>
      <c r="H193" s="71"/>
      <c r="J193" s="69" t="s">
        <v>160</v>
      </c>
      <c r="K193" s="14"/>
      <c r="L193" s="14"/>
      <c r="M193" s="70"/>
      <c r="N193" s="70"/>
      <c r="O193" s="70"/>
      <c r="P193" s="70"/>
      <c r="Q193" s="71"/>
      <c r="S193" s="69" t="s">
        <v>160</v>
      </c>
      <c r="T193" s="14"/>
      <c r="U193" s="14"/>
      <c r="V193" s="70"/>
      <c r="W193" s="70"/>
      <c r="X193" s="70"/>
      <c r="Y193" s="70"/>
      <c r="Z193" s="71"/>
      <c r="AB193" s="69" t="s">
        <v>160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39</v>
      </c>
      <c r="B195" s="75" t="s">
        <v>40</v>
      </c>
      <c r="C195" s="75"/>
      <c r="D195" s="75"/>
      <c r="E195" s="31"/>
      <c r="F195" s="31"/>
      <c r="G195" s="31"/>
      <c r="H195" s="12"/>
      <c r="J195" s="74" t="s">
        <v>39</v>
      </c>
      <c r="K195" s="75" t="s">
        <v>40</v>
      </c>
      <c r="L195" s="75"/>
      <c r="M195" s="75"/>
      <c r="N195" s="31"/>
      <c r="O195" s="31"/>
      <c r="P195" s="31"/>
      <c r="Q195" s="12"/>
      <c r="S195" s="74" t="s">
        <v>39</v>
      </c>
      <c r="T195" s="75" t="s">
        <v>40</v>
      </c>
      <c r="U195" s="75"/>
      <c r="V195" s="75"/>
      <c r="W195" s="31"/>
      <c r="X195" s="31"/>
      <c r="Y195" s="31"/>
      <c r="Z195" s="12"/>
      <c r="AB195" s="74" t="s">
        <v>39</v>
      </c>
      <c r="AC195" s="75" t="s">
        <v>40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B30</f>
        <v>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B29</f>
        <v>0</v>
      </c>
      <c r="B197" s="78" t="e">
        <f aca="false">B96</f>
        <v>#DIV/0!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1138.95670322641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1414.09474675972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632.980757717708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22" colorId="64" zoomScale="75" zoomScaleNormal="75" zoomScalePageLayoutView="100" workbookViewId="0">
      <selection pane="topLeft" activeCell="B85" activeCellId="0" sqref="B85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15</v>
      </c>
      <c r="C4" s="10" t="n">
        <v>0</v>
      </c>
      <c r="D4" s="10" t="n">
        <v>0</v>
      </c>
      <c r="E4" s="10"/>
      <c r="F4" s="10" t="n">
        <v>9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52</v>
      </c>
      <c r="C5" s="8" t="n">
        <v>0</v>
      </c>
      <c r="D5" s="8" t="n">
        <v>0</v>
      </c>
      <c r="E5" s="8"/>
      <c r="F5" s="8" t="n">
        <v>15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7080.1255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89.9997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39774.0445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743.3303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39774.0445</v>
      </c>
      <c r="F9" s="15"/>
      <c r="G9" s="16"/>
      <c r="H9" s="17" t="n">
        <f aca="false">B7+D7+F7+H3</f>
        <v>40517.3748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8113.47496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49320.84976</v>
      </c>
      <c r="I15" s="2"/>
      <c r="J15" s="20" t="n">
        <f aca="false">H15</f>
        <v>49320.84976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120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49176.84976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25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39" t="s">
        <v>35</v>
      </c>
      <c r="K29" s="44" t="n">
        <v>36</v>
      </c>
      <c r="P29" s="32"/>
    </row>
    <row r="30" customFormat="false" ht="17.9" hidden="false" customHeight="false" outlineLevel="0" collapsed="false">
      <c r="A30" s="7" t="s">
        <v>36</v>
      </c>
      <c r="B30" s="45" t="s">
        <v>161</v>
      </c>
      <c r="C30" s="45"/>
      <c r="D30" s="45"/>
      <c r="E30" s="14"/>
      <c r="F30" s="14"/>
      <c r="G30" s="14"/>
      <c r="H30" s="12" t="n">
        <v>10000</v>
      </c>
      <c r="I30" s="14"/>
      <c r="J30" s="39" t="s">
        <v>37</v>
      </c>
      <c r="K30" s="4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39" t="s">
        <v>38</v>
      </c>
      <c r="K31" s="47" t="n">
        <v>27500</v>
      </c>
      <c r="P31" s="32"/>
    </row>
    <row r="32" customFormat="false" ht="34.8" hidden="false" customHeight="false" outlineLevel="0" collapsed="false">
      <c r="A32" s="7" t="s">
        <v>39</v>
      </c>
      <c r="B32" s="14" t="s">
        <v>40</v>
      </c>
      <c r="C32" s="14"/>
      <c r="D32" s="14"/>
      <c r="E32" s="14" t="s">
        <v>41</v>
      </c>
      <c r="F32" s="14"/>
      <c r="G32" s="14"/>
      <c r="H32" s="12"/>
      <c r="I32" s="2" t="n">
        <v>0</v>
      </c>
      <c r="J32" s="39" t="s">
        <v>42</v>
      </c>
      <c r="K32" s="47" t="n">
        <v>1030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712.772406008963</v>
      </c>
      <c r="F33" s="49"/>
      <c r="G33" s="49"/>
      <c r="H33" s="50"/>
      <c r="I33" s="2"/>
      <c r="J33" s="41" t="s">
        <v>43</v>
      </c>
      <c r="K33" s="51" t="n">
        <f aca="false">H21-H11+(H16*20%)</f>
        <v>41087.3748</v>
      </c>
      <c r="L33" s="1" t="n">
        <f aca="false">H21-H11+(H16*20%)</f>
        <v>41087.3748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44</v>
      </c>
      <c r="B35" s="14" t="s">
        <v>45</v>
      </c>
      <c r="C35" s="14"/>
      <c r="D35" s="32"/>
      <c r="E35" s="14" t="s">
        <v>46</v>
      </c>
      <c r="F35" s="52"/>
      <c r="G35" s="52"/>
      <c r="H35" s="50"/>
      <c r="I35" s="2"/>
      <c r="J35" s="53" t="s">
        <v>47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684.161294897852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48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49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50</v>
      </c>
      <c r="B39" s="14" t="s">
        <v>51</v>
      </c>
      <c r="C39" s="14"/>
      <c r="D39" s="32"/>
      <c r="E39" s="14" t="s">
        <v>52</v>
      </c>
      <c r="F39" s="52"/>
      <c r="G39" s="52"/>
      <c r="H39" s="50"/>
      <c r="J39" s="2" t="s">
        <v>53</v>
      </c>
      <c r="K39" s="2" t="n">
        <f aca="false">K33</f>
        <v>41087.3748</v>
      </c>
      <c r="L39" s="2" t="n">
        <f aca="false">(L47*K46)+K44</f>
        <v>43933.392151445</v>
      </c>
      <c r="N39" s="1" t="n">
        <f aca="false">K39-L39</f>
        <v>-2846.01735144504</v>
      </c>
      <c r="P39" s="32"/>
    </row>
    <row r="40" customFormat="false" ht="17.35" hidden="false" customHeight="false" outlineLevel="0" collapsed="false">
      <c r="A40" s="57" t="n">
        <f aca="false">E36*A45/100</f>
        <v>27500</v>
      </c>
      <c r="B40" s="58" t="n">
        <f aca="false">IF(B26="YES", K42, "0.00")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54</v>
      </c>
      <c r="K40" s="2" t="n">
        <f aca="false">(A40)/1.2</f>
        <v>22916.6666666667</v>
      </c>
      <c r="L40" s="2" t="n">
        <f aca="false">K39-L39</f>
        <v>-2846.01735144504</v>
      </c>
      <c r="N40" s="1" t="n">
        <f aca="false">N38-N39</f>
        <v>5757.69735144504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55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56</v>
      </c>
      <c r="K42" s="2" t="n">
        <f aca="false">(K32/K36/100)*C45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57</v>
      </c>
      <c r="K43" s="2"/>
      <c r="L43" s="2"/>
      <c r="P43" s="32"/>
    </row>
    <row r="44" customFormat="false" ht="17.35" hidden="false" customHeight="false" outlineLevel="0" collapsed="false">
      <c r="A44" s="64" t="s">
        <v>58</v>
      </c>
      <c r="B44" s="14"/>
      <c r="C44" s="65" t="s">
        <v>59</v>
      </c>
      <c r="D44" s="65"/>
      <c r="E44" s="14"/>
      <c r="F44" s="14"/>
      <c r="G44" s="14"/>
      <c r="H44" s="12"/>
      <c r="J44" s="2" t="s">
        <v>60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66" t="s">
        <v>162</v>
      </c>
      <c r="B45" s="14"/>
      <c r="C45" s="67" t="s">
        <v>162</v>
      </c>
      <c r="D45" s="67"/>
      <c r="E45" s="67"/>
      <c r="F45" s="14"/>
      <c r="G45" s="14"/>
      <c r="H45" s="12"/>
      <c r="J45" s="2" t="s">
        <v>61</v>
      </c>
      <c r="K45" s="2" t="n">
        <f aca="false">(K39-K44)</f>
        <v>22322.4650294319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62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63</v>
      </c>
      <c r="K47" s="2" t="n">
        <f aca="false">K45/K46</f>
        <v>684.161294897852</v>
      </c>
      <c r="L47" s="2" t="n">
        <f aca="false">L49-K42</f>
        <v>771.388888888889</v>
      </c>
      <c r="M47" s="1" t="n">
        <f aca="false">K47-L47</f>
        <v>-87.2275939910366</v>
      </c>
      <c r="P47" s="32"/>
    </row>
    <row r="48" customFormat="false" ht="31.8" hidden="false" customHeight="false" outlineLevel="0" collapsed="false">
      <c r="A48" s="69" t="s">
        <v>64</v>
      </c>
      <c r="B48" s="14"/>
      <c r="C48" s="14"/>
      <c r="D48" s="70"/>
      <c r="E48" s="70"/>
      <c r="F48" s="70"/>
      <c r="G48" s="70"/>
      <c r="H48" s="71"/>
      <c r="J48" s="72" t="s">
        <v>65</v>
      </c>
      <c r="K48" s="2" t="n">
        <f aca="false">IF(B26="YES", K47+K42, K47)</f>
        <v>712.772406008963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66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39</v>
      </c>
      <c r="B50" s="75" t="s">
        <v>40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712.772406008963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53</v>
      </c>
      <c r="B58" s="14" t="n">
        <v>1</v>
      </c>
      <c r="C58" s="14"/>
      <c r="D58" s="14"/>
      <c r="E58" s="80"/>
      <c r="F58" s="80"/>
      <c r="G58" s="80"/>
      <c r="H58" s="12"/>
      <c r="J58" s="7" t="s">
        <v>53</v>
      </c>
      <c r="K58" s="14" t="n">
        <v>1</v>
      </c>
      <c r="L58" s="14"/>
      <c r="M58" s="14"/>
      <c r="N58" s="80"/>
      <c r="O58" s="80"/>
      <c r="P58" s="80"/>
      <c r="Q58" s="12"/>
      <c r="S58" s="7" t="s">
        <v>53</v>
      </c>
      <c r="T58" s="14" t="n">
        <v>1</v>
      </c>
      <c r="U58" s="14"/>
      <c r="V58" s="14"/>
      <c r="W58" s="80"/>
      <c r="X58" s="80"/>
      <c r="Y58" s="80"/>
      <c r="Z58" s="12"/>
      <c r="AB58" s="7" t="s">
        <v>53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67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67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67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67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68</v>
      </c>
      <c r="B60" s="82" t="n">
        <v>10</v>
      </c>
      <c r="C60" s="14"/>
      <c r="D60" s="14"/>
      <c r="E60" s="80"/>
      <c r="F60" s="80"/>
      <c r="G60" s="80"/>
      <c r="H60" s="12"/>
      <c r="J60" s="81" t="s">
        <v>68</v>
      </c>
      <c r="K60" s="82" t="n">
        <v>20</v>
      </c>
      <c r="L60" s="14"/>
      <c r="M60" s="14"/>
      <c r="N60" s="80"/>
      <c r="O60" s="80"/>
      <c r="P60" s="80"/>
      <c r="Q60" s="12"/>
      <c r="S60" s="81" t="s">
        <v>68</v>
      </c>
      <c r="T60" s="82" t="n">
        <v>10</v>
      </c>
      <c r="U60" s="14"/>
      <c r="V60" s="14"/>
      <c r="W60" s="80"/>
      <c r="X60" s="80"/>
      <c r="Y60" s="80"/>
      <c r="Z60" s="12"/>
      <c r="AB60" s="81" t="s">
        <v>68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69</v>
      </c>
      <c r="B62" s="84" t="n">
        <v>0</v>
      </c>
      <c r="C62" s="14"/>
      <c r="D62" s="14"/>
      <c r="E62" s="80"/>
      <c r="F62" s="80"/>
      <c r="G62" s="80"/>
      <c r="H62" s="12"/>
      <c r="J62" s="83" t="s">
        <v>69</v>
      </c>
      <c r="K62" s="84" t="n">
        <v>0.06</v>
      </c>
      <c r="L62" s="14"/>
      <c r="M62" s="14"/>
      <c r="N62" s="80"/>
      <c r="O62" s="80"/>
      <c r="P62" s="80"/>
      <c r="Q62" s="12"/>
      <c r="S62" s="83" t="s">
        <v>69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69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70</v>
      </c>
      <c r="B63" s="85" t="n">
        <v>0.065</v>
      </c>
      <c r="C63" s="14"/>
      <c r="D63" s="14"/>
      <c r="E63" s="80"/>
      <c r="F63" s="80"/>
      <c r="G63" s="80"/>
      <c r="H63" s="12"/>
      <c r="J63" s="4" t="s">
        <v>70</v>
      </c>
      <c r="K63" s="85" t="n">
        <v>0.08</v>
      </c>
      <c r="L63" s="14"/>
      <c r="M63" s="14"/>
      <c r="N63" s="80"/>
      <c r="O63" s="80"/>
      <c r="P63" s="80"/>
      <c r="Q63" s="12"/>
      <c r="S63" s="4" t="s">
        <v>70</v>
      </c>
      <c r="T63" s="85" t="n">
        <v>0.059</v>
      </c>
      <c r="U63" s="14"/>
      <c r="V63" s="14"/>
      <c r="W63" s="80"/>
      <c r="X63" s="80"/>
      <c r="Y63" s="80"/>
      <c r="Z63" s="12"/>
      <c r="AB63" s="4" t="s">
        <v>70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71</v>
      </c>
      <c r="B64" s="87" t="n">
        <v>0.024</v>
      </c>
      <c r="C64" s="14"/>
      <c r="D64" s="14"/>
      <c r="E64" s="80"/>
      <c r="F64" s="80"/>
      <c r="G64" s="80"/>
      <c r="H64" s="12"/>
      <c r="J64" s="86" t="s">
        <v>71</v>
      </c>
      <c r="K64" s="87" t="n">
        <v>0.1</v>
      </c>
      <c r="L64" s="14"/>
      <c r="M64" s="14"/>
      <c r="N64" s="80"/>
      <c r="O64" s="80"/>
      <c r="P64" s="80"/>
      <c r="Q64" s="12"/>
      <c r="S64" s="86" t="s">
        <v>71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71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72</v>
      </c>
      <c r="B65" s="68" t="n">
        <f aca="false">(B89*B59)-(K47*K29)</f>
        <v>7378.54378485647</v>
      </c>
      <c r="C65" s="14"/>
      <c r="D65" s="14"/>
      <c r="E65" s="80"/>
      <c r="F65" s="80"/>
      <c r="G65" s="80"/>
      <c r="H65" s="12"/>
      <c r="J65" s="60" t="s">
        <v>72</v>
      </c>
      <c r="K65" s="68" t="n">
        <f aca="false">(K89*K59)-(K47*K29)</f>
        <v>13671.511329935</v>
      </c>
      <c r="L65" s="14"/>
      <c r="M65" s="14"/>
      <c r="N65" s="80"/>
      <c r="O65" s="80"/>
      <c r="P65" s="80"/>
      <c r="Q65" s="12"/>
      <c r="S65" s="60" t="s">
        <v>72</v>
      </c>
      <c r="T65" s="68" t="n">
        <f aca="false">(T89*T59)-(K47*K29)</f>
        <v>23627.5095202674</v>
      </c>
      <c r="U65" s="14"/>
      <c r="V65" s="14"/>
      <c r="W65" s="80"/>
      <c r="X65" s="80"/>
      <c r="Y65" s="80"/>
      <c r="Z65" s="12"/>
      <c r="AB65" s="60" t="s">
        <v>72</v>
      </c>
      <c r="AC65" s="68" t="n">
        <f aca="false">(AC89*AC59)-(K47*K29)</f>
        <v>-3958.68009620292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73</v>
      </c>
      <c r="B66" s="84" t="n">
        <v>0.01</v>
      </c>
      <c r="C66" s="14"/>
      <c r="D66" s="14"/>
      <c r="E66" s="80"/>
      <c r="F66" s="80"/>
      <c r="G66" s="80"/>
      <c r="H66" s="12"/>
      <c r="J66" s="83" t="s">
        <v>73</v>
      </c>
      <c r="K66" s="84" t="n">
        <v>0.05</v>
      </c>
      <c r="L66" s="14"/>
      <c r="M66" s="14"/>
      <c r="N66" s="80"/>
      <c r="O66" s="80"/>
      <c r="P66" s="80"/>
      <c r="Q66" s="12"/>
      <c r="S66" s="83" t="s">
        <v>73</v>
      </c>
      <c r="T66" s="84" t="n">
        <v>0.005</v>
      </c>
      <c r="U66" s="14"/>
      <c r="V66" s="14"/>
      <c r="W66" s="80"/>
      <c r="X66" s="80"/>
      <c r="Y66" s="80"/>
      <c r="Z66" s="12"/>
      <c r="AB66" s="83" t="s">
        <v>73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74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74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74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74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75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75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75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75</v>
      </c>
      <c r="AC68" s="68" t="n">
        <f aca="false">AH158*AC67</f>
        <v>357.06785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76</v>
      </c>
      <c r="B69" s="84" t="n">
        <v>0</v>
      </c>
      <c r="C69" s="14"/>
      <c r="D69" s="14"/>
      <c r="E69" s="80"/>
      <c r="F69" s="80"/>
      <c r="G69" s="80"/>
      <c r="H69" s="12"/>
      <c r="J69" s="83" t="s">
        <v>76</v>
      </c>
      <c r="K69" s="84" t="n">
        <v>0</v>
      </c>
      <c r="L69" s="14"/>
      <c r="M69" s="14"/>
      <c r="N69" s="80"/>
      <c r="O69" s="80"/>
      <c r="P69" s="80"/>
      <c r="Q69" s="12"/>
      <c r="S69" s="83" t="s">
        <v>76</v>
      </c>
      <c r="T69" s="84" t="n">
        <v>0</v>
      </c>
      <c r="U69" s="14"/>
      <c r="V69" s="14"/>
      <c r="W69" s="80"/>
      <c r="X69" s="80"/>
      <c r="Y69" s="80"/>
      <c r="Z69" s="12"/>
      <c r="AB69" s="83" t="s">
        <v>76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77</v>
      </c>
      <c r="B70" s="85" t="n">
        <v>0</v>
      </c>
      <c r="C70" s="14"/>
      <c r="D70" s="14"/>
      <c r="E70" s="80"/>
      <c r="F70" s="80"/>
      <c r="G70" s="80"/>
      <c r="H70" s="12"/>
      <c r="J70" s="4" t="s">
        <v>77</v>
      </c>
      <c r="K70" s="85" t="n">
        <v>0</v>
      </c>
      <c r="L70" s="14"/>
      <c r="M70" s="14"/>
      <c r="N70" s="80"/>
      <c r="O70" s="80"/>
      <c r="P70" s="80"/>
      <c r="Q70" s="12"/>
      <c r="S70" s="4" t="s">
        <v>77</v>
      </c>
      <c r="T70" s="85" t="n">
        <v>0</v>
      </c>
      <c r="U70" s="14"/>
      <c r="V70" s="14"/>
      <c r="W70" s="80"/>
      <c r="X70" s="80"/>
      <c r="Y70" s="80"/>
      <c r="Z70" s="12"/>
      <c r="AB70" s="4" t="s">
        <v>77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78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78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78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78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79</v>
      </c>
      <c r="B72" s="90" t="n">
        <v>0</v>
      </c>
      <c r="C72" s="14"/>
      <c r="D72" s="14"/>
      <c r="E72" s="80"/>
      <c r="F72" s="80"/>
      <c r="G72" s="80"/>
      <c r="H72" s="12"/>
      <c r="J72" s="83" t="s">
        <v>79</v>
      </c>
      <c r="K72" s="90" t="n">
        <v>0</v>
      </c>
      <c r="L72" s="14"/>
      <c r="M72" s="14"/>
      <c r="N72" s="80"/>
      <c r="O72" s="80"/>
      <c r="P72" s="80"/>
      <c r="Q72" s="12"/>
      <c r="S72" s="83" t="s">
        <v>79</v>
      </c>
      <c r="T72" s="90" t="n">
        <v>0</v>
      </c>
      <c r="U72" s="14"/>
      <c r="V72" s="14"/>
      <c r="W72" s="80"/>
      <c r="X72" s="80"/>
      <c r="Y72" s="80"/>
      <c r="Z72" s="12"/>
      <c r="AB72" s="83" t="s">
        <v>79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80</v>
      </c>
      <c r="B73" s="82" t="n">
        <v>0</v>
      </c>
      <c r="C73" s="14"/>
      <c r="D73" s="14"/>
      <c r="E73" s="80"/>
      <c r="F73" s="80"/>
      <c r="G73" s="80"/>
      <c r="H73" s="12"/>
      <c r="J73" s="4" t="s">
        <v>80</v>
      </c>
      <c r="K73" s="82" t="n">
        <v>0</v>
      </c>
      <c r="L73" s="14"/>
      <c r="M73" s="14"/>
      <c r="N73" s="80"/>
      <c r="O73" s="80"/>
      <c r="P73" s="80"/>
      <c r="Q73" s="12"/>
      <c r="S73" s="4" t="s">
        <v>80</v>
      </c>
      <c r="T73" s="82" t="n">
        <v>0</v>
      </c>
      <c r="U73" s="14"/>
      <c r="V73" s="14"/>
      <c r="W73" s="80"/>
      <c r="X73" s="80"/>
      <c r="Y73" s="80"/>
      <c r="Z73" s="12"/>
      <c r="AB73" s="4" t="s">
        <v>80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81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81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81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81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82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82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82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82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83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83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83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83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84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84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84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84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85</v>
      </c>
      <c r="B78" s="12" t="n">
        <f aca="false">B77/H29</f>
        <v>0</v>
      </c>
      <c r="C78" s="14"/>
      <c r="D78" s="14"/>
      <c r="E78" s="80"/>
      <c r="F78" s="80"/>
      <c r="G78" s="80"/>
      <c r="H78" s="12"/>
      <c r="J78" s="7" t="s">
        <v>85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85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85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86</v>
      </c>
      <c r="B79" s="63" t="n">
        <f aca="false">K47</f>
        <v>684.161294897852</v>
      </c>
      <c r="C79" s="14"/>
      <c r="D79" s="14"/>
      <c r="E79" s="80"/>
      <c r="F79" s="80"/>
      <c r="G79" s="80"/>
      <c r="H79" s="12"/>
      <c r="J79" s="94" t="s">
        <v>86</v>
      </c>
      <c r="K79" s="63" t="n">
        <f aca="false">K47</f>
        <v>684.161294897852</v>
      </c>
      <c r="L79" s="14"/>
      <c r="M79" s="14"/>
      <c r="N79" s="80"/>
      <c r="O79" s="80"/>
      <c r="P79" s="80"/>
      <c r="Q79" s="12"/>
      <c r="S79" s="94" t="s">
        <v>86</v>
      </c>
      <c r="T79" s="63" t="n">
        <f aca="false">B52</f>
        <v>712.772406008963</v>
      </c>
      <c r="U79" s="14"/>
      <c r="V79" s="14"/>
      <c r="W79" s="80"/>
      <c r="X79" s="80"/>
      <c r="Y79" s="80"/>
      <c r="Z79" s="12"/>
      <c r="AB79" s="94" t="s">
        <v>86</v>
      </c>
      <c r="AC79" s="63" t="n">
        <f aca="false">B52</f>
        <v>712.772406008963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87</v>
      </c>
      <c r="B81" s="36" t="n">
        <f aca="false">G158</f>
        <v>49176.84976</v>
      </c>
      <c r="C81" s="14"/>
      <c r="D81" s="14"/>
      <c r="E81" s="80"/>
      <c r="F81" s="80"/>
      <c r="G81" s="80"/>
      <c r="H81" s="12"/>
      <c r="J81" s="34" t="s">
        <v>87</v>
      </c>
      <c r="K81" s="36" t="n">
        <f aca="false">P158</f>
        <v>27893.036</v>
      </c>
      <c r="L81" s="14"/>
      <c r="M81" s="14"/>
      <c r="N81" s="80"/>
      <c r="O81" s="80"/>
      <c r="P81" s="80"/>
      <c r="Q81" s="12"/>
      <c r="S81" s="34" t="s">
        <v>87</v>
      </c>
      <c r="T81" s="36" t="n">
        <f aca="false">Y158</f>
        <v>58532.43785</v>
      </c>
      <c r="U81" s="14"/>
      <c r="V81" s="14"/>
      <c r="W81" s="80"/>
      <c r="X81" s="80"/>
      <c r="Y81" s="80"/>
      <c r="Z81" s="12"/>
      <c r="AB81" s="34" t="s">
        <v>87</v>
      </c>
      <c r="AC81" s="36" t="n">
        <f aca="false">AH158</f>
        <v>35706.785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54</v>
      </c>
      <c r="B82" s="12" t="n">
        <f aca="false">A40</f>
        <v>27500</v>
      </c>
      <c r="C82" s="14"/>
      <c r="D82" s="14"/>
      <c r="E82" s="80"/>
      <c r="F82" s="80"/>
      <c r="G82" s="80"/>
      <c r="H82" s="12"/>
      <c r="J82" s="7" t="s">
        <v>54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54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54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88</v>
      </c>
      <c r="B83" s="88" t="n">
        <f aca="false">B62+B63+B64</f>
        <v>0.089</v>
      </c>
      <c r="C83" s="14"/>
      <c r="D83" s="14"/>
      <c r="E83" s="80"/>
      <c r="F83" s="80"/>
      <c r="G83" s="80"/>
      <c r="H83" s="12"/>
      <c r="J83" s="7" t="s">
        <v>88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88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88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89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89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89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89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90</v>
      </c>
      <c r="B85" s="12" t="n">
        <f aca="false">IF(B82=0, (B59+B58), (B59))</f>
        <v>35</v>
      </c>
      <c r="C85" s="14"/>
      <c r="D85" s="14"/>
      <c r="E85" s="80"/>
      <c r="F85" s="80"/>
      <c r="G85" s="80"/>
      <c r="H85" s="12"/>
      <c r="J85" s="7" t="s">
        <v>90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90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90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91</v>
      </c>
      <c r="B86" s="12" t="n">
        <f aca="false">(B82/((1+B84)^(B85+1)))</f>
        <v>21076.7652577131</v>
      </c>
      <c r="C86" s="14"/>
      <c r="D86" s="14"/>
      <c r="E86" s="80"/>
      <c r="F86" s="80"/>
      <c r="G86" s="80"/>
      <c r="H86" s="12"/>
      <c r="J86" s="7" t="s">
        <v>91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91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91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92</v>
      </c>
      <c r="B87" s="12" t="n">
        <f aca="false">((1-(1/((1+B84)^B85)))/B84)</f>
        <v>30.7264493562845</v>
      </c>
      <c r="C87" s="14"/>
      <c r="D87" s="14"/>
      <c r="E87" s="80"/>
      <c r="F87" s="80"/>
      <c r="G87" s="80"/>
      <c r="H87" s="12"/>
      <c r="J87" s="7" t="s">
        <v>92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92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92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93</v>
      </c>
      <c r="B88" s="12" t="n">
        <f aca="false">B81-B86</f>
        <v>28100.0845022869</v>
      </c>
      <c r="C88" s="14"/>
      <c r="D88" s="14"/>
      <c r="E88" s="80"/>
      <c r="F88" s="80"/>
      <c r="G88" s="80"/>
      <c r="H88" s="12"/>
      <c r="J88" s="7" t="s">
        <v>93</v>
      </c>
      <c r="K88" s="12" t="n">
        <f aca="false">K81-K86</f>
        <v>27893.036</v>
      </c>
      <c r="L88" s="14"/>
      <c r="M88" s="14"/>
      <c r="N88" s="80"/>
      <c r="O88" s="80"/>
      <c r="P88" s="80"/>
      <c r="Q88" s="12"/>
      <c r="S88" s="7" t="s">
        <v>93</v>
      </c>
      <c r="T88" s="12" t="n">
        <f aca="false">T81-T86</f>
        <v>39929.5720402377</v>
      </c>
      <c r="U88" s="14"/>
      <c r="V88" s="14"/>
      <c r="W88" s="80"/>
      <c r="X88" s="80"/>
      <c r="Y88" s="80"/>
      <c r="Z88" s="12"/>
      <c r="AB88" s="7" t="s">
        <v>93</v>
      </c>
      <c r="AC88" s="12" t="n">
        <f aca="false">AC81-AC86</f>
        <v>17103.9191902377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94</v>
      </c>
      <c r="B89" s="12" t="n">
        <f aca="false">(B88/B87)</f>
        <v>914.524297176548</v>
      </c>
      <c r="C89" s="14"/>
      <c r="D89" s="14"/>
      <c r="E89" s="80"/>
      <c r="F89" s="80"/>
      <c r="G89" s="80"/>
      <c r="H89" s="12"/>
      <c r="J89" s="7" t="s">
        <v>94</v>
      </c>
      <c r="K89" s="12" t="n">
        <f aca="false">(K88/K87)</f>
        <v>1094.32336989308</v>
      </c>
      <c r="L89" s="14"/>
      <c r="M89" s="14"/>
      <c r="N89" s="80"/>
      <c r="O89" s="80"/>
      <c r="P89" s="80"/>
      <c r="Q89" s="12"/>
      <c r="S89" s="7" t="s">
        <v>94</v>
      </c>
      <c r="T89" s="12" t="n">
        <f aca="false">(T88/T87)</f>
        <v>1378.78046104543</v>
      </c>
      <c r="U89" s="14"/>
      <c r="V89" s="14"/>
      <c r="W89" s="80"/>
      <c r="X89" s="80"/>
      <c r="Y89" s="80"/>
      <c r="Z89" s="12"/>
      <c r="AB89" s="7" t="s">
        <v>94</v>
      </c>
      <c r="AC89" s="12" t="n">
        <f aca="false">(AC88/AC87)</f>
        <v>590.603614860565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95</v>
      </c>
      <c r="B90" s="12" t="n">
        <f aca="false">((B89*(B85))+B77)</f>
        <v>32008.3504011792</v>
      </c>
      <c r="C90" s="14"/>
      <c r="D90" s="14"/>
      <c r="E90" s="80"/>
      <c r="F90" s="80"/>
      <c r="G90" s="80"/>
      <c r="H90" s="12"/>
      <c r="J90" s="7" t="s">
        <v>95</v>
      </c>
      <c r="K90" s="12" t="n">
        <f aca="false">((K89*(K85))+K77)</f>
        <v>39395.6413161508</v>
      </c>
      <c r="L90" s="14"/>
      <c r="M90" s="14"/>
      <c r="N90" s="80"/>
      <c r="O90" s="80"/>
      <c r="P90" s="80"/>
      <c r="Q90" s="12"/>
      <c r="S90" s="7" t="s">
        <v>95</v>
      </c>
      <c r="T90" s="12" t="n">
        <f aca="false">(T89*(T85))+T77</f>
        <v>48257.3161365901</v>
      </c>
      <c r="U90" s="14"/>
      <c r="V90" s="14"/>
      <c r="W90" s="80"/>
      <c r="X90" s="80"/>
      <c r="Y90" s="80"/>
      <c r="Z90" s="12"/>
      <c r="AB90" s="7" t="s">
        <v>95</v>
      </c>
      <c r="AC90" s="12" t="n">
        <f aca="false">(AC89*(AC59))+AC77</f>
        <v>20671.1265201198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96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96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96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96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97</v>
      </c>
      <c r="B92" s="68" t="n">
        <f aca="false">(B90+B91)</f>
        <v>32008.3504011792</v>
      </c>
      <c r="C92" s="14"/>
      <c r="D92" s="14"/>
      <c r="E92" s="80"/>
      <c r="F92" s="80"/>
      <c r="G92" s="80"/>
      <c r="H92" s="12"/>
      <c r="J92" s="60" t="s">
        <v>97</v>
      </c>
      <c r="K92" s="68" t="n">
        <f aca="false">(K90+K91)</f>
        <v>39395.6413161508</v>
      </c>
      <c r="L92" s="14"/>
      <c r="M92" s="14"/>
      <c r="N92" s="80"/>
      <c r="O92" s="80"/>
      <c r="P92" s="80"/>
      <c r="Q92" s="12"/>
      <c r="S92" s="60" t="s">
        <v>97</v>
      </c>
      <c r="T92" s="68" t="n">
        <f aca="false">(T90+T91)</f>
        <v>48257.3161365901</v>
      </c>
      <c r="U92" s="14"/>
      <c r="V92" s="14"/>
      <c r="W92" s="80"/>
      <c r="X92" s="80"/>
      <c r="Y92" s="80"/>
      <c r="Z92" s="12"/>
      <c r="AB92" s="60" t="s">
        <v>97</v>
      </c>
      <c r="AC92" s="68" t="n">
        <f aca="false">(AC90+AC91)</f>
        <v>20671.1265201198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98</v>
      </c>
      <c r="B94" s="93" t="n">
        <f aca="false">IF(B26="YES",((E40/B85)*(1+A108)),"0")</f>
        <v>35.3142857142857</v>
      </c>
      <c r="C94" s="14"/>
      <c r="D94" s="14"/>
      <c r="E94" s="80"/>
      <c r="F94" s="80"/>
      <c r="G94" s="80"/>
      <c r="H94" s="12"/>
      <c r="J94" s="92" t="s">
        <v>98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98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98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99</v>
      </c>
      <c r="B95" s="96" t="n">
        <f aca="false">B92/(B85)</f>
        <v>914.524297176548</v>
      </c>
      <c r="C95" s="14"/>
      <c r="D95" s="14"/>
      <c r="E95" s="80"/>
      <c r="F95" s="80"/>
      <c r="G95" s="80"/>
      <c r="H95" s="12"/>
      <c r="J95" s="95" t="s">
        <v>99</v>
      </c>
      <c r="K95" s="96" t="n">
        <f aca="false">K92/(K85)</f>
        <v>1094.32336989308</v>
      </c>
      <c r="L95" s="14"/>
      <c r="M95" s="14"/>
      <c r="N95" s="80"/>
      <c r="O95" s="80"/>
      <c r="P95" s="80"/>
      <c r="Q95" s="12"/>
      <c r="S95" s="95" t="s">
        <v>99</v>
      </c>
      <c r="T95" s="96" t="n">
        <f aca="false">T92/(T85)</f>
        <v>1378.78046104543</v>
      </c>
      <c r="U95" s="14"/>
      <c r="V95" s="14"/>
      <c r="W95" s="80"/>
      <c r="X95" s="80"/>
      <c r="Y95" s="80"/>
      <c r="Z95" s="12"/>
      <c r="AB95" s="95" t="s">
        <v>99</v>
      </c>
      <c r="AC95" s="96" t="n">
        <f aca="false">AC92/(AC59)</f>
        <v>590.603614860565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100</v>
      </c>
      <c r="B96" s="98" t="n">
        <f aca="false">(B94+B95)</f>
        <v>949.838582890833</v>
      </c>
      <c r="C96" s="14"/>
      <c r="D96" s="14"/>
      <c r="E96" s="80"/>
      <c r="F96" s="80"/>
      <c r="G96" s="80"/>
      <c r="H96" s="12"/>
      <c r="J96" s="97" t="s">
        <v>100</v>
      </c>
      <c r="K96" s="98" t="n">
        <f aca="false">(K94+K95)</f>
        <v>1138.95670322641</v>
      </c>
      <c r="L96" s="14"/>
      <c r="M96" s="14"/>
      <c r="N96" s="80"/>
      <c r="O96" s="80"/>
      <c r="P96" s="80"/>
      <c r="Q96" s="12"/>
      <c r="S96" s="97" t="s">
        <v>100</v>
      </c>
      <c r="T96" s="98" t="n">
        <f aca="false">T94+T95</f>
        <v>1414.09474675972</v>
      </c>
      <c r="U96" s="14"/>
      <c r="V96" s="14"/>
      <c r="W96" s="80"/>
      <c r="X96" s="80"/>
      <c r="Y96" s="80"/>
      <c r="Z96" s="12"/>
      <c r="AB96" s="97" t="s">
        <v>100</v>
      </c>
      <c r="AC96" s="98" t="n">
        <f aca="false">AC94+AC95</f>
        <v>632.980757717708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103</v>
      </c>
      <c r="B100" s="3"/>
      <c r="C100" s="3"/>
      <c r="D100" s="3"/>
      <c r="E100" s="3"/>
      <c r="F100" s="3"/>
      <c r="G100" s="3"/>
      <c r="H100" s="3"/>
      <c r="J100" s="3" t="s">
        <v>102</v>
      </c>
      <c r="K100" s="3"/>
      <c r="L100" s="3"/>
      <c r="M100" s="3"/>
      <c r="N100" s="3"/>
      <c r="O100" s="3"/>
      <c r="P100" s="3"/>
      <c r="Q100" s="3"/>
      <c r="S100" s="3" t="s">
        <v>103</v>
      </c>
      <c r="T100" s="3"/>
      <c r="U100" s="3"/>
      <c r="V100" s="3"/>
      <c r="W100" s="3"/>
      <c r="X100" s="3"/>
      <c r="Y100" s="3"/>
      <c r="Z100" s="3"/>
      <c r="AB100" s="3" t="s">
        <v>101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104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104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104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104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105</v>
      </c>
      <c r="B105" s="23" t="s">
        <v>106</v>
      </c>
      <c r="C105" s="23"/>
      <c r="D105" s="23"/>
      <c r="E105" s="45" t="s">
        <v>25</v>
      </c>
      <c r="F105" s="45"/>
      <c r="G105" s="45"/>
      <c r="H105" s="101"/>
      <c r="J105" s="37" t="s">
        <v>105</v>
      </c>
      <c r="K105" s="23" t="s">
        <v>106</v>
      </c>
      <c r="L105" s="23"/>
      <c r="M105" s="23"/>
      <c r="N105" s="45" t="s">
        <v>25</v>
      </c>
      <c r="O105" s="45"/>
      <c r="P105" s="45"/>
      <c r="Q105" s="101"/>
      <c r="S105" s="37" t="s">
        <v>105</v>
      </c>
      <c r="T105" s="23" t="s">
        <v>106</v>
      </c>
      <c r="U105" s="23"/>
      <c r="V105" s="23"/>
      <c r="W105" s="45" t="s">
        <v>25</v>
      </c>
      <c r="X105" s="45"/>
      <c r="Y105" s="45"/>
      <c r="Z105" s="101"/>
      <c r="AB105" s="37" t="s">
        <v>105</v>
      </c>
      <c r="AC105" s="23" t="s">
        <v>106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107</v>
      </c>
      <c r="B107" s="14" t="s">
        <v>108</v>
      </c>
      <c r="C107" s="14"/>
      <c r="D107" s="80"/>
      <c r="E107" s="14" t="s">
        <v>109</v>
      </c>
      <c r="F107" s="14"/>
      <c r="G107" s="80"/>
      <c r="H107" s="101"/>
      <c r="J107" s="7" t="s">
        <v>107</v>
      </c>
      <c r="K107" s="14" t="s">
        <v>108</v>
      </c>
      <c r="L107" s="14"/>
      <c r="M107" s="80"/>
      <c r="N107" s="14" t="s">
        <v>109</v>
      </c>
      <c r="O107" s="14"/>
      <c r="P107" s="80"/>
      <c r="Q107" s="101"/>
      <c r="S107" s="7" t="s">
        <v>107</v>
      </c>
      <c r="T107" s="14" t="s">
        <v>108</v>
      </c>
      <c r="U107" s="14"/>
      <c r="V107" s="80"/>
      <c r="W107" s="14" t="s">
        <v>109</v>
      </c>
      <c r="X107" s="14"/>
      <c r="Y107" s="80"/>
      <c r="Z107" s="101"/>
      <c r="AB107" s="7" t="s">
        <v>107</v>
      </c>
      <c r="AC107" s="14" t="s">
        <v>108</v>
      </c>
      <c r="AD107" s="14"/>
      <c r="AE107" s="80"/>
      <c r="AF107" s="14" t="s">
        <v>109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163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111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112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112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113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111</v>
      </c>
    </row>
    <row r="110" customFormat="false" ht="17.35" hidden="false" customHeight="false" outlineLevel="0" collapsed="false">
      <c r="A110" s="7" t="s">
        <v>114</v>
      </c>
      <c r="B110" s="14" t="s">
        <v>115</v>
      </c>
      <c r="C110" s="14"/>
      <c r="D110" s="14"/>
      <c r="E110" s="14" t="s">
        <v>116</v>
      </c>
      <c r="F110" s="14"/>
      <c r="G110" s="14"/>
      <c r="H110" s="12"/>
      <c r="J110" s="7" t="s">
        <v>114</v>
      </c>
      <c r="K110" s="14" t="s">
        <v>115</v>
      </c>
      <c r="L110" s="14"/>
      <c r="M110" s="14"/>
      <c r="N110" s="14" t="s">
        <v>116</v>
      </c>
      <c r="O110" s="14"/>
      <c r="P110" s="14"/>
      <c r="Q110" s="12"/>
      <c r="S110" s="7" t="s">
        <v>114</v>
      </c>
      <c r="T110" s="14" t="s">
        <v>115</v>
      </c>
      <c r="U110" s="14"/>
      <c r="V110" s="14"/>
      <c r="W110" s="14" t="s">
        <v>116</v>
      </c>
      <c r="X110" s="14"/>
      <c r="Y110" s="14"/>
      <c r="Z110" s="12"/>
      <c r="AB110" s="7" t="s">
        <v>114</v>
      </c>
      <c r="AC110" s="14" t="s">
        <v>115</v>
      </c>
      <c r="AD110" s="14"/>
      <c r="AE110" s="14"/>
      <c r="AF110" s="14" t="s">
        <v>116</v>
      </c>
      <c r="AG110" s="14"/>
      <c r="AH110" s="14"/>
      <c r="AI110" s="12"/>
    </row>
    <row r="111" customFormat="false" ht="17.35" hidden="false" customHeight="false" outlineLevel="0" collapsed="false">
      <c r="A111" s="38" t="s">
        <v>25</v>
      </c>
      <c r="B111" s="58" t="n">
        <v>0</v>
      </c>
      <c r="C111" s="58"/>
      <c r="D111" s="58"/>
      <c r="E111" s="58" t="n">
        <v>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117</v>
      </c>
      <c r="B113" s="14" t="s">
        <v>118</v>
      </c>
      <c r="C113" s="14"/>
      <c r="D113" s="14"/>
      <c r="E113" s="14" t="s">
        <v>119</v>
      </c>
      <c r="F113" s="14"/>
      <c r="G113" s="80"/>
      <c r="H113" s="101"/>
      <c r="J113" s="105" t="s">
        <v>117</v>
      </c>
      <c r="K113" s="14" t="s">
        <v>118</v>
      </c>
      <c r="L113" s="14"/>
      <c r="M113" s="14"/>
      <c r="N113" s="14" t="s">
        <v>119</v>
      </c>
      <c r="O113" s="14"/>
      <c r="P113" s="80"/>
      <c r="Q113" s="101"/>
      <c r="S113" s="105" t="s">
        <v>117</v>
      </c>
      <c r="T113" s="14" t="s">
        <v>118</v>
      </c>
      <c r="U113" s="14"/>
      <c r="V113" s="14"/>
      <c r="W113" s="14" t="s">
        <v>119</v>
      </c>
      <c r="X113" s="14"/>
      <c r="Y113" s="80"/>
      <c r="Z113" s="101"/>
      <c r="AB113" s="105" t="s">
        <v>117</v>
      </c>
      <c r="AC113" s="14" t="s">
        <v>118</v>
      </c>
      <c r="AD113" s="14"/>
      <c r="AE113" s="14"/>
      <c r="AF113" s="14" t="s">
        <v>119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0</v>
      </c>
      <c r="B114" s="58" t="s">
        <v>164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121</v>
      </c>
      <c r="B117" s="43"/>
      <c r="C117" s="43"/>
      <c r="D117" s="43"/>
      <c r="E117" s="43"/>
      <c r="F117" s="43"/>
      <c r="G117" s="43"/>
      <c r="H117" s="43"/>
      <c r="J117" s="43" t="s">
        <v>121</v>
      </c>
      <c r="K117" s="43"/>
      <c r="L117" s="43"/>
      <c r="M117" s="43"/>
      <c r="N117" s="43"/>
      <c r="O117" s="43"/>
      <c r="P117" s="43"/>
      <c r="Q117" s="43"/>
      <c r="S117" s="43" t="s">
        <v>121</v>
      </c>
      <c r="T117" s="43"/>
      <c r="U117" s="43"/>
      <c r="V117" s="43"/>
      <c r="W117" s="43"/>
      <c r="X117" s="43"/>
      <c r="Y117" s="43"/>
      <c r="Z117" s="43"/>
      <c r="AB117" s="43" t="s">
        <v>121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122</v>
      </c>
      <c r="C120" s="110" t="s">
        <v>123</v>
      </c>
      <c r="D120" s="109" t="s">
        <v>122</v>
      </c>
      <c r="E120" s="111" t="s">
        <v>123</v>
      </c>
      <c r="F120" s="109" t="s">
        <v>122</v>
      </c>
      <c r="G120" s="111" t="s">
        <v>123</v>
      </c>
      <c r="H120" s="112"/>
      <c r="J120" s="4"/>
      <c r="K120" s="109" t="s">
        <v>122</v>
      </c>
      <c r="L120" s="110" t="s">
        <v>123</v>
      </c>
      <c r="M120" s="109" t="s">
        <v>122</v>
      </c>
      <c r="N120" s="111" t="s">
        <v>123</v>
      </c>
      <c r="O120" s="109" t="s">
        <v>122</v>
      </c>
      <c r="P120" s="111" t="s">
        <v>123</v>
      </c>
      <c r="Q120" s="112"/>
      <c r="S120" s="4"/>
      <c r="T120" s="109" t="s">
        <v>122</v>
      </c>
      <c r="U120" s="110" t="s">
        <v>123</v>
      </c>
      <c r="V120" s="109" t="s">
        <v>122</v>
      </c>
      <c r="W120" s="111" t="s">
        <v>123</v>
      </c>
      <c r="X120" s="109" t="s">
        <v>122</v>
      </c>
      <c r="Y120" s="111" t="s">
        <v>123</v>
      </c>
      <c r="Z120" s="112"/>
      <c r="AB120" s="4"/>
      <c r="AC120" s="109" t="s">
        <v>122</v>
      </c>
      <c r="AD120" s="110" t="s">
        <v>123</v>
      </c>
      <c r="AE120" s="109" t="s">
        <v>122</v>
      </c>
      <c r="AF120" s="111" t="s">
        <v>123</v>
      </c>
      <c r="AG120" s="109" t="s">
        <v>122</v>
      </c>
      <c r="AH120" s="111" t="s">
        <v>123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15</v>
      </c>
      <c r="C122" s="10" t="n">
        <v>15</v>
      </c>
      <c r="D122" s="116" t="n">
        <f aca="false">D4</f>
        <v>0</v>
      </c>
      <c r="E122" s="10" t="n">
        <f aca="false">D122</f>
        <v>0</v>
      </c>
      <c r="F122" s="116" t="n">
        <f aca="false">F4</f>
        <v>9</v>
      </c>
      <c r="G122" s="117" t="n">
        <f aca="false">F122</f>
        <v>9</v>
      </c>
      <c r="H122" s="11"/>
      <c r="J122" s="7" t="s">
        <v>6</v>
      </c>
      <c r="K122" s="116" t="n">
        <f aca="false">B4</f>
        <v>15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9</v>
      </c>
      <c r="P122" s="117" t="n">
        <f aca="false">O122</f>
        <v>9</v>
      </c>
      <c r="Q122" s="11"/>
      <c r="S122" s="7" t="s">
        <v>6</v>
      </c>
      <c r="T122" s="116" t="n">
        <f aca="false">B4</f>
        <v>15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9</v>
      </c>
      <c r="Y122" s="117" t="n">
        <f aca="false">X122</f>
        <v>9</v>
      </c>
      <c r="Z122" s="11"/>
      <c r="AB122" s="7" t="s">
        <v>6</v>
      </c>
      <c r="AC122" s="116" t="n">
        <f aca="false">B4</f>
        <v>15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9</v>
      </c>
      <c r="AH122" s="117" t="n">
        <f aca="false">AG122</f>
        <v>9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52</v>
      </c>
      <c r="C123" s="114" t="n">
        <v>52</v>
      </c>
      <c r="D123" s="118" t="n">
        <f aca="false">D5</f>
        <v>0</v>
      </c>
      <c r="E123" s="114" t="n">
        <f aca="false">D123</f>
        <v>0</v>
      </c>
      <c r="F123" s="118" t="n">
        <f aca="false">F5</f>
        <v>15</v>
      </c>
      <c r="G123" s="114" t="n">
        <f aca="false">F123</f>
        <v>15</v>
      </c>
      <c r="H123" s="12"/>
      <c r="J123" s="7" t="s">
        <v>7</v>
      </c>
      <c r="K123" s="118" t="n">
        <f aca="false">B5</f>
        <v>52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15</v>
      </c>
      <c r="P123" s="114" t="n">
        <f aca="false">O123</f>
        <v>15</v>
      </c>
      <c r="Q123" s="12"/>
      <c r="S123" s="7" t="s">
        <v>7</v>
      </c>
      <c r="T123" s="118" t="n">
        <f aca="false">B5</f>
        <v>52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15</v>
      </c>
      <c r="Y123" s="114" t="n">
        <f aca="false">X123</f>
        <v>15</v>
      </c>
      <c r="Z123" s="12"/>
      <c r="AB123" s="7" t="s">
        <v>7</v>
      </c>
      <c r="AC123" s="118" t="n">
        <f aca="false">B5</f>
        <v>52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15</v>
      </c>
      <c r="AH123" s="114" t="n">
        <f aca="false">AG123</f>
        <v>15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702864.55</v>
      </c>
      <c r="C124" s="119" t="n">
        <f aca="false">(C121*C122/100)+C123</f>
        <v>7080.1255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7514.97</v>
      </c>
      <c r="G124" s="119" t="n">
        <f aca="false">(G121*G122/100)+G123</f>
        <v>89.9997</v>
      </c>
      <c r="H124" s="12"/>
      <c r="J124" s="7" t="s">
        <v>8</v>
      </c>
      <c r="K124" s="118" t="n">
        <f aca="false">(K121*K122)+K123</f>
        <v>702864.55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7514.97</v>
      </c>
      <c r="P124" s="119" t="n">
        <f aca="false">(P121*P122)+P123</f>
        <v>7514.97</v>
      </c>
      <c r="Q124" s="12"/>
      <c r="S124" s="7" t="s">
        <v>8</v>
      </c>
      <c r="T124" s="118" t="n">
        <f aca="false">(T121*T122)+T123</f>
        <v>702864.55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7514.97</v>
      </c>
      <c r="Y124" s="119" t="n">
        <f aca="false">(Y121*Y122/100)+Y123</f>
        <v>89.9997</v>
      </c>
      <c r="Z124" s="12"/>
      <c r="AB124" s="7" t="s">
        <v>8</v>
      </c>
      <c r="AC124" s="118" t="n">
        <f aca="false">(AC121*AC122)+AC123</f>
        <v>702864.55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7514.97</v>
      </c>
      <c r="AH124" s="119" t="n">
        <f aca="false">(AH121*AH122)+AH123</f>
        <v>7514.97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-656010.38</v>
      </c>
      <c r="C125" s="121" t="n">
        <f aca="false">C121-C124</f>
        <v>39774.0445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-6681.64</v>
      </c>
      <c r="G125" s="121" t="n">
        <f aca="false">G121-G124</f>
        <v>743.3303</v>
      </c>
      <c r="H125" s="68"/>
      <c r="J125" s="60" t="s">
        <v>9</v>
      </c>
      <c r="K125" s="120" t="n">
        <f aca="false">K121-K124</f>
        <v>-656010.38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-6681.64</v>
      </c>
      <c r="P125" s="121" t="n">
        <f aca="false">P121-P124</f>
        <v>-6681.64</v>
      </c>
      <c r="Q125" s="68"/>
      <c r="S125" s="60" t="s">
        <v>9</v>
      </c>
      <c r="T125" s="120" t="n">
        <f aca="false">T121-T124</f>
        <v>-656010.38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-6681.64</v>
      </c>
      <c r="Y125" s="121" t="n">
        <f aca="false">Y121-Y124</f>
        <v>743.3303</v>
      </c>
      <c r="Z125" s="68"/>
      <c r="AB125" s="60" t="s">
        <v>9</v>
      </c>
      <c r="AC125" s="120" t="n">
        <f aca="false">AC121-AC124</f>
        <v>-656010.38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-6681.64</v>
      </c>
      <c r="AH125" s="121" t="n">
        <f aca="false">AH121-AH124</f>
        <v>-6681.64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122</v>
      </c>
      <c r="H127" s="124" t="s">
        <v>123</v>
      </c>
      <c r="J127" s="122"/>
      <c r="K127" s="123"/>
      <c r="L127" s="123"/>
      <c r="M127" s="123"/>
      <c r="N127" s="123"/>
      <c r="O127" s="123"/>
      <c r="P127" s="16" t="s">
        <v>122</v>
      </c>
      <c r="Q127" s="124" t="s">
        <v>123</v>
      </c>
      <c r="S127" s="122"/>
      <c r="T127" s="123"/>
      <c r="U127" s="123"/>
      <c r="V127" s="123"/>
      <c r="W127" s="123"/>
      <c r="X127" s="123"/>
      <c r="Y127" s="16" t="s">
        <v>122</v>
      </c>
      <c r="Z127" s="124" t="s">
        <v>123</v>
      </c>
      <c r="AB127" s="122"/>
      <c r="AC127" s="123"/>
      <c r="AD127" s="123"/>
      <c r="AE127" s="123"/>
      <c r="AF127" s="123"/>
      <c r="AG127" s="123"/>
      <c r="AH127" s="16" t="s">
        <v>122</v>
      </c>
      <c r="AI127" s="124" t="s">
        <v>123</v>
      </c>
    </row>
    <row r="128" customFormat="false" ht="17.35" hidden="false" customHeight="false" outlineLevel="0" collapsed="false">
      <c r="A128" s="125" t="s">
        <v>124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124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124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124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125</v>
      </c>
      <c r="B130" s="129" t="s">
        <v>126</v>
      </c>
      <c r="C130" s="129"/>
      <c r="D130" s="129" t="s">
        <v>127</v>
      </c>
      <c r="E130" s="129"/>
      <c r="F130" s="129" t="s">
        <v>7</v>
      </c>
      <c r="G130" s="129"/>
      <c r="H130" s="130" t="s">
        <v>123</v>
      </c>
      <c r="J130" s="131" t="s">
        <v>125</v>
      </c>
      <c r="K130" s="129" t="s">
        <v>126</v>
      </c>
      <c r="L130" s="129"/>
      <c r="M130" s="129" t="s">
        <v>127</v>
      </c>
      <c r="N130" s="129"/>
      <c r="O130" s="129" t="s">
        <v>7</v>
      </c>
      <c r="P130" s="129"/>
      <c r="Q130" s="130" t="s">
        <v>123</v>
      </c>
      <c r="S130" s="131" t="s">
        <v>125</v>
      </c>
      <c r="T130" s="129" t="s">
        <v>126</v>
      </c>
      <c r="U130" s="129"/>
      <c r="V130" s="129" t="s">
        <v>127</v>
      </c>
      <c r="W130" s="129"/>
      <c r="X130" s="129" t="s">
        <v>7</v>
      </c>
      <c r="Y130" s="129"/>
      <c r="Z130" s="130" t="s">
        <v>123</v>
      </c>
      <c r="AB130" s="131" t="s">
        <v>125</v>
      </c>
      <c r="AC130" s="129" t="s">
        <v>126</v>
      </c>
      <c r="AD130" s="129"/>
      <c r="AE130" s="129" t="s">
        <v>127</v>
      </c>
      <c r="AF130" s="129"/>
      <c r="AG130" s="129" t="s">
        <v>7</v>
      </c>
      <c r="AH130" s="129"/>
      <c r="AI130" s="130" t="s">
        <v>123</v>
      </c>
    </row>
    <row r="131" customFormat="false" ht="17.35" hidden="false" customHeight="false" outlineLevel="0" collapsed="false">
      <c r="A131" s="7" t="s">
        <v>128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128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128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128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129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129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129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129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130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130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130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130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40517.3748</v>
      </c>
      <c r="H135" s="135" t="n">
        <f aca="false">C125+E125+G125+H128</f>
        <v>40517.3748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40517.3748</v>
      </c>
      <c r="Q135" s="135" t="n">
        <f aca="false">L125+N125+P125+Q128</f>
        <v>21947.53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40517.3748</v>
      </c>
      <c r="Z135" s="135" t="n">
        <f aca="false">U125+W125+Y125+Z128</f>
        <v>47480.364875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40517.3748</v>
      </c>
      <c r="AI135" s="135" t="n">
        <f aca="false">AD125+AF125+AH125+AI128</f>
        <v>28458.9875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50</v>
      </c>
      <c r="H136" s="12" t="n">
        <f aca="false">G136</f>
        <v>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50</v>
      </c>
      <c r="Q136" s="12" t="n">
        <f aca="false">P136</f>
        <v>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50</v>
      </c>
      <c r="Z136" s="12" t="n">
        <f aca="false">Y136</f>
        <v>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50</v>
      </c>
      <c r="AI136" s="12" t="n">
        <f aca="false">AH136</f>
        <v>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8113.47496</v>
      </c>
      <c r="H137" s="12" t="n">
        <f aca="false">(H135+H136)*20%</f>
        <v>8113.47496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8113.47496</v>
      </c>
      <c r="Q137" s="12" t="n">
        <f aca="false">(Q135+Q136)*20%</f>
        <v>4399.506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8113.47496</v>
      </c>
      <c r="Z137" s="12" t="n">
        <f aca="false">(Z135+Z136)*20%</f>
        <v>9506.072975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8113.47496</v>
      </c>
      <c r="AI137" s="12" t="n">
        <f aca="false">(AI135+AI136)*20%</f>
        <v>5701.7975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49320.84976</v>
      </c>
      <c r="H141" s="137" t="n">
        <f aca="false">(H135+H136+H139+H140+H137)-H138</f>
        <v>49320.84976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49320.84976</v>
      </c>
      <c r="Q141" s="137" t="n">
        <f aca="false">(Q135+Q136+Q139+Q140+Q137)-Q138</f>
        <v>27037.036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49320.84976</v>
      </c>
      <c r="Z141" s="137" t="n">
        <f aca="false">(Z135+Z136+Z139+Z140+Z137)-Z138</f>
        <v>57676.43785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49320.84976</v>
      </c>
      <c r="AI141" s="137" t="n">
        <f aca="false">(AI135+AI136+AI139+AI140+AI137)-AI138</f>
        <v>34850.785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120</v>
      </c>
      <c r="H142" s="38" t="n">
        <f aca="false">G142</f>
        <v>120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120</v>
      </c>
      <c r="Q142" s="38" t="n">
        <f aca="false">P142</f>
        <v>120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120</v>
      </c>
      <c r="Z142" s="38" t="n">
        <f aca="false">Y142</f>
        <v>120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120</v>
      </c>
      <c r="AI142" s="38" t="n">
        <f aca="false">AH142</f>
        <v>120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120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120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49176.84976</v>
      </c>
      <c r="H147" s="140" t="n">
        <f aca="false">H141-((H144*1.2)+(H145*1.2)+(H146*1.2)+(H142*1.2))</f>
        <v>49176.84976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49176.84976</v>
      </c>
      <c r="Q147" s="140" t="n">
        <f aca="false">Q141-((Q144*1.2)+(Q145*1.2)+(Q146*1.2)+(Q142*1.2))</f>
        <v>26893.036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49176.84976</v>
      </c>
      <c r="Z147" s="140" t="n">
        <f aca="false">Z141-((Z144*1.2)+(Z145*1.2)+(Z146*1.2)+(Z142*1.2))</f>
        <v>57532.43785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49176.84976</v>
      </c>
      <c r="AI147" s="140" t="n">
        <f aca="false">AI141-((AI144*1.2)+(AI145*1.2)+(AI146*1.2)+(AI142*1.2))</f>
        <v>34706.785</v>
      </c>
    </row>
    <row r="148" customFormat="false" ht="17.35" hidden="false" customHeight="false" outlineLevel="0" collapsed="false">
      <c r="A148" s="18" t="s">
        <v>131</v>
      </c>
      <c r="B148" s="18"/>
      <c r="C148" s="18"/>
      <c r="D148" s="18"/>
      <c r="E148" s="18"/>
      <c r="F148" s="18"/>
      <c r="G148" s="13"/>
      <c r="H148" s="38" t="n">
        <f aca="false">Q147-P147</f>
        <v>-22283.81376</v>
      </c>
      <c r="I148" s="1" t="n">
        <f aca="false">(H148-G81)/1.2</f>
        <v>-18569.8448</v>
      </c>
      <c r="J148" s="18" t="s">
        <v>131</v>
      </c>
      <c r="K148" s="18"/>
      <c r="L148" s="18"/>
      <c r="M148" s="18"/>
      <c r="N148" s="18"/>
      <c r="O148" s="18"/>
      <c r="P148" s="13"/>
      <c r="Q148" s="38" t="n">
        <f aca="false">Q147-P147</f>
        <v>-22283.81376</v>
      </c>
      <c r="S148" s="18" t="s">
        <v>131</v>
      </c>
      <c r="T148" s="18"/>
      <c r="U148" s="18"/>
      <c r="V148" s="18"/>
      <c r="W148" s="18"/>
      <c r="X148" s="18"/>
      <c r="Y148" s="13"/>
      <c r="Z148" s="38" t="n">
        <f aca="false">Z147-Y147</f>
        <v>8355.58809000001</v>
      </c>
      <c r="AB148" s="18" t="s">
        <v>131</v>
      </c>
      <c r="AC148" s="18"/>
      <c r="AD148" s="18"/>
      <c r="AE148" s="18"/>
      <c r="AF148" s="18"/>
      <c r="AG148" s="18"/>
      <c r="AH148" s="13"/>
      <c r="AI148" s="38" t="n">
        <f aca="false">AI147-AH147</f>
        <v>-14470.06476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132</v>
      </c>
      <c r="B150" s="43"/>
      <c r="C150" s="43"/>
      <c r="D150" s="43"/>
      <c r="E150" s="43"/>
      <c r="F150" s="43"/>
      <c r="G150" s="43"/>
      <c r="H150" s="43"/>
      <c r="J150" s="43" t="s">
        <v>132</v>
      </c>
      <c r="K150" s="43"/>
      <c r="L150" s="43"/>
      <c r="M150" s="43"/>
      <c r="N150" s="43"/>
      <c r="O150" s="43"/>
      <c r="P150" s="43"/>
      <c r="Q150" s="43"/>
      <c r="S150" s="43" t="s">
        <v>132</v>
      </c>
      <c r="T150" s="43"/>
      <c r="U150" s="43"/>
      <c r="V150" s="43"/>
      <c r="W150" s="43"/>
      <c r="X150" s="43"/>
      <c r="Y150" s="43"/>
      <c r="Z150" s="43"/>
      <c r="AB150" s="43" t="s">
        <v>132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133</v>
      </c>
      <c r="B152" s="14"/>
      <c r="C152" s="14"/>
      <c r="D152" s="31"/>
      <c r="E152" s="58" t="n">
        <v>0</v>
      </c>
      <c r="F152" s="58"/>
      <c r="G152" s="58" t="n">
        <v>0</v>
      </c>
      <c r="H152" s="58"/>
      <c r="J152" s="7" t="s">
        <v>133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133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133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134</v>
      </c>
      <c r="B153" s="14"/>
      <c r="C153" s="14"/>
      <c r="D153" s="31"/>
      <c r="E153" s="26" t="n">
        <f aca="false">G153</f>
        <v>0</v>
      </c>
      <c r="F153" s="26"/>
      <c r="G153" s="58" t="n">
        <v>0</v>
      </c>
      <c r="H153" s="58"/>
      <c r="J153" s="7" t="s">
        <v>134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134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134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135</v>
      </c>
      <c r="B154" s="14"/>
      <c r="C154" s="14"/>
      <c r="D154" s="31"/>
      <c r="E154" s="26" t="n">
        <f aca="false">E152-E153</f>
        <v>0</v>
      </c>
      <c r="F154" s="26"/>
      <c r="G154" s="141" t="n">
        <f aca="false">G152-G153</f>
        <v>0</v>
      </c>
      <c r="H154" s="141"/>
      <c r="J154" s="7" t="s">
        <v>135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135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135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136</v>
      </c>
      <c r="B155" s="14"/>
      <c r="C155" s="14"/>
      <c r="D155" s="31"/>
      <c r="E155" s="26" t="n">
        <f aca="false">E154-G154</f>
        <v>0</v>
      </c>
      <c r="F155" s="26"/>
      <c r="G155" s="31"/>
      <c r="H155" s="12"/>
      <c r="J155" s="7" t="s">
        <v>136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136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136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137</v>
      </c>
      <c r="B157" s="35"/>
      <c r="C157" s="35"/>
      <c r="D157" s="79"/>
      <c r="E157" s="35"/>
      <c r="F157" s="79"/>
      <c r="G157" s="142" t="n">
        <f aca="false">A114</f>
        <v>0</v>
      </c>
      <c r="H157" s="142"/>
      <c r="J157" s="34" t="s">
        <v>137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137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137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138</v>
      </c>
      <c r="B158" s="14"/>
      <c r="C158" s="14"/>
      <c r="D158" s="80"/>
      <c r="E158" s="14"/>
      <c r="F158" s="80"/>
      <c r="G158" s="144" t="n">
        <f aca="false">H147-G154-G157</f>
        <v>49176.84976</v>
      </c>
      <c r="H158" s="144"/>
      <c r="J158" s="143" t="s">
        <v>138</v>
      </c>
      <c r="K158" s="14"/>
      <c r="L158" s="14"/>
      <c r="M158" s="80"/>
      <c r="N158" s="14"/>
      <c r="O158" s="80"/>
      <c r="P158" s="144" t="n">
        <f aca="false">Q147-P154-P157</f>
        <v>27893.036</v>
      </c>
      <c r="Q158" s="144"/>
      <c r="S158" s="143" t="s">
        <v>138</v>
      </c>
      <c r="T158" s="14"/>
      <c r="U158" s="14"/>
      <c r="V158" s="80"/>
      <c r="W158" s="14"/>
      <c r="X158" s="80"/>
      <c r="Y158" s="144" t="n">
        <f aca="false">Z147-Y154-Y157</f>
        <v>58532.43785</v>
      </c>
      <c r="Z158" s="144"/>
      <c r="AB158" s="143" t="s">
        <v>138</v>
      </c>
      <c r="AC158" s="14"/>
      <c r="AD158" s="14"/>
      <c r="AE158" s="80"/>
      <c r="AF158" s="14"/>
      <c r="AG158" s="80"/>
      <c r="AH158" s="144" t="n">
        <f aca="false">AI147-AH154-AH157</f>
        <v>35706.785</v>
      </c>
      <c r="AI158" s="144"/>
    </row>
    <row r="159" customFormat="false" ht="17.35" hidden="false" customHeight="false" outlineLevel="0" collapsed="false">
      <c r="A159" s="60" t="s">
        <v>139</v>
      </c>
      <c r="B159" s="61"/>
      <c r="C159" s="61"/>
      <c r="D159" s="99"/>
      <c r="E159" s="61"/>
      <c r="F159" s="99"/>
      <c r="G159" s="145" t="str">
        <f aca="false">B114</f>
        <v>199.99</v>
      </c>
      <c r="H159" s="145"/>
      <c r="J159" s="60" t="s">
        <v>139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139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139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140</v>
      </c>
      <c r="B162" s="43"/>
      <c r="C162" s="43"/>
      <c r="D162" s="43"/>
      <c r="E162" s="43"/>
      <c r="F162" s="43"/>
      <c r="G162" s="43"/>
      <c r="H162" s="43"/>
      <c r="J162" s="43" t="s">
        <v>140</v>
      </c>
      <c r="K162" s="43"/>
      <c r="L162" s="43"/>
      <c r="M162" s="43"/>
      <c r="N162" s="43"/>
      <c r="O162" s="43"/>
      <c r="P162" s="43"/>
      <c r="Q162" s="43"/>
      <c r="S162" s="43" t="s">
        <v>140</v>
      </c>
      <c r="T162" s="43"/>
      <c r="U162" s="43"/>
      <c r="V162" s="43"/>
      <c r="W162" s="43"/>
      <c r="X162" s="43"/>
      <c r="Y162" s="43"/>
      <c r="Z162" s="43"/>
      <c r="AB162" s="43" t="s">
        <v>140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141</v>
      </c>
      <c r="B166" s="148" t="s">
        <v>142</v>
      </c>
      <c r="C166" s="148"/>
      <c r="D166" s="148"/>
      <c r="E166" s="148" t="s">
        <v>143</v>
      </c>
      <c r="F166" s="31"/>
      <c r="G166" s="31"/>
      <c r="H166" s="12"/>
      <c r="J166" s="147" t="s">
        <v>141</v>
      </c>
      <c r="K166" s="148" t="s">
        <v>142</v>
      </c>
      <c r="L166" s="148"/>
      <c r="M166" s="148"/>
      <c r="N166" s="148" t="s">
        <v>143</v>
      </c>
      <c r="O166" s="31"/>
      <c r="P166" s="31"/>
      <c r="Q166" s="12"/>
      <c r="S166" s="147" t="s">
        <v>141</v>
      </c>
      <c r="T166" s="148" t="s">
        <v>142</v>
      </c>
      <c r="U166" s="148"/>
      <c r="V166" s="148"/>
      <c r="W166" s="148" t="s">
        <v>143</v>
      </c>
      <c r="X166" s="31"/>
      <c r="Y166" s="31"/>
      <c r="Z166" s="12"/>
      <c r="AB166" s="147" t="s">
        <v>141</v>
      </c>
      <c r="AC166" s="148" t="s">
        <v>142</v>
      </c>
      <c r="AD166" s="148"/>
      <c r="AE166" s="148"/>
      <c r="AF166" s="148" t="s">
        <v>143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914.524297176548</v>
      </c>
      <c r="B167" s="150" t="n">
        <f aca="false">B94</f>
        <v>35.3142857142857</v>
      </c>
      <c r="C167" s="148"/>
      <c r="D167" s="148"/>
      <c r="E167" s="150" t="n">
        <f aca="false">B96</f>
        <v>949.838582890833</v>
      </c>
      <c r="F167" s="31"/>
      <c r="G167" s="31"/>
      <c r="H167" s="12"/>
      <c r="J167" s="149" t="n">
        <f aca="false">K95</f>
        <v>1094.32336989308</v>
      </c>
      <c r="K167" s="150" t="n">
        <f aca="false">K94</f>
        <v>44.6333333333333</v>
      </c>
      <c r="L167" s="148"/>
      <c r="M167" s="148"/>
      <c r="N167" s="150" t="n">
        <f aca="false">K96</f>
        <v>1138.95670322641</v>
      </c>
      <c r="O167" s="31"/>
      <c r="P167" s="31"/>
      <c r="Q167" s="12"/>
      <c r="S167" s="149" t="n">
        <f aca="false">T95</f>
        <v>1378.78046104543</v>
      </c>
      <c r="T167" s="150" t="n">
        <f aca="false">T94</f>
        <v>35.3142857142857</v>
      </c>
      <c r="U167" s="148"/>
      <c r="V167" s="148"/>
      <c r="W167" s="150" t="n">
        <f aca="false">T96</f>
        <v>1414.09474675972</v>
      </c>
      <c r="X167" s="31"/>
      <c r="Y167" s="31"/>
      <c r="Z167" s="12"/>
      <c r="AB167" s="149" t="n">
        <f aca="false">AC95</f>
        <v>590.603614860565</v>
      </c>
      <c r="AC167" s="150" t="n">
        <f aca="false">AC94</f>
        <v>42.3771428571428</v>
      </c>
      <c r="AD167" s="148"/>
      <c r="AE167" s="148"/>
      <c r="AF167" s="150" t="n">
        <f aca="false">AC96</f>
        <v>632.980757717708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39</v>
      </c>
      <c r="B169" s="14" t="s">
        <v>40</v>
      </c>
      <c r="C169" s="14"/>
      <c r="D169" s="31"/>
      <c r="E169" s="14" t="s">
        <v>144</v>
      </c>
      <c r="F169" s="31"/>
      <c r="G169" s="31"/>
      <c r="H169" s="12"/>
      <c r="J169" s="7" t="s">
        <v>39</v>
      </c>
      <c r="K169" s="14" t="s">
        <v>40</v>
      </c>
      <c r="L169" s="14"/>
      <c r="M169" s="31"/>
      <c r="N169" s="14" t="s">
        <v>144</v>
      </c>
      <c r="O169" s="31"/>
      <c r="P169" s="31"/>
      <c r="Q169" s="12"/>
      <c r="S169" s="7" t="s">
        <v>39</v>
      </c>
      <c r="T169" s="14" t="s">
        <v>40</v>
      </c>
      <c r="U169" s="14"/>
      <c r="V169" s="31"/>
      <c r="W169" s="14" t="s">
        <v>144</v>
      </c>
      <c r="X169" s="31"/>
      <c r="Y169" s="31"/>
      <c r="Z169" s="12"/>
      <c r="AB169" s="7" t="s">
        <v>39</v>
      </c>
      <c r="AC169" s="14" t="s">
        <v>40</v>
      </c>
      <c r="AD169" s="14"/>
      <c r="AE169" s="31"/>
      <c r="AF169" s="14" t="s">
        <v>144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27500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27500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27500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145</v>
      </c>
      <c r="B172" s="14" t="s">
        <v>146</v>
      </c>
      <c r="C172" s="14"/>
      <c r="D172" s="31"/>
      <c r="E172" s="14" t="s">
        <v>147</v>
      </c>
      <c r="F172" s="31"/>
      <c r="G172" s="31"/>
      <c r="H172" s="12"/>
      <c r="J172" s="7" t="s">
        <v>145</v>
      </c>
      <c r="K172" s="14" t="s">
        <v>146</v>
      </c>
      <c r="L172" s="14"/>
      <c r="M172" s="31"/>
      <c r="N172" s="14" t="s">
        <v>147</v>
      </c>
      <c r="O172" s="31"/>
      <c r="P172" s="31"/>
      <c r="Q172" s="12"/>
      <c r="S172" s="7" t="s">
        <v>145</v>
      </c>
      <c r="T172" s="14" t="s">
        <v>146</v>
      </c>
      <c r="U172" s="14"/>
      <c r="V172" s="31"/>
      <c r="W172" s="14" t="s">
        <v>147</v>
      </c>
      <c r="X172" s="31"/>
      <c r="Y172" s="31"/>
      <c r="Z172" s="12"/>
      <c r="AB172" s="7" t="s">
        <v>145</v>
      </c>
      <c r="AC172" s="14" t="s">
        <v>146</v>
      </c>
      <c r="AD172" s="14"/>
      <c r="AE172" s="31"/>
      <c r="AF172" s="14" t="s">
        <v>147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40567.3748</v>
      </c>
      <c r="B173" s="23" t="n">
        <f aca="false">H137</f>
        <v>8113.47496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21997.53</v>
      </c>
      <c r="K173" s="23" t="n">
        <f aca="false">Q137</f>
        <v>4399.506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47530.364875</v>
      </c>
      <c r="T173" s="23" t="n">
        <f aca="false">Z137</f>
        <v>9506.072975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28508.9875</v>
      </c>
      <c r="AC173" s="23" t="n">
        <f aca="false">AI137</f>
        <v>5701.7975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148</v>
      </c>
      <c r="B175" s="14" t="s">
        <v>115</v>
      </c>
      <c r="C175" s="14"/>
      <c r="D175" s="31"/>
      <c r="E175" s="14" t="s">
        <v>116</v>
      </c>
      <c r="F175" s="31"/>
      <c r="G175" s="31"/>
      <c r="H175" s="12"/>
      <c r="J175" s="7" t="s">
        <v>148</v>
      </c>
      <c r="K175" s="14" t="s">
        <v>115</v>
      </c>
      <c r="L175" s="14"/>
      <c r="M175" s="31"/>
      <c r="N175" s="14" t="s">
        <v>116</v>
      </c>
      <c r="O175" s="31"/>
      <c r="P175" s="31"/>
      <c r="Q175" s="12"/>
      <c r="S175" s="7" t="s">
        <v>148</v>
      </c>
      <c r="T175" s="14" t="s">
        <v>115</v>
      </c>
      <c r="U175" s="14"/>
      <c r="V175" s="31"/>
      <c r="W175" s="14" t="s">
        <v>116</v>
      </c>
      <c r="X175" s="31"/>
      <c r="Y175" s="31"/>
      <c r="Z175" s="12"/>
      <c r="AB175" s="7" t="s">
        <v>148</v>
      </c>
      <c r="AC175" s="14" t="s">
        <v>115</v>
      </c>
      <c r="AD175" s="14"/>
      <c r="AE175" s="31"/>
      <c r="AF175" s="14" t="s">
        <v>116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49320.84976</v>
      </c>
      <c r="B176" s="23" t="n">
        <f aca="false">B111</f>
        <v>0</v>
      </c>
      <c r="C176" s="23"/>
      <c r="D176" s="31"/>
      <c r="E176" s="23" t="n">
        <f aca="false">E111</f>
        <v>0</v>
      </c>
      <c r="F176" s="31"/>
      <c r="G176" s="31"/>
      <c r="H176" s="153"/>
      <c r="J176" s="55" t="n">
        <f aca="false">Q141</f>
        <v>27037.036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57676.43785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34850.785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117</v>
      </c>
      <c r="B178" s="14" t="s">
        <v>133</v>
      </c>
      <c r="C178" s="14"/>
      <c r="D178" s="31"/>
      <c r="E178" s="14" t="s">
        <v>138</v>
      </c>
      <c r="F178" s="31"/>
      <c r="G178" s="31"/>
      <c r="H178" s="12"/>
      <c r="J178" s="7" t="s">
        <v>117</v>
      </c>
      <c r="K178" s="14" t="s">
        <v>133</v>
      </c>
      <c r="L178" s="14"/>
      <c r="M178" s="31"/>
      <c r="N178" s="14" t="s">
        <v>138</v>
      </c>
      <c r="O178" s="31"/>
      <c r="P178" s="31"/>
      <c r="Q178" s="12"/>
      <c r="S178" s="7" t="s">
        <v>117</v>
      </c>
      <c r="T178" s="14" t="s">
        <v>133</v>
      </c>
      <c r="U178" s="14"/>
      <c r="V178" s="31"/>
      <c r="W178" s="14" t="s">
        <v>138</v>
      </c>
      <c r="X178" s="31"/>
      <c r="Y178" s="31"/>
      <c r="Z178" s="12"/>
      <c r="AB178" s="7" t="s">
        <v>117</v>
      </c>
      <c r="AC178" s="14" t="s">
        <v>133</v>
      </c>
      <c r="AD178" s="14"/>
      <c r="AE178" s="31"/>
      <c r="AF178" s="14" t="s">
        <v>138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0</v>
      </c>
      <c r="B179" s="23" t="n">
        <f aca="false">G154</f>
        <v>0</v>
      </c>
      <c r="C179" s="23"/>
      <c r="D179" s="31"/>
      <c r="E179" s="23" t="n">
        <f aca="false">A176-A179-B179</f>
        <v>49320.84976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28037.036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58676.43785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35850.785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149</v>
      </c>
      <c r="B181" s="14" t="s">
        <v>139</v>
      </c>
      <c r="C181" s="14"/>
      <c r="D181" s="31"/>
      <c r="E181" s="14" t="s">
        <v>150</v>
      </c>
      <c r="F181" s="31"/>
      <c r="G181" s="31"/>
      <c r="H181" s="12"/>
      <c r="J181" s="7" t="s">
        <v>149</v>
      </c>
      <c r="K181" s="14" t="s">
        <v>139</v>
      </c>
      <c r="L181" s="14"/>
      <c r="M181" s="31"/>
      <c r="N181" s="14" t="s">
        <v>150</v>
      </c>
      <c r="O181" s="31"/>
      <c r="P181" s="31"/>
      <c r="Q181" s="12"/>
      <c r="S181" s="7" t="s">
        <v>149</v>
      </c>
      <c r="T181" s="14" t="s">
        <v>139</v>
      </c>
      <c r="U181" s="14"/>
      <c r="V181" s="31"/>
      <c r="W181" s="14" t="s">
        <v>150</v>
      </c>
      <c r="X181" s="31"/>
      <c r="Y181" s="31"/>
      <c r="Z181" s="12"/>
      <c r="AB181" s="7" t="s">
        <v>149</v>
      </c>
      <c r="AC181" s="14" t="s">
        <v>139</v>
      </c>
      <c r="AD181" s="14"/>
      <c r="AE181" s="31"/>
      <c r="AF181" s="14" t="s">
        <v>150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10187.5006411792</v>
      </c>
      <c r="B182" s="23" t="str">
        <f aca="false">B114</f>
        <v>199.99</v>
      </c>
      <c r="C182" s="23"/>
      <c r="D182" s="31"/>
      <c r="E182" s="23" t="n">
        <f aca="false">E179+A182+B182+A185</f>
        <v>59718.3404011792</v>
      </c>
      <c r="F182" s="31"/>
      <c r="G182" s="31"/>
      <c r="H182" s="153"/>
      <c r="J182" s="22" t="n">
        <f aca="false">(J167*K59)+N185-N179-J185</f>
        <v>37764.2819462577</v>
      </c>
      <c r="K182" s="23" t="n">
        <f aca="false">K114</f>
        <v>239.99</v>
      </c>
      <c r="L182" s="23"/>
      <c r="M182" s="31"/>
      <c r="N182" s="23" t="n">
        <f aca="false">N179+J182+K182+J185</f>
        <v>66061.3079462577</v>
      </c>
      <c r="O182" s="31"/>
      <c r="P182" s="31"/>
      <c r="Q182" s="153"/>
      <c r="S182" s="22" t="n">
        <f aca="false">(S167*T59)+W185-W179-S185</f>
        <v>17080.8782865901</v>
      </c>
      <c r="T182" s="23" t="n">
        <f aca="false">T114</f>
        <v>199.99</v>
      </c>
      <c r="U182" s="23"/>
      <c r="V182" s="31"/>
      <c r="W182" s="23" t="n">
        <f aca="false">W179+S182+T182+S185</f>
        <v>75967.3061365901</v>
      </c>
      <c r="X182" s="31"/>
      <c r="Y182" s="31"/>
      <c r="Z182" s="153"/>
      <c r="AB182" s="22" t="n">
        <f aca="false">(AB167*AC59)+AF185-AF179-AB185</f>
        <v>12320.3415201198</v>
      </c>
      <c r="AC182" s="23" t="n">
        <f aca="false">AC114</f>
        <v>239.99</v>
      </c>
      <c r="AD182" s="23"/>
      <c r="AE182" s="31"/>
      <c r="AF182" s="23" t="n">
        <f aca="false">AF179+AB182+AC182+AB185</f>
        <v>48421.1165201198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151</v>
      </c>
      <c r="B184" s="14" t="s">
        <v>152</v>
      </c>
      <c r="C184" s="14"/>
      <c r="D184" s="31"/>
      <c r="E184" s="14" t="s">
        <v>153</v>
      </c>
      <c r="F184" s="31"/>
      <c r="G184" s="31"/>
      <c r="H184" s="12"/>
      <c r="J184" s="7" t="s">
        <v>151</v>
      </c>
      <c r="K184" s="14" t="s">
        <v>152</v>
      </c>
      <c r="L184" s="14"/>
      <c r="M184" s="31"/>
      <c r="N184" s="14" t="s">
        <v>153</v>
      </c>
      <c r="O184" s="31"/>
      <c r="P184" s="31"/>
      <c r="Q184" s="12"/>
      <c r="S184" s="7" t="s">
        <v>151</v>
      </c>
      <c r="T184" s="14" t="s">
        <v>152</v>
      </c>
      <c r="U184" s="14"/>
      <c r="V184" s="31"/>
      <c r="W184" s="14" t="s">
        <v>153</v>
      </c>
      <c r="X184" s="31"/>
      <c r="Y184" s="31"/>
      <c r="Z184" s="12"/>
      <c r="AB184" s="7" t="s">
        <v>151</v>
      </c>
      <c r="AC184" s="14" t="s">
        <v>152</v>
      </c>
      <c r="AD184" s="14"/>
      <c r="AE184" s="31"/>
      <c r="AF184" s="14" t="s">
        <v>153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199.99</v>
      </c>
      <c r="C185" s="23"/>
      <c r="D185" s="31"/>
      <c r="E185" s="23" t="n">
        <f aca="false">E170+A185</f>
        <v>27510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154</v>
      </c>
      <c r="B187" s="14" t="s">
        <v>155</v>
      </c>
      <c r="C187" s="14"/>
      <c r="D187" s="14"/>
      <c r="E187" s="26" t="s">
        <v>156</v>
      </c>
      <c r="F187" s="31"/>
      <c r="G187" s="31"/>
      <c r="H187" s="12"/>
      <c r="J187" s="7" t="s">
        <v>154</v>
      </c>
      <c r="K187" s="14" t="s">
        <v>155</v>
      </c>
      <c r="L187" s="14"/>
      <c r="M187" s="14"/>
      <c r="N187" s="26" t="s">
        <v>156</v>
      </c>
      <c r="O187" s="31"/>
      <c r="P187" s="31"/>
      <c r="Q187" s="12"/>
      <c r="S187" s="7" t="s">
        <v>154</v>
      </c>
      <c r="T187" s="14" t="s">
        <v>155</v>
      </c>
      <c r="U187" s="14"/>
      <c r="V187" s="14"/>
      <c r="W187" s="26" t="s">
        <v>156</v>
      </c>
      <c r="X187" s="154"/>
      <c r="Y187" s="154"/>
      <c r="Z187" s="12"/>
      <c r="AB187" s="7" t="s">
        <v>154</v>
      </c>
      <c r="AC187" s="14" t="s">
        <v>155</v>
      </c>
      <c r="AD187" s="14"/>
      <c r="AE187" s="14"/>
      <c r="AF187" s="26" t="s">
        <v>156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0.09864169952</v>
      </c>
      <c r="B188" s="23" t="n">
        <f aca="false">(G158*B67)/1.2</f>
        <v>307.355311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0.09864169952</v>
      </c>
      <c r="K188" s="23" t="n">
        <f aca="false">(P158*K67)/1.2</f>
        <v>1743.31475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487.770315416667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297.556541666667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157</v>
      </c>
      <c r="B190" s="26" t="s">
        <v>158</v>
      </c>
      <c r="C190" s="14"/>
      <c r="D190" s="14"/>
      <c r="E190" s="26" t="s">
        <v>159</v>
      </c>
      <c r="F190" s="31"/>
      <c r="G190" s="31"/>
      <c r="H190" s="12"/>
      <c r="J190" s="64" t="s">
        <v>157</v>
      </c>
      <c r="K190" s="26" t="s">
        <v>158</v>
      </c>
      <c r="L190" s="14"/>
      <c r="M190" s="14"/>
      <c r="N190" s="26" t="s">
        <v>159</v>
      </c>
      <c r="O190" s="31"/>
      <c r="P190" s="31"/>
      <c r="Q190" s="12"/>
      <c r="S190" s="64" t="s">
        <v>157</v>
      </c>
      <c r="T190" s="26" t="s">
        <v>158</v>
      </c>
      <c r="U190" s="14"/>
      <c r="V190" s="14"/>
      <c r="W190" s="26" t="s">
        <v>159</v>
      </c>
      <c r="X190" s="154"/>
      <c r="Y190" s="154"/>
      <c r="Z190" s="12"/>
      <c r="AB190" s="64" t="s">
        <v>157</v>
      </c>
      <c r="AC190" s="26" t="s">
        <v>158</v>
      </c>
      <c r="AD190" s="14"/>
      <c r="AE190" s="14"/>
      <c r="AF190" s="26" t="s">
        <v>159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99.99</v>
      </c>
      <c r="B191" s="23" t="n">
        <f aca="false">B188+E188+A191</f>
        <v>427.945311</v>
      </c>
      <c r="C191" s="14"/>
      <c r="D191" s="14"/>
      <c r="E191" s="23" t="n">
        <f aca="false">H148</f>
        <v>-22283.81376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2914.20475</v>
      </c>
      <c r="L191" s="14"/>
      <c r="M191" s="14"/>
      <c r="N191" s="23" t="n">
        <f aca="false">Q148</f>
        <v>-22283.81376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1608.36031541667</v>
      </c>
      <c r="U191" s="14"/>
      <c r="V191" s="14"/>
      <c r="W191" s="23" t="n">
        <f aca="false">Z148</f>
        <v>8355.58809000001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1458.14654166667</v>
      </c>
      <c r="AD191" s="14"/>
      <c r="AE191" s="14"/>
      <c r="AF191" s="23" t="n">
        <f aca="false">AI148</f>
        <v>-14470.06476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160</v>
      </c>
      <c r="B193" s="14"/>
      <c r="C193" s="14"/>
      <c r="D193" s="70"/>
      <c r="E193" s="70"/>
      <c r="F193" s="70"/>
      <c r="G193" s="70"/>
      <c r="H193" s="71"/>
      <c r="J193" s="69" t="s">
        <v>160</v>
      </c>
      <c r="K193" s="14"/>
      <c r="L193" s="14"/>
      <c r="M193" s="70"/>
      <c r="N193" s="70"/>
      <c r="O193" s="70"/>
      <c r="P193" s="70"/>
      <c r="Q193" s="71"/>
      <c r="S193" s="69" t="s">
        <v>160</v>
      </c>
      <c r="T193" s="14"/>
      <c r="U193" s="14"/>
      <c r="V193" s="70"/>
      <c r="W193" s="70"/>
      <c r="X193" s="70"/>
      <c r="Y193" s="70"/>
      <c r="Z193" s="71"/>
      <c r="AB193" s="69" t="s">
        <v>160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39</v>
      </c>
      <c r="B195" s="75" t="s">
        <v>40</v>
      </c>
      <c r="C195" s="75"/>
      <c r="D195" s="75"/>
      <c r="E195" s="31"/>
      <c r="F195" s="31"/>
      <c r="G195" s="31"/>
      <c r="H195" s="12"/>
      <c r="J195" s="74" t="s">
        <v>39</v>
      </c>
      <c r="K195" s="75" t="s">
        <v>40</v>
      </c>
      <c r="L195" s="75"/>
      <c r="M195" s="75"/>
      <c r="N195" s="31"/>
      <c r="O195" s="31"/>
      <c r="P195" s="31"/>
      <c r="Q195" s="12"/>
      <c r="S195" s="74" t="s">
        <v>39</v>
      </c>
      <c r="T195" s="75" t="s">
        <v>40</v>
      </c>
      <c r="U195" s="75"/>
      <c r="V195" s="75"/>
      <c r="W195" s="31"/>
      <c r="X195" s="31"/>
      <c r="Y195" s="31"/>
      <c r="Z195" s="12"/>
      <c r="AB195" s="74" t="s">
        <v>39</v>
      </c>
      <c r="AC195" s="75" t="s">
        <v>40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str">
        <f aca="false">B30</f>
        <v>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B29</f>
        <v>0</v>
      </c>
      <c r="B197" s="78" t="n">
        <f aca="false">B96</f>
        <v>949.838582890833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1138.95670322641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1414.09474675972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632.980757717708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8" colorId="64" zoomScale="75" zoomScaleNormal="75" zoomScalePageLayoutView="100" workbookViewId="0">
      <selection pane="topLeft" activeCell="B94" activeCellId="0" sqref="B94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15</v>
      </c>
      <c r="C4" s="10" t="n">
        <v>0</v>
      </c>
      <c r="D4" s="10" t="n">
        <v>0</v>
      </c>
      <c r="E4" s="10"/>
      <c r="F4" s="10" t="n">
        <v>9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52</v>
      </c>
      <c r="C5" s="8" t="n">
        <v>0</v>
      </c>
      <c r="D5" s="8" t="n">
        <v>0</v>
      </c>
      <c r="E5" s="8"/>
      <c r="F5" s="8" t="n">
        <v>15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7080.1255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89.9997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39774.0445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743.3303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39774.0445</v>
      </c>
      <c r="F9" s="15"/>
      <c r="G9" s="16"/>
      <c r="H9" s="17" t="n">
        <f aca="false">B7+D7+F7+H3</f>
        <v>40517.3748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8113.47496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49320.84976</v>
      </c>
      <c r="I15" s="2"/>
      <c r="J15" s="20" t="n">
        <f aca="false">H15</f>
        <v>49320.84976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120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49176.84976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25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39" t="s">
        <v>35</v>
      </c>
      <c r="K29" s="44" t="n">
        <v>36</v>
      </c>
      <c r="P29" s="32"/>
    </row>
    <row r="30" customFormat="false" ht="17.9" hidden="false" customHeight="false" outlineLevel="0" collapsed="false">
      <c r="A30" s="7" t="s">
        <v>36</v>
      </c>
      <c r="B30" s="45" t="s">
        <v>161</v>
      </c>
      <c r="C30" s="45"/>
      <c r="D30" s="45"/>
      <c r="E30" s="14"/>
      <c r="F30" s="14"/>
      <c r="G30" s="14"/>
      <c r="H30" s="12" t="n">
        <v>10000</v>
      </c>
      <c r="I30" s="14"/>
      <c r="J30" s="39" t="s">
        <v>37</v>
      </c>
      <c r="K30" s="4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39" t="s">
        <v>38</v>
      </c>
      <c r="K31" s="47" t="n">
        <v>27500</v>
      </c>
      <c r="P31" s="32"/>
    </row>
    <row r="32" customFormat="false" ht="34.8" hidden="false" customHeight="false" outlineLevel="0" collapsed="false">
      <c r="A32" s="7" t="s">
        <v>39</v>
      </c>
      <c r="B32" s="14" t="s">
        <v>40</v>
      </c>
      <c r="C32" s="14"/>
      <c r="D32" s="14"/>
      <c r="E32" s="14" t="s">
        <v>41</v>
      </c>
      <c r="F32" s="14"/>
      <c r="G32" s="14"/>
      <c r="H32" s="12"/>
      <c r="I32" s="2" t="n">
        <v>0</v>
      </c>
      <c r="J32" s="39" t="s">
        <v>42</v>
      </c>
      <c r="K32" s="47" t="n">
        <v>1030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712.772406008963</v>
      </c>
      <c r="F33" s="49"/>
      <c r="G33" s="49"/>
      <c r="H33" s="50"/>
      <c r="I33" s="2"/>
      <c r="J33" s="41" t="s">
        <v>43</v>
      </c>
      <c r="K33" s="51" t="n">
        <f aca="false">H21-H11+(H16*20%)</f>
        <v>41087.3748</v>
      </c>
      <c r="L33" s="1" t="n">
        <f aca="false">H21-H11+(H16*20%)</f>
        <v>41087.3748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44</v>
      </c>
      <c r="B35" s="14" t="s">
        <v>45</v>
      </c>
      <c r="C35" s="14"/>
      <c r="D35" s="32"/>
      <c r="E35" s="14" t="s">
        <v>46</v>
      </c>
      <c r="F35" s="52"/>
      <c r="G35" s="52"/>
      <c r="H35" s="50"/>
      <c r="I35" s="2"/>
      <c r="J35" s="53" t="s">
        <v>47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684.161294897852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48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49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50</v>
      </c>
      <c r="B39" s="14" t="s">
        <v>51</v>
      </c>
      <c r="C39" s="14"/>
      <c r="D39" s="32"/>
      <c r="E39" s="14" t="s">
        <v>52</v>
      </c>
      <c r="F39" s="52"/>
      <c r="G39" s="52"/>
      <c r="H39" s="50"/>
      <c r="J39" s="2" t="s">
        <v>53</v>
      </c>
      <c r="K39" s="2" t="n">
        <f aca="false">K33</f>
        <v>41087.3748</v>
      </c>
      <c r="L39" s="2" t="n">
        <f aca="false">(L47*K46)+K44</f>
        <v>43933.392151445</v>
      </c>
      <c r="N39" s="1" t="n">
        <f aca="false">K39-L39</f>
        <v>-2846.01735144504</v>
      </c>
      <c r="P39" s="32"/>
    </row>
    <row r="40" customFormat="false" ht="17.35" hidden="false" customHeight="false" outlineLevel="0" collapsed="false">
      <c r="A40" s="58" t="n">
        <f aca="false">E36*A45/100</f>
        <v>27500</v>
      </c>
      <c r="B40" s="58" t="n">
        <f aca="false">IF(B26="YES", K42, "0.00")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54</v>
      </c>
      <c r="K40" s="2" t="n">
        <f aca="false">(A40)/1.2</f>
        <v>22916.6666666667</v>
      </c>
      <c r="L40" s="2" t="n">
        <f aca="false">K39-L39</f>
        <v>-2846.01735144504</v>
      </c>
      <c r="N40" s="1" t="n">
        <f aca="false">N38-N39</f>
        <v>5757.69735144504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55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56</v>
      </c>
      <c r="K42" s="2" t="n">
        <f aca="false">(K32/K36/100)*C45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57</v>
      </c>
      <c r="K43" s="2"/>
      <c r="L43" s="2"/>
      <c r="P43" s="32"/>
    </row>
    <row r="44" customFormat="false" ht="17.35" hidden="false" customHeight="false" outlineLevel="0" collapsed="false">
      <c r="A44" s="64" t="s">
        <v>58</v>
      </c>
      <c r="B44" s="14"/>
      <c r="C44" s="65" t="s">
        <v>59</v>
      </c>
      <c r="D44" s="65"/>
      <c r="E44" s="14"/>
      <c r="F44" s="14"/>
      <c r="G44" s="14"/>
      <c r="H44" s="12"/>
      <c r="J44" s="2" t="s">
        <v>60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155" t="s">
        <v>162</v>
      </c>
      <c r="B45" s="14"/>
      <c r="C45" s="67" t="s">
        <v>162</v>
      </c>
      <c r="D45" s="67"/>
      <c r="E45" s="67"/>
      <c r="F45" s="14"/>
      <c r="G45" s="14"/>
      <c r="H45" s="12"/>
      <c r="J45" s="2" t="s">
        <v>61</v>
      </c>
      <c r="K45" s="2" t="n">
        <f aca="false">(K39-K44)</f>
        <v>22322.4650294319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62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63</v>
      </c>
      <c r="K47" s="2" t="n">
        <f aca="false">K45/K46</f>
        <v>684.161294897852</v>
      </c>
      <c r="L47" s="2" t="n">
        <f aca="false">L49-K42</f>
        <v>771.388888888889</v>
      </c>
      <c r="M47" s="1" t="n">
        <f aca="false">K47-L47</f>
        <v>-87.2275939910366</v>
      </c>
      <c r="P47" s="32"/>
    </row>
    <row r="48" customFormat="false" ht="31.8" hidden="false" customHeight="false" outlineLevel="0" collapsed="false">
      <c r="A48" s="69" t="s">
        <v>64</v>
      </c>
      <c r="B48" s="14"/>
      <c r="C48" s="14"/>
      <c r="D48" s="70"/>
      <c r="E48" s="70"/>
      <c r="F48" s="70"/>
      <c r="G48" s="70"/>
      <c r="H48" s="71"/>
      <c r="J48" s="72" t="s">
        <v>65</v>
      </c>
      <c r="K48" s="2" t="n">
        <f aca="false">IF(B26="YES", K47+K42, K47)</f>
        <v>712.772406008963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66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39</v>
      </c>
      <c r="B50" s="75" t="s">
        <v>40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712.772406008963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53</v>
      </c>
      <c r="B58" s="14" t="n">
        <v>1</v>
      </c>
      <c r="C58" s="14"/>
      <c r="D58" s="14"/>
      <c r="E58" s="80"/>
      <c r="F58" s="80"/>
      <c r="G58" s="80"/>
      <c r="H58" s="12"/>
      <c r="J58" s="7" t="s">
        <v>53</v>
      </c>
      <c r="K58" s="14" t="n">
        <v>1</v>
      </c>
      <c r="L58" s="14"/>
      <c r="M58" s="14"/>
      <c r="N58" s="80"/>
      <c r="O58" s="80"/>
      <c r="P58" s="80"/>
      <c r="Q58" s="12"/>
      <c r="S58" s="7" t="s">
        <v>53</v>
      </c>
      <c r="T58" s="14" t="n">
        <v>1</v>
      </c>
      <c r="U58" s="14"/>
      <c r="V58" s="14"/>
      <c r="W58" s="80"/>
      <c r="X58" s="80"/>
      <c r="Y58" s="80"/>
      <c r="Z58" s="12"/>
      <c r="AB58" s="7" t="s">
        <v>53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67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67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67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67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68</v>
      </c>
      <c r="B60" s="82" t="n">
        <v>10</v>
      </c>
      <c r="C60" s="14"/>
      <c r="D60" s="14"/>
      <c r="E60" s="80"/>
      <c r="F60" s="80"/>
      <c r="G60" s="80"/>
      <c r="H60" s="12"/>
      <c r="J60" s="81" t="s">
        <v>68</v>
      </c>
      <c r="K60" s="82" t="n">
        <v>20</v>
      </c>
      <c r="L60" s="14"/>
      <c r="M60" s="14"/>
      <c r="N60" s="80"/>
      <c r="O60" s="80"/>
      <c r="P60" s="80"/>
      <c r="Q60" s="12"/>
      <c r="S60" s="81" t="s">
        <v>68</v>
      </c>
      <c r="T60" s="82" t="n">
        <v>10</v>
      </c>
      <c r="U60" s="14"/>
      <c r="V60" s="14"/>
      <c r="W60" s="80"/>
      <c r="X60" s="80"/>
      <c r="Y60" s="80"/>
      <c r="Z60" s="12"/>
      <c r="AB60" s="81" t="s">
        <v>68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69</v>
      </c>
      <c r="B62" s="84" t="n">
        <v>0</v>
      </c>
      <c r="C62" s="14"/>
      <c r="D62" s="14"/>
      <c r="E62" s="80"/>
      <c r="F62" s="80"/>
      <c r="G62" s="80"/>
      <c r="H62" s="12"/>
      <c r="J62" s="83" t="s">
        <v>69</v>
      </c>
      <c r="K62" s="84" t="n">
        <v>0.06</v>
      </c>
      <c r="L62" s="14"/>
      <c r="M62" s="14"/>
      <c r="N62" s="80"/>
      <c r="O62" s="80"/>
      <c r="P62" s="80"/>
      <c r="Q62" s="12"/>
      <c r="S62" s="83" t="s">
        <v>69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69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70</v>
      </c>
      <c r="B63" s="85" t="n">
        <v>0.065</v>
      </c>
      <c r="C63" s="14"/>
      <c r="D63" s="14"/>
      <c r="E63" s="80"/>
      <c r="F63" s="80"/>
      <c r="G63" s="80"/>
      <c r="H63" s="12"/>
      <c r="J63" s="4" t="s">
        <v>70</v>
      </c>
      <c r="K63" s="85" t="n">
        <v>0.08</v>
      </c>
      <c r="L63" s="14"/>
      <c r="M63" s="14"/>
      <c r="N63" s="80"/>
      <c r="O63" s="80"/>
      <c r="P63" s="80"/>
      <c r="Q63" s="12"/>
      <c r="S63" s="4" t="s">
        <v>70</v>
      </c>
      <c r="T63" s="85" t="n">
        <v>0.059</v>
      </c>
      <c r="U63" s="14"/>
      <c r="V63" s="14"/>
      <c r="W63" s="80"/>
      <c r="X63" s="80"/>
      <c r="Y63" s="80"/>
      <c r="Z63" s="12"/>
      <c r="AB63" s="4" t="s">
        <v>70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71</v>
      </c>
      <c r="B64" s="87" t="n">
        <v>0.024</v>
      </c>
      <c r="C64" s="14"/>
      <c r="D64" s="14"/>
      <c r="E64" s="80"/>
      <c r="F64" s="80"/>
      <c r="G64" s="80"/>
      <c r="H64" s="12"/>
      <c r="J64" s="86" t="s">
        <v>71</v>
      </c>
      <c r="K64" s="87" t="n">
        <v>0.1</v>
      </c>
      <c r="L64" s="14"/>
      <c r="M64" s="14"/>
      <c r="N64" s="80"/>
      <c r="O64" s="80"/>
      <c r="P64" s="80"/>
      <c r="Q64" s="12"/>
      <c r="S64" s="86" t="s">
        <v>71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71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72</v>
      </c>
      <c r="B65" s="68" t="n">
        <f aca="false">(B89*B59)-(K47*K29)</f>
        <v>28578.7380275427</v>
      </c>
      <c r="C65" s="14"/>
      <c r="D65" s="14"/>
      <c r="E65" s="80"/>
      <c r="F65" s="80"/>
      <c r="G65" s="80"/>
      <c r="H65" s="12"/>
      <c r="J65" s="60" t="s">
        <v>72</v>
      </c>
      <c r="K65" s="68" t="n">
        <f aca="false">(K89*K59)-(K47*K29)</f>
        <v>13671.511329935</v>
      </c>
      <c r="L65" s="14"/>
      <c r="M65" s="14"/>
      <c r="N65" s="80"/>
      <c r="O65" s="80"/>
      <c r="P65" s="80"/>
      <c r="Q65" s="12"/>
      <c r="S65" s="60" t="s">
        <v>72</v>
      </c>
      <c r="T65" s="68" t="n">
        <f aca="false">(T89*T59)-(K47*K29)</f>
        <v>23627.5095202674</v>
      </c>
      <c r="U65" s="14"/>
      <c r="V65" s="14"/>
      <c r="W65" s="80"/>
      <c r="X65" s="80"/>
      <c r="Y65" s="80"/>
      <c r="Z65" s="12"/>
      <c r="AB65" s="60" t="s">
        <v>72</v>
      </c>
      <c r="AC65" s="68" t="n">
        <f aca="false">(AC89*AC59)-(K47*K29)</f>
        <v>-3958.68009620292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73</v>
      </c>
      <c r="B66" s="84" t="n">
        <v>0.01</v>
      </c>
      <c r="C66" s="14"/>
      <c r="D66" s="14"/>
      <c r="E66" s="80"/>
      <c r="F66" s="80"/>
      <c r="G66" s="80"/>
      <c r="H66" s="12"/>
      <c r="J66" s="83" t="s">
        <v>73</v>
      </c>
      <c r="K66" s="84" t="n">
        <v>0.05</v>
      </c>
      <c r="L66" s="14"/>
      <c r="M66" s="14"/>
      <c r="N66" s="80"/>
      <c r="O66" s="80"/>
      <c r="P66" s="80"/>
      <c r="Q66" s="12"/>
      <c r="S66" s="83" t="s">
        <v>73</v>
      </c>
      <c r="T66" s="84" t="n">
        <v>0.005</v>
      </c>
      <c r="U66" s="14"/>
      <c r="V66" s="14"/>
      <c r="W66" s="80"/>
      <c r="X66" s="80"/>
      <c r="Y66" s="80"/>
      <c r="Z66" s="12"/>
      <c r="AB66" s="83" t="s">
        <v>73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74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74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74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74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75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75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75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75</v>
      </c>
      <c r="AC68" s="68" t="n">
        <f aca="false">AH158*AC67</f>
        <v>357.06785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76</v>
      </c>
      <c r="B69" s="84" t="n">
        <v>0</v>
      </c>
      <c r="C69" s="14"/>
      <c r="D69" s="14"/>
      <c r="E69" s="80"/>
      <c r="F69" s="80"/>
      <c r="G69" s="80"/>
      <c r="H69" s="12"/>
      <c r="J69" s="83" t="s">
        <v>76</v>
      </c>
      <c r="K69" s="84" t="n">
        <v>0</v>
      </c>
      <c r="L69" s="14"/>
      <c r="M69" s="14"/>
      <c r="N69" s="80"/>
      <c r="O69" s="80"/>
      <c r="P69" s="80"/>
      <c r="Q69" s="12"/>
      <c r="S69" s="83" t="s">
        <v>76</v>
      </c>
      <c r="T69" s="84" t="n">
        <v>0</v>
      </c>
      <c r="U69" s="14"/>
      <c r="V69" s="14"/>
      <c r="W69" s="80"/>
      <c r="X69" s="80"/>
      <c r="Y69" s="80"/>
      <c r="Z69" s="12"/>
      <c r="AB69" s="83" t="s">
        <v>76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77</v>
      </c>
      <c r="B70" s="85" t="n">
        <v>0</v>
      </c>
      <c r="C70" s="14"/>
      <c r="D70" s="14"/>
      <c r="E70" s="80"/>
      <c r="F70" s="80"/>
      <c r="G70" s="80"/>
      <c r="H70" s="12"/>
      <c r="J70" s="4" t="s">
        <v>77</v>
      </c>
      <c r="K70" s="85" t="n">
        <v>0</v>
      </c>
      <c r="L70" s="14"/>
      <c r="M70" s="14"/>
      <c r="N70" s="80"/>
      <c r="O70" s="80"/>
      <c r="P70" s="80"/>
      <c r="Q70" s="12"/>
      <c r="S70" s="4" t="s">
        <v>77</v>
      </c>
      <c r="T70" s="85" t="n">
        <v>0</v>
      </c>
      <c r="U70" s="14"/>
      <c r="V70" s="14"/>
      <c r="W70" s="80"/>
      <c r="X70" s="80"/>
      <c r="Y70" s="80"/>
      <c r="Z70" s="12"/>
      <c r="AB70" s="4" t="s">
        <v>77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78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78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78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78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79</v>
      </c>
      <c r="B72" s="90" t="n">
        <v>0</v>
      </c>
      <c r="C72" s="14"/>
      <c r="D72" s="14"/>
      <c r="E72" s="80"/>
      <c r="F72" s="80"/>
      <c r="G72" s="80"/>
      <c r="H72" s="12"/>
      <c r="J72" s="83" t="s">
        <v>79</v>
      </c>
      <c r="K72" s="90" t="n">
        <v>0</v>
      </c>
      <c r="L72" s="14"/>
      <c r="M72" s="14"/>
      <c r="N72" s="80"/>
      <c r="O72" s="80"/>
      <c r="P72" s="80"/>
      <c r="Q72" s="12"/>
      <c r="S72" s="83" t="s">
        <v>79</v>
      </c>
      <c r="T72" s="90" t="n">
        <v>0</v>
      </c>
      <c r="U72" s="14"/>
      <c r="V72" s="14"/>
      <c r="W72" s="80"/>
      <c r="X72" s="80"/>
      <c r="Y72" s="80"/>
      <c r="Z72" s="12"/>
      <c r="AB72" s="83" t="s">
        <v>79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80</v>
      </c>
      <c r="B73" s="82" t="n">
        <v>0</v>
      </c>
      <c r="C73" s="14"/>
      <c r="D73" s="14"/>
      <c r="E73" s="80"/>
      <c r="F73" s="80"/>
      <c r="G73" s="80"/>
      <c r="H73" s="12"/>
      <c r="J73" s="4" t="s">
        <v>80</v>
      </c>
      <c r="K73" s="82" t="n">
        <v>0</v>
      </c>
      <c r="L73" s="14"/>
      <c r="M73" s="14"/>
      <c r="N73" s="80"/>
      <c r="O73" s="80"/>
      <c r="P73" s="80"/>
      <c r="Q73" s="12"/>
      <c r="S73" s="4" t="s">
        <v>80</v>
      </c>
      <c r="T73" s="82" t="n">
        <v>0</v>
      </c>
      <c r="U73" s="14"/>
      <c r="V73" s="14"/>
      <c r="W73" s="80"/>
      <c r="X73" s="80"/>
      <c r="Y73" s="80"/>
      <c r="Z73" s="12"/>
      <c r="AB73" s="4" t="s">
        <v>80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81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81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81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81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82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82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82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82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83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83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83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83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84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84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84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84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85</v>
      </c>
      <c r="B78" s="12" t="n">
        <f aca="false">B77/H29</f>
        <v>0</v>
      </c>
      <c r="C78" s="14"/>
      <c r="D78" s="14"/>
      <c r="E78" s="80"/>
      <c r="F78" s="80"/>
      <c r="G78" s="80"/>
      <c r="H78" s="12"/>
      <c r="J78" s="7" t="s">
        <v>85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85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85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86</v>
      </c>
      <c r="B79" s="63" t="n">
        <f aca="false">K47</f>
        <v>684.161294897852</v>
      </c>
      <c r="C79" s="14"/>
      <c r="D79" s="14"/>
      <c r="E79" s="80"/>
      <c r="F79" s="80"/>
      <c r="G79" s="80"/>
      <c r="H79" s="12"/>
      <c r="J79" s="94" t="s">
        <v>86</v>
      </c>
      <c r="K79" s="63" t="n">
        <f aca="false">K47</f>
        <v>684.161294897852</v>
      </c>
      <c r="L79" s="14"/>
      <c r="M79" s="14"/>
      <c r="N79" s="80"/>
      <c r="O79" s="80"/>
      <c r="P79" s="80"/>
      <c r="Q79" s="12"/>
      <c r="S79" s="94" t="s">
        <v>86</v>
      </c>
      <c r="T79" s="63" t="n">
        <f aca="false">B52</f>
        <v>712.772406008963</v>
      </c>
      <c r="U79" s="14"/>
      <c r="V79" s="14"/>
      <c r="W79" s="80"/>
      <c r="X79" s="80"/>
      <c r="Y79" s="80"/>
      <c r="Z79" s="12"/>
      <c r="AB79" s="94" t="s">
        <v>86</v>
      </c>
      <c r="AC79" s="63" t="n">
        <f aca="false">B52</f>
        <v>712.772406008963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87</v>
      </c>
      <c r="B81" s="36" t="n">
        <f aca="false">G158</f>
        <v>47876.86176</v>
      </c>
      <c r="C81" s="14"/>
      <c r="D81" s="14"/>
      <c r="E81" s="80"/>
      <c r="F81" s="80"/>
      <c r="G81" s="80"/>
      <c r="H81" s="12"/>
      <c r="J81" s="34" t="s">
        <v>87</v>
      </c>
      <c r="K81" s="36" t="n">
        <f aca="false">P158</f>
        <v>27893.036</v>
      </c>
      <c r="L81" s="14"/>
      <c r="M81" s="14"/>
      <c r="N81" s="80"/>
      <c r="O81" s="80"/>
      <c r="P81" s="80"/>
      <c r="Q81" s="12"/>
      <c r="S81" s="34" t="s">
        <v>87</v>
      </c>
      <c r="T81" s="36" t="n">
        <f aca="false">Y158</f>
        <v>58532.43785</v>
      </c>
      <c r="U81" s="14"/>
      <c r="V81" s="14"/>
      <c r="W81" s="80"/>
      <c r="X81" s="80"/>
      <c r="Y81" s="80"/>
      <c r="Z81" s="12"/>
      <c r="AB81" s="34" t="s">
        <v>87</v>
      </c>
      <c r="AC81" s="36" t="n">
        <f aca="false">AH158</f>
        <v>35706.785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54</v>
      </c>
      <c r="B82" s="12" t="n">
        <f aca="false">IF(A111 = "YES", A40, 0)</f>
        <v>0</v>
      </c>
      <c r="C82" s="14"/>
      <c r="D82" s="14"/>
      <c r="E82" s="80"/>
      <c r="F82" s="80"/>
      <c r="G82" s="80"/>
      <c r="H82" s="12"/>
      <c r="J82" s="7" t="s">
        <v>54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54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54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88</v>
      </c>
      <c r="B83" s="88" t="n">
        <f aca="false">B62+B63+B64</f>
        <v>0.089</v>
      </c>
      <c r="C83" s="14"/>
      <c r="D83" s="14"/>
      <c r="E83" s="80"/>
      <c r="F83" s="80"/>
      <c r="G83" s="80"/>
      <c r="H83" s="12"/>
      <c r="J83" s="7" t="s">
        <v>88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88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88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89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89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89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89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90</v>
      </c>
      <c r="B85" s="12" t="n">
        <f aca="false">IF(B82=0, (B59+B58), (B59))</f>
        <v>36</v>
      </c>
      <c r="C85" s="14"/>
      <c r="D85" s="14"/>
      <c r="E85" s="80"/>
      <c r="F85" s="80"/>
      <c r="G85" s="80"/>
      <c r="H85" s="12"/>
      <c r="J85" s="7" t="s">
        <v>90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90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90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91</v>
      </c>
      <c r="B86" s="12" t="n">
        <f aca="false">(B82/((1+B84)^(B85+1)))</f>
        <v>0</v>
      </c>
      <c r="C86" s="14"/>
      <c r="D86" s="14"/>
      <c r="E86" s="80"/>
      <c r="F86" s="80"/>
      <c r="G86" s="80"/>
      <c r="H86" s="12"/>
      <c r="J86" s="7" t="s">
        <v>91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91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91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92</v>
      </c>
      <c r="B87" s="12" t="n">
        <f aca="false">((1-(1/((1+B84)^B85)))/B84)</f>
        <v>31.4928771838377</v>
      </c>
      <c r="C87" s="14"/>
      <c r="D87" s="14"/>
      <c r="E87" s="80"/>
      <c r="F87" s="80"/>
      <c r="G87" s="80"/>
      <c r="H87" s="12"/>
      <c r="J87" s="7" t="s">
        <v>92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92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92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93</v>
      </c>
      <c r="B88" s="12" t="n">
        <f aca="false">B81-B86</f>
        <v>47876.86176</v>
      </c>
      <c r="C88" s="14"/>
      <c r="D88" s="14"/>
      <c r="E88" s="80"/>
      <c r="F88" s="80"/>
      <c r="G88" s="80"/>
      <c r="H88" s="12"/>
      <c r="J88" s="7" t="s">
        <v>93</v>
      </c>
      <c r="K88" s="12" t="n">
        <f aca="false">K81-K86</f>
        <v>27893.036</v>
      </c>
      <c r="L88" s="14"/>
      <c r="M88" s="14"/>
      <c r="N88" s="80"/>
      <c r="O88" s="80"/>
      <c r="P88" s="80"/>
      <c r="Q88" s="12"/>
      <c r="S88" s="7" t="s">
        <v>93</v>
      </c>
      <c r="T88" s="12" t="n">
        <f aca="false">T81-T86</f>
        <v>39929.5720402377</v>
      </c>
      <c r="U88" s="14"/>
      <c r="V88" s="14"/>
      <c r="W88" s="80"/>
      <c r="X88" s="80"/>
      <c r="Y88" s="80"/>
      <c r="Z88" s="12"/>
      <c r="AB88" s="7" t="s">
        <v>93</v>
      </c>
      <c r="AC88" s="12" t="n">
        <f aca="false">AC81-AC86</f>
        <v>17103.9191902377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94</v>
      </c>
      <c r="B89" s="12" t="n">
        <f aca="false">(B88/B87)</f>
        <v>1520.24413268187</v>
      </c>
      <c r="C89" s="14"/>
      <c r="D89" s="14"/>
      <c r="E89" s="80"/>
      <c r="F89" s="80"/>
      <c r="G89" s="80"/>
      <c r="H89" s="12"/>
      <c r="J89" s="7" t="s">
        <v>94</v>
      </c>
      <c r="K89" s="12" t="n">
        <f aca="false">(K88/K87)</f>
        <v>1094.32336989308</v>
      </c>
      <c r="L89" s="14"/>
      <c r="M89" s="14"/>
      <c r="N89" s="80"/>
      <c r="O89" s="80"/>
      <c r="P89" s="80"/>
      <c r="Q89" s="12"/>
      <c r="S89" s="7" t="s">
        <v>94</v>
      </c>
      <c r="T89" s="12" t="n">
        <f aca="false">(T88/T87)</f>
        <v>1378.78046104543</v>
      </c>
      <c r="U89" s="14"/>
      <c r="V89" s="14"/>
      <c r="W89" s="80"/>
      <c r="X89" s="80"/>
      <c r="Y89" s="80"/>
      <c r="Z89" s="12"/>
      <c r="AB89" s="7" t="s">
        <v>94</v>
      </c>
      <c r="AC89" s="12" t="n">
        <f aca="false">(AC88/AC87)</f>
        <v>590.603614860565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95</v>
      </c>
      <c r="B90" s="12" t="n">
        <f aca="false">((B89*(B85))+B77)</f>
        <v>54728.7887765472</v>
      </c>
      <c r="C90" s="14"/>
      <c r="D90" s="14"/>
      <c r="E90" s="80"/>
      <c r="F90" s="80"/>
      <c r="G90" s="80"/>
      <c r="H90" s="12"/>
      <c r="J90" s="7" t="s">
        <v>95</v>
      </c>
      <c r="K90" s="12" t="n">
        <f aca="false">((K89*(K85))+K77)</f>
        <v>39395.6413161508</v>
      </c>
      <c r="L90" s="14"/>
      <c r="M90" s="14"/>
      <c r="N90" s="80"/>
      <c r="O90" s="80"/>
      <c r="P90" s="80"/>
      <c r="Q90" s="12"/>
      <c r="S90" s="7" t="s">
        <v>95</v>
      </c>
      <c r="T90" s="12" t="n">
        <f aca="false">(T89*(T85))+T77</f>
        <v>48257.3161365901</v>
      </c>
      <c r="U90" s="14"/>
      <c r="V90" s="14"/>
      <c r="W90" s="80"/>
      <c r="X90" s="80"/>
      <c r="Y90" s="80"/>
      <c r="Z90" s="12"/>
      <c r="AB90" s="7" t="s">
        <v>95</v>
      </c>
      <c r="AC90" s="12" t="n">
        <f aca="false">(AC89*(AC59))+AC77</f>
        <v>20671.1265201198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96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96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96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96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97</v>
      </c>
      <c r="B92" s="68" t="n">
        <f aca="false">(B90+B91)</f>
        <v>54728.7887765472</v>
      </c>
      <c r="C92" s="14"/>
      <c r="D92" s="14"/>
      <c r="E92" s="80"/>
      <c r="F92" s="80"/>
      <c r="G92" s="80"/>
      <c r="H92" s="12"/>
      <c r="J92" s="60" t="s">
        <v>97</v>
      </c>
      <c r="K92" s="68" t="n">
        <f aca="false">(K90+K91)</f>
        <v>39395.6413161508</v>
      </c>
      <c r="L92" s="14"/>
      <c r="M92" s="14"/>
      <c r="N92" s="80"/>
      <c r="O92" s="80"/>
      <c r="P92" s="80"/>
      <c r="Q92" s="12"/>
      <c r="S92" s="60" t="s">
        <v>97</v>
      </c>
      <c r="T92" s="68" t="n">
        <f aca="false">(T90+T91)</f>
        <v>48257.3161365901</v>
      </c>
      <c r="U92" s="14"/>
      <c r="V92" s="14"/>
      <c r="W92" s="80"/>
      <c r="X92" s="80"/>
      <c r="Y92" s="80"/>
      <c r="Z92" s="12"/>
      <c r="AB92" s="60" t="s">
        <v>97</v>
      </c>
      <c r="AC92" s="68" t="n">
        <f aca="false">(AC90+AC91)</f>
        <v>20671.1265201198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98</v>
      </c>
      <c r="B94" s="93" t="n">
        <f aca="false">IF(B26="YES",((E40/B85)*(1+A108)*1.2),"0")</f>
        <v>41.2</v>
      </c>
      <c r="C94" s="14"/>
      <c r="D94" s="14"/>
      <c r="E94" s="80"/>
      <c r="F94" s="80"/>
      <c r="G94" s="80"/>
      <c r="H94" s="12"/>
      <c r="J94" s="92" t="s">
        <v>98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98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98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99</v>
      </c>
      <c r="B95" s="96" t="n">
        <f aca="false">B92/(B85)</f>
        <v>1520.24413268187</v>
      </c>
      <c r="C95" s="14"/>
      <c r="D95" s="14"/>
      <c r="E95" s="80"/>
      <c r="F95" s="80"/>
      <c r="G95" s="80"/>
      <c r="H95" s="12"/>
      <c r="J95" s="95" t="s">
        <v>99</v>
      </c>
      <c r="K95" s="96" t="n">
        <f aca="false">K92/(K85)</f>
        <v>1094.32336989308</v>
      </c>
      <c r="L95" s="14"/>
      <c r="M95" s="14"/>
      <c r="N95" s="80"/>
      <c r="O95" s="80"/>
      <c r="P95" s="80"/>
      <c r="Q95" s="12"/>
      <c r="S95" s="95" t="s">
        <v>99</v>
      </c>
      <c r="T95" s="96" t="n">
        <f aca="false">T92/(T85)</f>
        <v>1378.78046104543</v>
      </c>
      <c r="U95" s="14"/>
      <c r="V95" s="14"/>
      <c r="W95" s="80"/>
      <c r="X95" s="80"/>
      <c r="Y95" s="80"/>
      <c r="Z95" s="12"/>
      <c r="AB95" s="95" t="s">
        <v>99</v>
      </c>
      <c r="AC95" s="96" t="n">
        <f aca="false">AC92/(AC59)</f>
        <v>590.603614860565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100</v>
      </c>
      <c r="B96" s="98" t="n">
        <f aca="false">(B94+B95)</f>
        <v>1561.44413268187</v>
      </c>
      <c r="C96" s="14"/>
      <c r="D96" s="14"/>
      <c r="E96" s="80"/>
      <c r="F96" s="80"/>
      <c r="G96" s="80"/>
      <c r="H96" s="12"/>
      <c r="J96" s="97" t="s">
        <v>100</v>
      </c>
      <c r="K96" s="98" t="n">
        <f aca="false">(K94+K95)</f>
        <v>1138.95670322641</v>
      </c>
      <c r="L96" s="14"/>
      <c r="M96" s="14"/>
      <c r="N96" s="80"/>
      <c r="O96" s="80"/>
      <c r="P96" s="80"/>
      <c r="Q96" s="12"/>
      <c r="S96" s="97" t="s">
        <v>100</v>
      </c>
      <c r="T96" s="98" t="n">
        <f aca="false">T94+T95</f>
        <v>1414.09474675972</v>
      </c>
      <c r="U96" s="14"/>
      <c r="V96" s="14"/>
      <c r="W96" s="80"/>
      <c r="X96" s="80"/>
      <c r="Y96" s="80"/>
      <c r="Z96" s="12"/>
      <c r="AB96" s="97" t="s">
        <v>100</v>
      </c>
      <c r="AC96" s="98" t="n">
        <f aca="false">AC94+AC95</f>
        <v>632.980757717708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102</v>
      </c>
      <c r="B100" s="3"/>
      <c r="C100" s="3"/>
      <c r="D100" s="3"/>
      <c r="E100" s="3"/>
      <c r="F100" s="3"/>
      <c r="G100" s="3"/>
      <c r="H100" s="3"/>
      <c r="J100" s="3" t="s">
        <v>102</v>
      </c>
      <c r="K100" s="3"/>
      <c r="L100" s="3"/>
      <c r="M100" s="3"/>
      <c r="N100" s="3"/>
      <c r="O100" s="3"/>
      <c r="P100" s="3"/>
      <c r="Q100" s="3"/>
      <c r="S100" s="3" t="s">
        <v>103</v>
      </c>
      <c r="T100" s="3"/>
      <c r="U100" s="3"/>
      <c r="V100" s="3"/>
      <c r="W100" s="3"/>
      <c r="X100" s="3"/>
      <c r="Y100" s="3"/>
      <c r="Z100" s="3"/>
      <c r="AB100" s="3" t="s">
        <v>101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104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104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104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104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105</v>
      </c>
      <c r="B105" s="23" t="s">
        <v>106</v>
      </c>
      <c r="C105" s="23"/>
      <c r="D105" s="23"/>
      <c r="E105" s="45" t="s">
        <v>25</v>
      </c>
      <c r="F105" s="45"/>
      <c r="G105" s="45"/>
      <c r="H105" s="101"/>
      <c r="J105" s="37" t="s">
        <v>105</v>
      </c>
      <c r="K105" s="23" t="s">
        <v>106</v>
      </c>
      <c r="L105" s="23"/>
      <c r="M105" s="23"/>
      <c r="N105" s="45" t="s">
        <v>25</v>
      </c>
      <c r="O105" s="45"/>
      <c r="P105" s="45"/>
      <c r="Q105" s="101"/>
      <c r="S105" s="37" t="s">
        <v>105</v>
      </c>
      <c r="T105" s="23" t="s">
        <v>106</v>
      </c>
      <c r="U105" s="23"/>
      <c r="V105" s="23"/>
      <c r="W105" s="45" t="s">
        <v>25</v>
      </c>
      <c r="X105" s="45"/>
      <c r="Y105" s="45"/>
      <c r="Z105" s="101"/>
      <c r="AB105" s="37" t="s">
        <v>105</v>
      </c>
      <c r="AC105" s="23" t="s">
        <v>106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107</v>
      </c>
      <c r="B107" s="14" t="s">
        <v>108</v>
      </c>
      <c r="C107" s="14"/>
      <c r="D107" s="80"/>
      <c r="E107" s="14" t="s">
        <v>109</v>
      </c>
      <c r="F107" s="14"/>
      <c r="G107" s="80"/>
      <c r="H107" s="101"/>
      <c r="J107" s="7" t="s">
        <v>107</v>
      </c>
      <c r="K107" s="14" t="s">
        <v>108</v>
      </c>
      <c r="L107" s="14"/>
      <c r="M107" s="80"/>
      <c r="N107" s="14" t="s">
        <v>109</v>
      </c>
      <c r="O107" s="14"/>
      <c r="P107" s="80"/>
      <c r="Q107" s="101"/>
      <c r="S107" s="7" t="s">
        <v>107</v>
      </c>
      <c r="T107" s="14" t="s">
        <v>108</v>
      </c>
      <c r="U107" s="14"/>
      <c r="V107" s="80"/>
      <c r="W107" s="14" t="s">
        <v>109</v>
      </c>
      <c r="X107" s="14"/>
      <c r="Y107" s="80"/>
      <c r="Z107" s="101"/>
      <c r="AB107" s="7" t="s">
        <v>107</v>
      </c>
      <c r="AC107" s="14" t="s">
        <v>108</v>
      </c>
      <c r="AD107" s="14"/>
      <c r="AE107" s="80"/>
      <c r="AF107" s="14" t="s">
        <v>109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163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111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112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112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113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111</v>
      </c>
    </row>
    <row r="110" customFormat="false" ht="17.35" hidden="false" customHeight="false" outlineLevel="0" collapsed="false">
      <c r="A110" s="7" t="s">
        <v>114</v>
      </c>
      <c r="B110" s="14" t="s">
        <v>115</v>
      </c>
      <c r="C110" s="14"/>
      <c r="D110" s="14"/>
      <c r="E110" s="14" t="s">
        <v>116</v>
      </c>
      <c r="F110" s="14"/>
      <c r="G110" s="14"/>
      <c r="H110" s="12"/>
      <c r="J110" s="7" t="s">
        <v>114</v>
      </c>
      <c r="K110" s="14" t="s">
        <v>115</v>
      </c>
      <c r="L110" s="14"/>
      <c r="M110" s="14"/>
      <c r="N110" s="14" t="s">
        <v>116</v>
      </c>
      <c r="O110" s="14"/>
      <c r="P110" s="14"/>
      <c r="Q110" s="12"/>
      <c r="S110" s="7" t="s">
        <v>114</v>
      </c>
      <c r="T110" s="14" t="s">
        <v>115</v>
      </c>
      <c r="U110" s="14"/>
      <c r="V110" s="14"/>
      <c r="W110" s="14" t="s">
        <v>116</v>
      </c>
      <c r="X110" s="14"/>
      <c r="Y110" s="14"/>
      <c r="Z110" s="12"/>
      <c r="AB110" s="7" t="s">
        <v>114</v>
      </c>
      <c r="AC110" s="14" t="s">
        <v>115</v>
      </c>
      <c r="AD110" s="14"/>
      <c r="AE110" s="14"/>
      <c r="AF110" s="14" t="s">
        <v>116</v>
      </c>
      <c r="AG110" s="14"/>
      <c r="AH110" s="14"/>
      <c r="AI110" s="12"/>
    </row>
    <row r="111" customFormat="false" ht="17.35" hidden="false" customHeight="false" outlineLevel="0" collapsed="false">
      <c r="A111" s="38" t="s">
        <v>26</v>
      </c>
      <c r="B111" s="58" t="n">
        <v>1000</v>
      </c>
      <c r="C111" s="58"/>
      <c r="D111" s="58"/>
      <c r="E111" s="58" t="n">
        <v>1000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117</v>
      </c>
      <c r="B113" s="14" t="s">
        <v>118</v>
      </c>
      <c r="C113" s="14"/>
      <c r="D113" s="14"/>
      <c r="E113" s="14" t="s">
        <v>119</v>
      </c>
      <c r="F113" s="14"/>
      <c r="G113" s="80"/>
      <c r="H113" s="101"/>
      <c r="J113" s="105" t="s">
        <v>117</v>
      </c>
      <c r="K113" s="14" t="s">
        <v>118</v>
      </c>
      <c r="L113" s="14"/>
      <c r="M113" s="14"/>
      <c r="N113" s="14" t="s">
        <v>119</v>
      </c>
      <c r="O113" s="14"/>
      <c r="P113" s="80"/>
      <c r="Q113" s="101"/>
      <c r="S113" s="105" t="s">
        <v>117</v>
      </c>
      <c r="T113" s="14" t="s">
        <v>118</v>
      </c>
      <c r="U113" s="14"/>
      <c r="V113" s="14"/>
      <c r="W113" s="14" t="s">
        <v>119</v>
      </c>
      <c r="X113" s="14"/>
      <c r="Y113" s="80"/>
      <c r="Z113" s="101"/>
      <c r="AB113" s="105" t="s">
        <v>117</v>
      </c>
      <c r="AC113" s="14" t="s">
        <v>118</v>
      </c>
      <c r="AD113" s="14"/>
      <c r="AE113" s="14"/>
      <c r="AF113" s="14" t="s">
        <v>119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120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121</v>
      </c>
      <c r="B117" s="43"/>
      <c r="C117" s="43"/>
      <c r="D117" s="43"/>
      <c r="E117" s="43"/>
      <c r="F117" s="43"/>
      <c r="G117" s="43"/>
      <c r="H117" s="43"/>
      <c r="J117" s="43" t="s">
        <v>121</v>
      </c>
      <c r="K117" s="43"/>
      <c r="L117" s="43"/>
      <c r="M117" s="43"/>
      <c r="N117" s="43"/>
      <c r="O117" s="43"/>
      <c r="P117" s="43"/>
      <c r="Q117" s="43"/>
      <c r="S117" s="43" t="s">
        <v>121</v>
      </c>
      <c r="T117" s="43"/>
      <c r="U117" s="43"/>
      <c r="V117" s="43"/>
      <c r="W117" s="43"/>
      <c r="X117" s="43"/>
      <c r="Y117" s="43"/>
      <c r="Z117" s="43"/>
      <c r="AB117" s="43" t="s">
        <v>121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122</v>
      </c>
      <c r="C120" s="110" t="s">
        <v>123</v>
      </c>
      <c r="D120" s="109" t="s">
        <v>122</v>
      </c>
      <c r="E120" s="111" t="s">
        <v>123</v>
      </c>
      <c r="F120" s="109" t="s">
        <v>122</v>
      </c>
      <c r="G120" s="111" t="s">
        <v>123</v>
      </c>
      <c r="H120" s="112"/>
      <c r="J120" s="4"/>
      <c r="K120" s="109" t="s">
        <v>122</v>
      </c>
      <c r="L120" s="110" t="s">
        <v>123</v>
      </c>
      <c r="M120" s="109" t="s">
        <v>122</v>
      </c>
      <c r="N120" s="111" t="s">
        <v>123</v>
      </c>
      <c r="O120" s="109" t="s">
        <v>122</v>
      </c>
      <c r="P120" s="111" t="s">
        <v>123</v>
      </c>
      <c r="Q120" s="112"/>
      <c r="S120" s="4"/>
      <c r="T120" s="109" t="s">
        <v>122</v>
      </c>
      <c r="U120" s="110" t="s">
        <v>123</v>
      </c>
      <c r="V120" s="109" t="s">
        <v>122</v>
      </c>
      <c r="W120" s="111" t="s">
        <v>123</v>
      </c>
      <c r="X120" s="109" t="s">
        <v>122</v>
      </c>
      <c r="Y120" s="111" t="s">
        <v>123</v>
      </c>
      <c r="Z120" s="112"/>
      <c r="AB120" s="4"/>
      <c r="AC120" s="109" t="s">
        <v>122</v>
      </c>
      <c r="AD120" s="110" t="s">
        <v>123</v>
      </c>
      <c r="AE120" s="109" t="s">
        <v>122</v>
      </c>
      <c r="AF120" s="111" t="s">
        <v>123</v>
      </c>
      <c r="AG120" s="109" t="s">
        <v>122</v>
      </c>
      <c r="AH120" s="111" t="s">
        <v>123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15</v>
      </c>
      <c r="C122" s="10" t="n">
        <v>15</v>
      </c>
      <c r="D122" s="116" t="n">
        <f aca="false">D4</f>
        <v>0</v>
      </c>
      <c r="E122" s="10" t="n">
        <f aca="false">D122</f>
        <v>0</v>
      </c>
      <c r="F122" s="116" t="n">
        <f aca="false">F4</f>
        <v>9</v>
      </c>
      <c r="G122" s="117" t="n">
        <f aca="false">F122</f>
        <v>9</v>
      </c>
      <c r="H122" s="11"/>
      <c r="J122" s="7" t="s">
        <v>6</v>
      </c>
      <c r="K122" s="116" t="n">
        <f aca="false">B4</f>
        <v>15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9</v>
      </c>
      <c r="P122" s="117" t="n">
        <f aca="false">O122</f>
        <v>9</v>
      </c>
      <c r="Q122" s="11"/>
      <c r="S122" s="7" t="s">
        <v>6</v>
      </c>
      <c r="T122" s="116" t="n">
        <f aca="false">B4</f>
        <v>15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9</v>
      </c>
      <c r="Y122" s="117" t="n">
        <f aca="false">X122</f>
        <v>9</v>
      </c>
      <c r="Z122" s="11"/>
      <c r="AB122" s="7" t="s">
        <v>6</v>
      </c>
      <c r="AC122" s="116" t="n">
        <f aca="false">B4</f>
        <v>15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9</v>
      </c>
      <c r="AH122" s="117" t="n">
        <f aca="false">AG122</f>
        <v>9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52</v>
      </c>
      <c r="C123" s="114" t="n">
        <v>-948.01</v>
      </c>
      <c r="D123" s="118" t="n">
        <f aca="false">D5</f>
        <v>0</v>
      </c>
      <c r="E123" s="114" t="n">
        <f aca="false">D123</f>
        <v>0</v>
      </c>
      <c r="F123" s="118" t="n">
        <f aca="false">F5</f>
        <v>15</v>
      </c>
      <c r="G123" s="114" t="n">
        <f aca="false">F123</f>
        <v>15</v>
      </c>
      <c r="H123" s="12"/>
      <c r="J123" s="7" t="s">
        <v>7</v>
      </c>
      <c r="K123" s="118" t="n">
        <f aca="false">B5</f>
        <v>52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15</v>
      </c>
      <c r="P123" s="114" t="n">
        <f aca="false">O123</f>
        <v>15</v>
      </c>
      <c r="Q123" s="12"/>
      <c r="S123" s="7" t="s">
        <v>7</v>
      </c>
      <c r="T123" s="118" t="n">
        <f aca="false">B5</f>
        <v>52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15</v>
      </c>
      <c r="Y123" s="114" t="n">
        <f aca="false">X123</f>
        <v>15</v>
      </c>
      <c r="Z123" s="12"/>
      <c r="AB123" s="7" t="s">
        <v>7</v>
      </c>
      <c r="AC123" s="118" t="n">
        <f aca="false">B5</f>
        <v>52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15</v>
      </c>
      <c r="AH123" s="114" t="n">
        <f aca="false">AG123</f>
        <v>15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702864.55</v>
      </c>
      <c r="C124" s="119" t="n">
        <f aca="false">(C121*C122/100)+C123</f>
        <v>6080.1155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7514.97</v>
      </c>
      <c r="G124" s="119" t="n">
        <f aca="false">(G121*G122/100)+G123</f>
        <v>89.9997</v>
      </c>
      <c r="H124" s="12"/>
      <c r="J124" s="7" t="s">
        <v>8</v>
      </c>
      <c r="K124" s="118" t="n">
        <f aca="false">(K121*K122)+K123</f>
        <v>702864.55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7514.97</v>
      </c>
      <c r="P124" s="119" t="n">
        <f aca="false">(P121*P122)+P123</f>
        <v>7514.97</v>
      </c>
      <c r="Q124" s="12"/>
      <c r="S124" s="7" t="s">
        <v>8</v>
      </c>
      <c r="T124" s="118" t="n">
        <f aca="false">(T121*T122)+T123</f>
        <v>702864.55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7514.97</v>
      </c>
      <c r="Y124" s="119" t="n">
        <f aca="false">(Y121*Y122/100)+Y123</f>
        <v>89.9997</v>
      </c>
      <c r="Z124" s="12"/>
      <c r="AB124" s="7" t="s">
        <v>8</v>
      </c>
      <c r="AC124" s="118" t="n">
        <f aca="false">(AC121*AC122)+AC123</f>
        <v>702864.55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7514.97</v>
      </c>
      <c r="AH124" s="119" t="n">
        <f aca="false">(AH121*AH122)+AH123</f>
        <v>7514.97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-656010.38</v>
      </c>
      <c r="C125" s="121" t="n">
        <f aca="false">C121-C124</f>
        <v>40774.0545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-6681.64</v>
      </c>
      <c r="G125" s="121" t="n">
        <f aca="false">G121-G124</f>
        <v>743.3303</v>
      </c>
      <c r="H125" s="68"/>
      <c r="J125" s="60" t="s">
        <v>9</v>
      </c>
      <c r="K125" s="120" t="n">
        <f aca="false">K121-K124</f>
        <v>-656010.38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-6681.64</v>
      </c>
      <c r="P125" s="121" t="n">
        <f aca="false">P121-P124</f>
        <v>-6681.64</v>
      </c>
      <c r="Q125" s="68"/>
      <c r="S125" s="60" t="s">
        <v>9</v>
      </c>
      <c r="T125" s="120" t="n">
        <f aca="false">T121-T124</f>
        <v>-656010.38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-6681.64</v>
      </c>
      <c r="Y125" s="121" t="n">
        <f aca="false">Y121-Y124</f>
        <v>743.3303</v>
      </c>
      <c r="Z125" s="68"/>
      <c r="AB125" s="60" t="s">
        <v>9</v>
      </c>
      <c r="AC125" s="120" t="n">
        <f aca="false">AC121-AC124</f>
        <v>-656010.38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-6681.64</v>
      </c>
      <c r="AH125" s="121" t="n">
        <f aca="false">AH121-AH124</f>
        <v>-6681.64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122</v>
      </c>
      <c r="H127" s="124" t="s">
        <v>123</v>
      </c>
      <c r="J127" s="122"/>
      <c r="K127" s="123"/>
      <c r="L127" s="123"/>
      <c r="M127" s="123"/>
      <c r="N127" s="123"/>
      <c r="O127" s="123"/>
      <c r="P127" s="16" t="s">
        <v>122</v>
      </c>
      <c r="Q127" s="124" t="s">
        <v>123</v>
      </c>
      <c r="S127" s="122"/>
      <c r="T127" s="123"/>
      <c r="U127" s="123"/>
      <c r="V127" s="123"/>
      <c r="W127" s="123"/>
      <c r="X127" s="123"/>
      <c r="Y127" s="16" t="s">
        <v>122</v>
      </c>
      <c r="Z127" s="124" t="s">
        <v>123</v>
      </c>
      <c r="AB127" s="122"/>
      <c r="AC127" s="123"/>
      <c r="AD127" s="123"/>
      <c r="AE127" s="123"/>
      <c r="AF127" s="123"/>
      <c r="AG127" s="123"/>
      <c r="AH127" s="16" t="s">
        <v>122</v>
      </c>
      <c r="AI127" s="124" t="s">
        <v>123</v>
      </c>
    </row>
    <row r="128" customFormat="false" ht="17.35" hidden="false" customHeight="false" outlineLevel="0" collapsed="false">
      <c r="A128" s="125" t="s">
        <v>124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124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124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124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125</v>
      </c>
      <c r="B130" s="129" t="s">
        <v>126</v>
      </c>
      <c r="C130" s="129"/>
      <c r="D130" s="129" t="s">
        <v>127</v>
      </c>
      <c r="E130" s="129"/>
      <c r="F130" s="129" t="s">
        <v>7</v>
      </c>
      <c r="G130" s="129"/>
      <c r="H130" s="130" t="s">
        <v>123</v>
      </c>
      <c r="J130" s="131" t="s">
        <v>125</v>
      </c>
      <c r="K130" s="129" t="s">
        <v>126</v>
      </c>
      <c r="L130" s="129"/>
      <c r="M130" s="129" t="s">
        <v>127</v>
      </c>
      <c r="N130" s="129"/>
      <c r="O130" s="129" t="s">
        <v>7</v>
      </c>
      <c r="P130" s="129"/>
      <c r="Q130" s="130" t="s">
        <v>123</v>
      </c>
      <c r="S130" s="131" t="s">
        <v>125</v>
      </c>
      <c r="T130" s="129" t="s">
        <v>126</v>
      </c>
      <c r="U130" s="129"/>
      <c r="V130" s="129" t="s">
        <v>127</v>
      </c>
      <c r="W130" s="129"/>
      <c r="X130" s="129" t="s">
        <v>7</v>
      </c>
      <c r="Y130" s="129"/>
      <c r="Z130" s="130" t="s">
        <v>123</v>
      </c>
      <c r="AB130" s="131" t="s">
        <v>125</v>
      </c>
      <c r="AC130" s="129" t="s">
        <v>126</v>
      </c>
      <c r="AD130" s="129"/>
      <c r="AE130" s="129" t="s">
        <v>127</v>
      </c>
      <c r="AF130" s="129"/>
      <c r="AG130" s="129" t="s">
        <v>7</v>
      </c>
      <c r="AH130" s="129"/>
      <c r="AI130" s="130" t="s">
        <v>123</v>
      </c>
    </row>
    <row r="131" customFormat="false" ht="17.35" hidden="false" customHeight="false" outlineLevel="0" collapsed="false">
      <c r="A131" s="7" t="s">
        <v>128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128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128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128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129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129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129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129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130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130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130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130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40517.3748</v>
      </c>
      <c r="H135" s="135" t="n">
        <f aca="false">C125+E125+G125+H128</f>
        <v>41517.3848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40517.3748</v>
      </c>
      <c r="Q135" s="135" t="n">
        <f aca="false">L125+N125+P125+Q128</f>
        <v>21947.53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40517.3748</v>
      </c>
      <c r="Z135" s="135" t="n">
        <f aca="false">U125+W125+Y125+Z128</f>
        <v>47480.364875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40517.3748</v>
      </c>
      <c r="AI135" s="135" t="n">
        <f aca="false">AD125+AF125+AH125+AI128</f>
        <v>28458.9875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50</v>
      </c>
      <c r="H136" s="12" t="n">
        <f aca="false">G136</f>
        <v>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50</v>
      </c>
      <c r="Q136" s="12" t="n">
        <f aca="false">P136</f>
        <v>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50</v>
      </c>
      <c r="Z136" s="12" t="n">
        <f aca="false">Y136</f>
        <v>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50</v>
      </c>
      <c r="AI136" s="12" t="n">
        <f aca="false">AH136</f>
        <v>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8113.47496</v>
      </c>
      <c r="H137" s="12" t="n">
        <f aca="false">(H135+H136)*20%</f>
        <v>8313.47696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8113.47496</v>
      </c>
      <c r="Q137" s="12" t="n">
        <f aca="false">(Q135+Q136)*20%</f>
        <v>4399.506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8113.47496</v>
      </c>
      <c r="Z137" s="12" t="n">
        <f aca="false">(Z135+Z136)*20%</f>
        <v>9506.072975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8113.47496</v>
      </c>
      <c r="AI137" s="12" t="n">
        <f aca="false">(AI135+AI136)*20%</f>
        <v>5701.7975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49320.84976</v>
      </c>
      <c r="H141" s="137" t="n">
        <f aca="false">(H135+H136+H139+H140+H137)-H138</f>
        <v>50520.86176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49320.84976</v>
      </c>
      <c r="Q141" s="137" t="n">
        <f aca="false">(Q135+Q136+Q139+Q140+Q137)-Q138</f>
        <v>27037.036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49320.84976</v>
      </c>
      <c r="Z141" s="137" t="n">
        <f aca="false">(Z135+Z136+Z139+Z140+Z137)-Z138</f>
        <v>57676.43785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49320.84976</v>
      </c>
      <c r="AI141" s="137" t="n">
        <f aca="false">(AI135+AI136+AI139+AI140+AI137)-AI138</f>
        <v>34850.785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120</v>
      </c>
      <c r="H142" s="38" t="n">
        <f aca="false">G142</f>
        <v>120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120</v>
      </c>
      <c r="Q142" s="38" t="n">
        <f aca="false">P142</f>
        <v>120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120</v>
      </c>
      <c r="Z142" s="38" t="n">
        <f aca="false">Y142</f>
        <v>120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120</v>
      </c>
      <c r="AI142" s="38" t="n">
        <f aca="false">AH142</f>
        <v>120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120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120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49176.84976</v>
      </c>
      <c r="H147" s="140" t="n">
        <f aca="false">H141-((H144*1.2)+(H145*1.2)+(H146*1.2)+(H142*1.2))</f>
        <v>50376.86176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49176.84976</v>
      </c>
      <c r="Q147" s="140" t="n">
        <f aca="false">Q141-((Q144*1.2)+(Q145*1.2)+(Q146*1.2)+(Q142*1.2))</f>
        <v>26893.036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49176.84976</v>
      </c>
      <c r="Z147" s="140" t="n">
        <f aca="false">Z141-((Z144*1.2)+(Z145*1.2)+(Z146*1.2)+(Z142*1.2))</f>
        <v>57532.43785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49176.84976</v>
      </c>
      <c r="AI147" s="140" t="n">
        <f aca="false">AI141-((AI144*1.2)+(AI145*1.2)+(AI146*1.2)+(AI142*1.2))</f>
        <v>34706.785</v>
      </c>
    </row>
    <row r="148" customFormat="false" ht="17.35" hidden="false" customHeight="false" outlineLevel="0" collapsed="false">
      <c r="A148" s="18" t="s">
        <v>131</v>
      </c>
      <c r="B148" s="18"/>
      <c r="C148" s="18"/>
      <c r="D148" s="18"/>
      <c r="E148" s="18"/>
      <c r="F148" s="18"/>
      <c r="G148" s="13"/>
      <c r="H148" s="38" t="n">
        <f aca="false">Q147-P147</f>
        <v>-22283.81376</v>
      </c>
      <c r="I148" s="1" t="n">
        <f aca="false">(H148-G81)/1.2</f>
        <v>-18569.8448</v>
      </c>
      <c r="J148" s="18" t="s">
        <v>131</v>
      </c>
      <c r="K148" s="18"/>
      <c r="L148" s="18"/>
      <c r="M148" s="18"/>
      <c r="N148" s="18"/>
      <c r="O148" s="18"/>
      <c r="P148" s="13"/>
      <c r="Q148" s="38" t="n">
        <f aca="false">Q147-P147</f>
        <v>-22283.81376</v>
      </c>
      <c r="S148" s="18" t="s">
        <v>131</v>
      </c>
      <c r="T148" s="18"/>
      <c r="U148" s="18"/>
      <c r="V148" s="18"/>
      <c r="W148" s="18"/>
      <c r="X148" s="18"/>
      <c r="Y148" s="13"/>
      <c r="Z148" s="38" t="n">
        <f aca="false">Z147-Y147</f>
        <v>8355.58809000001</v>
      </c>
      <c r="AB148" s="18" t="s">
        <v>131</v>
      </c>
      <c r="AC148" s="18"/>
      <c r="AD148" s="18"/>
      <c r="AE148" s="18"/>
      <c r="AF148" s="18"/>
      <c r="AG148" s="18"/>
      <c r="AH148" s="13"/>
      <c r="AI148" s="38" t="n">
        <f aca="false">AI147-AH147</f>
        <v>-14470.06476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132</v>
      </c>
      <c r="B150" s="43"/>
      <c r="C150" s="43"/>
      <c r="D150" s="43"/>
      <c r="E150" s="43"/>
      <c r="F150" s="43"/>
      <c r="G150" s="43"/>
      <c r="H150" s="43"/>
      <c r="J150" s="43" t="s">
        <v>132</v>
      </c>
      <c r="K150" s="43"/>
      <c r="L150" s="43"/>
      <c r="M150" s="43"/>
      <c r="N150" s="43"/>
      <c r="O150" s="43"/>
      <c r="P150" s="43"/>
      <c r="Q150" s="43"/>
      <c r="S150" s="43" t="s">
        <v>132</v>
      </c>
      <c r="T150" s="43"/>
      <c r="U150" s="43"/>
      <c r="V150" s="43"/>
      <c r="W150" s="43"/>
      <c r="X150" s="43"/>
      <c r="Y150" s="43"/>
      <c r="Z150" s="43"/>
      <c r="AB150" s="43" t="s">
        <v>132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133</v>
      </c>
      <c r="B152" s="14"/>
      <c r="C152" s="14"/>
      <c r="D152" s="31"/>
      <c r="E152" s="58" t="n">
        <v>2000</v>
      </c>
      <c r="F152" s="58"/>
      <c r="G152" s="58" t="n">
        <v>1000</v>
      </c>
      <c r="H152" s="58"/>
      <c r="J152" s="7" t="s">
        <v>133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133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133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134</v>
      </c>
      <c r="B153" s="14"/>
      <c r="C153" s="14"/>
      <c r="D153" s="31"/>
      <c r="E153" s="26" t="n">
        <f aca="false">G153</f>
        <v>500</v>
      </c>
      <c r="F153" s="26"/>
      <c r="G153" s="58" t="n">
        <v>500</v>
      </c>
      <c r="H153" s="58"/>
      <c r="J153" s="7" t="s">
        <v>134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134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134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135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135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135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135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136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136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136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136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137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137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137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137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138</v>
      </c>
      <c r="B158" s="14"/>
      <c r="C158" s="14"/>
      <c r="D158" s="80"/>
      <c r="E158" s="14"/>
      <c r="F158" s="80"/>
      <c r="G158" s="144" t="n">
        <f aca="false">H147-G154-G157</f>
        <v>47876.86176</v>
      </c>
      <c r="H158" s="144"/>
      <c r="J158" s="143" t="s">
        <v>138</v>
      </c>
      <c r="K158" s="14"/>
      <c r="L158" s="14"/>
      <c r="M158" s="80"/>
      <c r="N158" s="14"/>
      <c r="O158" s="80"/>
      <c r="P158" s="144" t="n">
        <f aca="false">Q147-P154-P157</f>
        <v>27893.036</v>
      </c>
      <c r="Q158" s="144"/>
      <c r="S158" s="143" t="s">
        <v>138</v>
      </c>
      <c r="T158" s="14"/>
      <c r="U158" s="14"/>
      <c r="V158" s="80"/>
      <c r="W158" s="14"/>
      <c r="X158" s="80"/>
      <c r="Y158" s="144" t="n">
        <f aca="false">Z147-Y154-Y157</f>
        <v>58532.43785</v>
      </c>
      <c r="Z158" s="144"/>
      <c r="AB158" s="143" t="s">
        <v>138</v>
      </c>
      <c r="AC158" s="14"/>
      <c r="AD158" s="14"/>
      <c r="AE158" s="80"/>
      <c r="AF158" s="14"/>
      <c r="AG158" s="80"/>
      <c r="AH158" s="144" t="n">
        <f aca="false">AI147-AH154-AH157</f>
        <v>35706.785</v>
      </c>
      <c r="AI158" s="144"/>
    </row>
    <row r="159" customFormat="false" ht="17.35" hidden="false" customHeight="false" outlineLevel="0" collapsed="false">
      <c r="A159" s="60" t="s">
        <v>139</v>
      </c>
      <c r="B159" s="61"/>
      <c r="C159" s="61"/>
      <c r="D159" s="99"/>
      <c r="E159" s="61"/>
      <c r="F159" s="99"/>
      <c r="G159" s="145" t="str">
        <f aca="false">B114</f>
        <v>239.99</v>
      </c>
      <c r="H159" s="145"/>
      <c r="J159" s="60" t="s">
        <v>139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139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139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140</v>
      </c>
      <c r="B162" s="43"/>
      <c r="C162" s="43"/>
      <c r="D162" s="43"/>
      <c r="E162" s="43"/>
      <c r="F162" s="43"/>
      <c r="G162" s="43"/>
      <c r="H162" s="43"/>
      <c r="J162" s="43" t="s">
        <v>140</v>
      </c>
      <c r="K162" s="43"/>
      <c r="L162" s="43"/>
      <c r="M162" s="43"/>
      <c r="N162" s="43"/>
      <c r="O162" s="43"/>
      <c r="P162" s="43"/>
      <c r="Q162" s="43"/>
      <c r="S162" s="43" t="s">
        <v>140</v>
      </c>
      <c r="T162" s="43"/>
      <c r="U162" s="43"/>
      <c r="V162" s="43"/>
      <c r="W162" s="43"/>
      <c r="X162" s="43"/>
      <c r="Y162" s="43"/>
      <c r="Z162" s="43"/>
      <c r="AB162" s="43" t="s">
        <v>140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141</v>
      </c>
      <c r="B166" s="148" t="s">
        <v>142</v>
      </c>
      <c r="C166" s="148"/>
      <c r="D166" s="148"/>
      <c r="E166" s="148" t="s">
        <v>143</v>
      </c>
      <c r="F166" s="31"/>
      <c r="G166" s="31"/>
      <c r="H166" s="12"/>
      <c r="J166" s="147" t="s">
        <v>141</v>
      </c>
      <c r="K166" s="148" t="s">
        <v>142</v>
      </c>
      <c r="L166" s="148"/>
      <c r="M166" s="148"/>
      <c r="N166" s="148" t="s">
        <v>143</v>
      </c>
      <c r="O166" s="31"/>
      <c r="P166" s="31"/>
      <c r="Q166" s="12"/>
      <c r="S166" s="147" t="s">
        <v>141</v>
      </c>
      <c r="T166" s="148" t="s">
        <v>142</v>
      </c>
      <c r="U166" s="148"/>
      <c r="V166" s="148"/>
      <c r="W166" s="148" t="s">
        <v>143</v>
      </c>
      <c r="X166" s="31"/>
      <c r="Y166" s="31"/>
      <c r="Z166" s="12"/>
      <c r="AB166" s="147" t="s">
        <v>141</v>
      </c>
      <c r="AC166" s="148" t="s">
        <v>142</v>
      </c>
      <c r="AD166" s="148"/>
      <c r="AE166" s="148"/>
      <c r="AF166" s="148" t="s">
        <v>143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1520.24413268187</v>
      </c>
      <c r="B167" s="150" t="n">
        <f aca="false">B94</f>
        <v>41.2</v>
      </c>
      <c r="C167" s="148"/>
      <c r="D167" s="148"/>
      <c r="E167" s="150" t="n">
        <f aca="false">B96</f>
        <v>1561.44413268187</v>
      </c>
      <c r="F167" s="31"/>
      <c r="G167" s="31"/>
      <c r="H167" s="12"/>
      <c r="J167" s="149" t="n">
        <f aca="false">K95</f>
        <v>1094.32336989308</v>
      </c>
      <c r="K167" s="150" t="n">
        <f aca="false">K94</f>
        <v>44.6333333333333</v>
      </c>
      <c r="L167" s="148"/>
      <c r="M167" s="148"/>
      <c r="N167" s="150" t="n">
        <f aca="false">K96</f>
        <v>1138.95670322641</v>
      </c>
      <c r="O167" s="31"/>
      <c r="P167" s="31"/>
      <c r="Q167" s="12"/>
      <c r="S167" s="149" t="n">
        <f aca="false">T95</f>
        <v>1378.78046104543</v>
      </c>
      <c r="T167" s="150" t="n">
        <f aca="false">T94</f>
        <v>35.3142857142857</v>
      </c>
      <c r="U167" s="148"/>
      <c r="V167" s="148"/>
      <c r="W167" s="150" t="n">
        <f aca="false">T96</f>
        <v>1414.09474675972</v>
      </c>
      <c r="X167" s="31"/>
      <c r="Y167" s="31"/>
      <c r="Z167" s="12"/>
      <c r="AB167" s="149" t="n">
        <f aca="false">AC95</f>
        <v>590.603614860565</v>
      </c>
      <c r="AC167" s="150" t="n">
        <f aca="false">AC94</f>
        <v>42.3771428571428</v>
      </c>
      <c r="AD167" s="148"/>
      <c r="AE167" s="148"/>
      <c r="AF167" s="150" t="n">
        <f aca="false">AC96</f>
        <v>632.980757717708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39</v>
      </c>
      <c r="B169" s="14" t="s">
        <v>40</v>
      </c>
      <c r="C169" s="14"/>
      <c r="D169" s="31"/>
      <c r="E169" s="14" t="s">
        <v>144</v>
      </c>
      <c r="F169" s="31"/>
      <c r="G169" s="31"/>
      <c r="H169" s="12"/>
      <c r="J169" s="7" t="s">
        <v>39</v>
      </c>
      <c r="K169" s="14" t="s">
        <v>40</v>
      </c>
      <c r="L169" s="14"/>
      <c r="M169" s="31"/>
      <c r="N169" s="14" t="s">
        <v>144</v>
      </c>
      <c r="O169" s="31"/>
      <c r="P169" s="31"/>
      <c r="Q169" s="12"/>
      <c r="S169" s="7" t="s">
        <v>39</v>
      </c>
      <c r="T169" s="14" t="s">
        <v>40</v>
      </c>
      <c r="U169" s="14"/>
      <c r="V169" s="31"/>
      <c r="W169" s="14" t="s">
        <v>144</v>
      </c>
      <c r="X169" s="31"/>
      <c r="Y169" s="31"/>
      <c r="Z169" s="12"/>
      <c r="AB169" s="7" t="s">
        <v>39</v>
      </c>
      <c r="AC169" s="14" t="s">
        <v>40</v>
      </c>
      <c r="AD169" s="14"/>
      <c r="AE169" s="31"/>
      <c r="AF169" s="14" t="s">
        <v>144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145</v>
      </c>
      <c r="B172" s="14" t="s">
        <v>146</v>
      </c>
      <c r="C172" s="14"/>
      <c r="D172" s="31"/>
      <c r="E172" s="14" t="s">
        <v>147</v>
      </c>
      <c r="F172" s="31"/>
      <c r="G172" s="31"/>
      <c r="H172" s="12"/>
      <c r="J172" s="7" t="s">
        <v>145</v>
      </c>
      <c r="K172" s="14" t="s">
        <v>146</v>
      </c>
      <c r="L172" s="14"/>
      <c r="M172" s="31"/>
      <c r="N172" s="14" t="s">
        <v>147</v>
      </c>
      <c r="O172" s="31"/>
      <c r="P172" s="31"/>
      <c r="Q172" s="12"/>
      <c r="S172" s="7" t="s">
        <v>145</v>
      </c>
      <c r="T172" s="14" t="s">
        <v>146</v>
      </c>
      <c r="U172" s="14"/>
      <c r="V172" s="31"/>
      <c r="W172" s="14" t="s">
        <v>147</v>
      </c>
      <c r="X172" s="31"/>
      <c r="Y172" s="31"/>
      <c r="Z172" s="12"/>
      <c r="AB172" s="7" t="s">
        <v>145</v>
      </c>
      <c r="AC172" s="14" t="s">
        <v>146</v>
      </c>
      <c r="AD172" s="14"/>
      <c r="AE172" s="31"/>
      <c r="AF172" s="14" t="s">
        <v>147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41567.3848</v>
      </c>
      <c r="B173" s="23" t="n">
        <f aca="false">H137</f>
        <v>8313.47696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21997.53</v>
      </c>
      <c r="K173" s="23" t="n">
        <f aca="false">Q137</f>
        <v>4399.506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47530.364875</v>
      </c>
      <c r="T173" s="23" t="n">
        <f aca="false">Z137</f>
        <v>9506.072975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28508.9875</v>
      </c>
      <c r="AC173" s="23" t="n">
        <f aca="false">AI137</f>
        <v>5701.7975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148</v>
      </c>
      <c r="B175" s="14" t="s">
        <v>115</v>
      </c>
      <c r="C175" s="14"/>
      <c r="D175" s="31"/>
      <c r="E175" s="14" t="s">
        <v>116</v>
      </c>
      <c r="F175" s="31"/>
      <c r="G175" s="31"/>
      <c r="H175" s="12"/>
      <c r="J175" s="7" t="s">
        <v>148</v>
      </c>
      <c r="K175" s="14" t="s">
        <v>115</v>
      </c>
      <c r="L175" s="14"/>
      <c r="M175" s="31"/>
      <c r="N175" s="14" t="s">
        <v>116</v>
      </c>
      <c r="O175" s="31"/>
      <c r="P175" s="31"/>
      <c r="Q175" s="12"/>
      <c r="S175" s="7" t="s">
        <v>148</v>
      </c>
      <c r="T175" s="14" t="s">
        <v>115</v>
      </c>
      <c r="U175" s="14"/>
      <c r="V175" s="31"/>
      <c r="W175" s="14" t="s">
        <v>116</v>
      </c>
      <c r="X175" s="31"/>
      <c r="Y175" s="31"/>
      <c r="Z175" s="12"/>
      <c r="AB175" s="7" t="s">
        <v>148</v>
      </c>
      <c r="AC175" s="14" t="s">
        <v>115</v>
      </c>
      <c r="AD175" s="14"/>
      <c r="AE175" s="31"/>
      <c r="AF175" s="14" t="s">
        <v>116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50520.86176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27037.036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57676.43785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34850.785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117</v>
      </c>
      <c r="B178" s="14" t="s">
        <v>133</v>
      </c>
      <c r="C178" s="14"/>
      <c r="D178" s="31"/>
      <c r="E178" s="14" t="s">
        <v>138</v>
      </c>
      <c r="F178" s="31"/>
      <c r="G178" s="31"/>
      <c r="H178" s="12"/>
      <c r="J178" s="7" t="s">
        <v>117</v>
      </c>
      <c r="K178" s="14" t="s">
        <v>133</v>
      </c>
      <c r="L178" s="14"/>
      <c r="M178" s="31"/>
      <c r="N178" s="14" t="s">
        <v>138</v>
      </c>
      <c r="O178" s="31"/>
      <c r="P178" s="31"/>
      <c r="Q178" s="12"/>
      <c r="S178" s="7" t="s">
        <v>117</v>
      </c>
      <c r="T178" s="14" t="s">
        <v>133</v>
      </c>
      <c r="U178" s="14"/>
      <c r="V178" s="31"/>
      <c r="W178" s="14" t="s">
        <v>138</v>
      </c>
      <c r="X178" s="31"/>
      <c r="Y178" s="31"/>
      <c r="Z178" s="12"/>
      <c r="AB178" s="7" t="s">
        <v>117</v>
      </c>
      <c r="AC178" s="14" t="s">
        <v>133</v>
      </c>
      <c r="AD178" s="14"/>
      <c r="AE178" s="31"/>
      <c r="AF178" s="14" t="s">
        <v>138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48020.86176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28037.036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58676.43785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35850.785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149</v>
      </c>
      <c r="B181" s="14" t="s">
        <v>139</v>
      </c>
      <c r="C181" s="14"/>
      <c r="D181" s="31"/>
      <c r="E181" s="14" t="s">
        <v>150</v>
      </c>
      <c r="F181" s="31"/>
      <c r="G181" s="31"/>
      <c r="H181" s="12"/>
      <c r="J181" s="7" t="s">
        <v>149</v>
      </c>
      <c r="K181" s="14" t="s">
        <v>139</v>
      </c>
      <c r="L181" s="14"/>
      <c r="M181" s="31"/>
      <c r="N181" s="14" t="s">
        <v>150</v>
      </c>
      <c r="O181" s="31"/>
      <c r="P181" s="31"/>
      <c r="Q181" s="12"/>
      <c r="S181" s="7" t="s">
        <v>149</v>
      </c>
      <c r="T181" s="14" t="s">
        <v>139</v>
      </c>
      <c r="U181" s="14"/>
      <c r="V181" s="31"/>
      <c r="W181" s="14" t="s">
        <v>150</v>
      </c>
      <c r="X181" s="31"/>
      <c r="Y181" s="31"/>
      <c r="Z181" s="12"/>
      <c r="AB181" s="7" t="s">
        <v>149</v>
      </c>
      <c r="AC181" s="14" t="s">
        <v>139</v>
      </c>
      <c r="AD181" s="14"/>
      <c r="AE181" s="31"/>
      <c r="AF181" s="14" t="s">
        <v>150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5187.68288386537</v>
      </c>
      <c r="B182" s="23" t="str">
        <f aca="false">B114</f>
        <v>239.99</v>
      </c>
      <c r="C182" s="23"/>
      <c r="D182" s="31"/>
      <c r="E182" s="23" t="n">
        <f aca="false">E179+A182+B182+A185</f>
        <v>53458.5346438654</v>
      </c>
      <c r="F182" s="31"/>
      <c r="G182" s="31"/>
      <c r="H182" s="153"/>
      <c r="J182" s="22" t="n">
        <f aca="false">(J167*K59)+N185-N179-J185</f>
        <v>10264.2819462577</v>
      </c>
      <c r="K182" s="23" t="n">
        <f aca="false">K114</f>
        <v>239.99</v>
      </c>
      <c r="L182" s="23"/>
      <c r="M182" s="31"/>
      <c r="N182" s="23" t="n">
        <f aca="false">N179+J182+K182+J185</f>
        <v>38561.3079462577</v>
      </c>
      <c r="O182" s="31"/>
      <c r="P182" s="31"/>
      <c r="Q182" s="153"/>
      <c r="S182" s="22" t="n">
        <f aca="false">(S167*T59)+W185-W179-S185</f>
        <v>-10419.1217134099</v>
      </c>
      <c r="T182" s="23" t="n">
        <f aca="false">T114</f>
        <v>199.99</v>
      </c>
      <c r="U182" s="23"/>
      <c r="V182" s="31"/>
      <c r="W182" s="23" t="n">
        <f aca="false">W179+S182+T182+S185</f>
        <v>48467.3061365901</v>
      </c>
      <c r="X182" s="31"/>
      <c r="Y182" s="31"/>
      <c r="Z182" s="153"/>
      <c r="AB182" s="22" t="n">
        <f aca="false">(AB167*AC59)+AF185-AF179-AB185</f>
        <v>-15179.6584798802</v>
      </c>
      <c r="AC182" s="23" t="n">
        <f aca="false">AC114</f>
        <v>239.99</v>
      </c>
      <c r="AD182" s="23"/>
      <c r="AE182" s="31"/>
      <c r="AF182" s="23" t="n">
        <f aca="false">AF179+AB182+AC182+AB185</f>
        <v>20921.1165201198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151</v>
      </c>
      <c r="B184" s="14" t="s">
        <v>152</v>
      </c>
      <c r="C184" s="14"/>
      <c r="D184" s="31"/>
      <c r="E184" s="14" t="s">
        <v>153</v>
      </c>
      <c r="F184" s="31"/>
      <c r="G184" s="31"/>
      <c r="H184" s="12"/>
      <c r="J184" s="7" t="s">
        <v>151</v>
      </c>
      <c r="K184" s="14" t="s">
        <v>152</v>
      </c>
      <c r="L184" s="14"/>
      <c r="M184" s="31"/>
      <c r="N184" s="14" t="s">
        <v>153</v>
      </c>
      <c r="O184" s="31"/>
      <c r="P184" s="31"/>
      <c r="Q184" s="12"/>
      <c r="S184" s="7" t="s">
        <v>151</v>
      </c>
      <c r="T184" s="14" t="s">
        <v>152</v>
      </c>
      <c r="U184" s="14"/>
      <c r="V184" s="31"/>
      <c r="W184" s="14" t="s">
        <v>153</v>
      </c>
      <c r="X184" s="31"/>
      <c r="Y184" s="31"/>
      <c r="Z184" s="12"/>
      <c r="AB184" s="7" t="s">
        <v>151</v>
      </c>
      <c r="AC184" s="14" t="s">
        <v>152</v>
      </c>
      <c r="AD184" s="14"/>
      <c r="AE184" s="31"/>
      <c r="AF184" s="14" t="s">
        <v>153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2239.99</v>
      </c>
      <c r="C185" s="23"/>
      <c r="D185" s="31"/>
      <c r="E185" s="23" t="n">
        <f aca="false">E170+A185</f>
        <v>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154</v>
      </c>
      <c r="B187" s="14" t="s">
        <v>155</v>
      </c>
      <c r="C187" s="14"/>
      <c r="D187" s="14"/>
      <c r="E187" s="26" t="s">
        <v>156</v>
      </c>
      <c r="F187" s="31"/>
      <c r="G187" s="31"/>
      <c r="H187" s="12"/>
      <c r="J187" s="7" t="s">
        <v>154</v>
      </c>
      <c r="K187" s="14" t="s">
        <v>155</v>
      </c>
      <c r="L187" s="14"/>
      <c r="M187" s="14"/>
      <c r="N187" s="26" t="s">
        <v>156</v>
      </c>
      <c r="O187" s="31"/>
      <c r="P187" s="31"/>
      <c r="Q187" s="12"/>
      <c r="S187" s="7" t="s">
        <v>154</v>
      </c>
      <c r="T187" s="14" t="s">
        <v>155</v>
      </c>
      <c r="U187" s="14"/>
      <c r="V187" s="14"/>
      <c r="W187" s="26" t="s">
        <v>156</v>
      </c>
      <c r="X187" s="154"/>
      <c r="Y187" s="154"/>
      <c r="Z187" s="12"/>
      <c r="AB187" s="7" t="s">
        <v>154</v>
      </c>
      <c r="AC187" s="14" t="s">
        <v>155</v>
      </c>
      <c r="AD187" s="14"/>
      <c r="AE187" s="14"/>
      <c r="AF187" s="26" t="s">
        <v>156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0.09864169952</v>
      </c>
      <c r="B188" s="23" t="n">
        <f aca="false">(G158*B67)/1.2</f>
        <v>299.230386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0.09864169952</v>
      </c>
      <c r="K188" s="23" t="n">
        <f aca="false">(P158*K67)/1.2</f>
        <v>1743.31475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487.770315416667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297.556541666667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157</v>
      </c>
      <c r="B190" s="26" t="s">
        <v>158</v>
      </c>
      <c r="C190" s="14"/>
      <c r="D190" s="14"/>
      <c r="E190" s="26" t="s">
        <v>159</v>
      </c>
      <c r="F190" s="31"/>
      <c r="G190" s="31"/>
      <c r="H190" s="12"/>
      <c r="J190" s="64" t="s">
        <v>157</v>
      </c>
      <c r="K190" s="26" t="s">
        <v>158</v>
      </c>
      <c r="L190" s="14"/>
      <c r="M190" s="14"/>
      <c r="N190" s="26" t="s">
        <v>159</v>
      </c>
      <c r="O190" s="31"/>
      <c r="P190" s="31"/>
      <c r="Q190" s="12"/>
      <c r="S190" s="64" t="s">
        <v>157</v>
      </c>
      <c r="T190" s="26" t="s">
        <v>158</v>
      </c>
      <c r="U190" s="14"/>
      <c r="V190" s="14"/>
      <c r="W190" s="26" t="s">
        <v>159</v>
      </c>
      <c r="X190" s="154"/>
      <c r="Y190" s="154"/>
      <c r="Z190" s="12"/>
      <c r="AB190" s="64" t="s">
        <v>157</v>
      </c>
      <c r="AC190" s="26" t="s">
        <v>158</v>
      </c>
      <c r="AD190" s="14"/>
      <c r="AE190" s="14"/>
      <c r="AF190" s="26" t="s">
        <v>159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2139.99</v>
      </c>
      <c r="B191" s="23" t="n">
        <f aca="false">B188+E188+A191</f>
        <v>2459.820386</v>
      </c>
      <c r="C191" s="14"/>
      <c r="D191" s="14"/>
      <c r="E191" s="23" t="n">
        <f aca="false">H148</f>
        <v>-22283.81376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2914.20475</v>
      </c>
      <c r="L191" s="14"/>
      <c r="M191" s="14"/>
      <c r="N191" s="23" t="n">
        <f aca="false">Q148</f>
        <v>-22283.81376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1608.36031541667</v>
      </c>
      <c r="U191" s="14"/>
      <c r="V191" s="14"/>
      <c r="W191" s="23" t="n">
        <f aca="false">Z148</f>
        <v>8355.58809000001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1458.14654166667</v>
      </c>
      <c r="AD191" s="14"/>
      <c r="AE191" s="14"/>
      <c r="AF191" s="23" t="n">
        <f aca="false">AI148</f>
        <v>-14470.06476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160</v>
      </c>
      <c r="B193" s="14"/>
      <c r="C193" s="14"/>
      <c r="D193" s="70"/>
      <c r="E193" s="70"/>
      <c r="F193" s="70"/>
      <c r="G193" s="70"/>
      <c r="H193" s="71"/>
      <c r="J193" s="69" t="s">
        <v>160</v>
      </c>
      <c r="K193" s="14"/>
      <c r="L193" s="14"/>
      <c r="M193" s="70"/>
      <c r="N193" s="70"/>
      <c r="O193" s="70"/>
      <c r="P193" s="70"/>
      <c r="Q193" s="71"/>
      <c r="S193" s="69" t="s">
        <v>160</v>
      </c>
      <c r="T193" s="14"/>
      <c r="U193" s="14"/>
      <c r="V193" s="70"/>
      <c r="W193" s="70"/>
      <c r="X193" s="70"/>
      <c r="Y193" s="70"/>
      <c r="Z193" s="71"/>
      <c r="AB193" s="69" t="s">
        <v>160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39</v>
      </c>
      <c r="B195" s="75" t="s">
        <v>40</v>
      </c>
      <c r="C195" s="75"/>
      <c r="D195" s="75"/>
      <c r="E195" s="31"/>
      <c r="F195" s="31"/>
      <c r="G195" s="31"/>
      <c r="H195" s="12"/>
      <c r="J195" s="74" t="s">
        <v>39</v>
      </c>
      <c r="K195" s="75" t="s">
        <v>40</v>
      </c>
      <c r="L195" s="75"/>
      <c r="M195" s="75"/>
      <c r="N195" s="31"/>
      <c r="O195" s="31"/>
      <c r="P195" s="31"/>
      <c r="Q195" s="12"/>
      <c r="S195" s="74" t="s">
        <v>39</v>
      </c>
      <c r="T195" s="75" t="s">
        <v>40</v>
      </c>
      <c r="U195" s="75"/>
      <c r="V195" s="75"/>
      <c r="W195" s="31"/>
      <c r="X195" s="31"/>
      <c r="Y195" s="31"/>
      <c r="Z195" s="12"/>
      <c r="AB195" s="74" t="s">
        <v>39</v>
      </c>
      <c r="AC195" s="75" t="s">
        <v>40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K30</f>
        <v>10000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K29</f>
        <v>36</v>
      </c>
      <c r="B197" s="78" t="n">
        <f aca="false">B96</f>
        <v>1561.44413268187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1138.95670322641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1414.09474675972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632.980757717708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3" colorId="64" zoomScale="75" zoomScaleNormal="75" zoomScalePageLayoutView="100" workbookViewId="0">
      <selection pane="topLeft" activeCell="A42" activeCellId="0" sqref="A42"/>
    </sheetView>
  </sheetViews>
  <sheetFormatPr defaultColWidth="11.714843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0</v>
      </c>
      <c r="C4" s="54" t="n">
        <v>0</v>
      </c>
      <c r="D4" s="54" t="n">
        <v>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</v>
      </c>
      <c r="C5" s="163" t="n">
        <v>0</v>
      </c>
      <c r="D5" s="163" t="n">
        <v>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46854.17</v>
      </c>
      <c r="C7" s="65" t="n">
        <f aca="false">C3-C6</f>
        <v>0</v>
      </c>
      <c r="D7" s="65" t="n">
        <f aca="false">D3-D6</f>
        <v>833.33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-222.685622218897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47687.5</v>
      </c>
      <c r="F9" s="157"/>
      <c r="G9" s="167" t="n">
        <f aca="false">E9-G11</f>
        <v>-104337.5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9647.5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58525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</v>
      </c>
      <c r="F16" s="157"/>
      <c r="G16" s="176" t="n">
        <f aca="false">(B3+C3+E10)*1.2</f>
        <v>56885.004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57885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58525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25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140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161</v>
      </c>
      <c r="C30" s="146"/>
      <c r="D30" s="168"/>
      <c r="E30" s="169"/>
      <c r="F30" s="157"/>
      <c r="G30" s="187" t="s">
        <v>37</v>
      </c>
      <c r="H30" s="190" t="n">
        <v>10000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38</v>
      </c>
      <c r="H31" s="47" t="n">
        <v>27500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39</v>
      </c>
      <c r="B32" s="168" t="s">
        <v>40</v>
      </c>
      <c r="C32" s="168"/>
      <c r="D32" s="191" t="s">
        <v>41</v>
      </c>
      <c r="E32" s="169"/>
      <c r="F32" s="157"/>
      <c r="G32" s="187" t="s">
        <v>42</v>
      </c>
      <c r="I32" s="47" t="n">
        <v>1030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951.531975672137</v>
      </c>
      <c r="E33" s="169"/>
      <c r="F33" s="157"/>
      <c r="G33" s="188" t="s">
        <v>43</v>
      </c>
      <c r="H33" s="196" t="n">
        <f aca="false">E21-E11+((E16*20%)+(E19*20%)+(E20*20%))</f>
        <v>48877.5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44</v>
      </c>
      <c r="B35" s="168" t="s">
        <v>45</v>
      </c>
      <c r="C35" s="168"/>
      <c r="D35" s="168" t="s">
        <v>46</v>
      </c>
      <c r="E35" s="169"/>
      <c r="F35" s="157"/>
      <c r="G35" s="197" t="s">
        <v>47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922.920864561026</v>
      </c>
      <c r="B36" s="23" t="n">
        <f aca="false">IF(B26="YES", H42, "")</f>
        <v>28.6111111111111</v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49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50</v>
      </c>
      <c r="B39" s="168" t="s">
        <v>51</v>
      </c>
      <c r="C39" s="168"/>
      <c r="D39" s="168" t="s">
        <v>52</v>
      </c>
      <c r="E39" s="169"/>
      <c r="F39" s="157"/>
      <c r="G39" s="157" t="s">
        <v>53</v>
      </c>
      <c r="H39" s="202" t="n">
        <f aca="false">H33</f>
        <v>48877.5</v>
      </c>
      <c r="I39" s="202" t="n">
        <f aca="false">(I48*H46)+H44</f>
        <v>63509.8854689439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</v>
      </c>
      <c r="B40" s="58" t="n">
        <f aca="false">IF(B26="YES",H42,"0")</f>
        <v>28.6111111111111</v>
      </c>
      <c r="C40" s="58"/>
      <c r="D40" s="200" t="n">
        <f aca="false">I32</f>
        <v>1030</v>
      </c>
      <c r="E40" s="169"/>
      <c r="F40" s="157"/>
      <c r="G40" s="157" t="s">
        <v>54</v>
      </c>
      <c r="H40" s="202" t="n">
        <f aca="false">(A40)/1.2</f>
        <v>22916.6666666667</v>
      </c>
      <c r="I40" s="202" t="n">
        <f aca="false">H39-I39</f>
        <v>-14632.3854689439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55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56</v>
      </c>
      <c r="H42" s="202" t="n">
        <f aca="false">(I32/H34)*(C45/100)</f>
        <v>28.6111111111111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57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58</v>
      </c>
      <c r="B44" s="168"/>
      <c r="C44" s="208" t="s">
        <v>59</v>
      </c>
      <c r="D44" s="208"/>
      <c r="E44" s="169"/>
      <c r="F44" s="157"/>
      <c r="G44" s="157" t="s">
        <v>166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162</v>
      </c>
      <c r="B45" s="168"/>
      <c r="C45" s="210" t="s">
        <v>162</v>
      </c>
      <c r="D45" s="210"/>
      <c r="E45" s="169"/>
      <c r="F45" s="157"/>
      <c r="G45" s="157" t="s">
        <v>167</v>
      </c>
      <c r="H45" s="202" t="n">
        <f aca="false">(H39-H44)</f>
        <v>30112.5902294319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63</v>
      </c>
      <c r="H47" s="202" t="n">
        <f aca="false">H45/H46</f>
        <v>922.920864561026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64</v>
      </c>
      <c r="B48" s="168"/>
      <c r="C48" s="168"/>
      <c r="D48" s="215"/>
      <c r="E48" s="216"/>
      <c r="F48" s="157"/>
      <c r="G48" s="217" t="s">
        <v>65</v>
      </c>
      <c r="H48" s="202" t="n">
        <f aca="false">IF(B26="YES", H47+H42, H47)</f>
        <v>951.531975672137</v>
      </c>
      <c r="I48" s="202" t="n">
        <f aca="false">I49-H42</f>
        <v>1371.38888888889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66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39</v>
      </c>
      <c r="B50" s="221" t="s">
        <v>40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951.531975672137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53</v>
      </c>
      <c r="B57" s="168" t="n">
        <f aca="false">IF(B99=Y97,1,IF(B99=Y98,1,IF(B99=Y99,3,IF(B99=Y100,6,IF(B99=Y101,9,IF(B99=Y102,12,IF(B99=Y103,3,IF(B99=Y104,6,IF(B99=Y105,9,0)))))))))</f>
        <v>9</v>
      </c>
      <c r="C57" s="168"/>
      <c r="D57" s="168"/>
      <c r="E57" s="169"/>
      <c r="F57" s="157"/>
      <c r="G57" s="161" t="s">
        <v>53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53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67</v>
      </c>
      <c r="B58" s="168" t="n">
        <f aca="false">IF(B99=Y97,H29-B57,IF(B99=Y98,H29-B57,IF(B99=Y99,H29-1,IF(B99=Y100,H29-1,IF(B99=Y101,H29-1,IF(B99=Y102,H29-1,IF(B99=Y103,H29-B57,IF(B99=Y104,H29-B57,IF(B99=Y105,H29-B57,0)))))))))</f>
        <v>27</v>
      </c>
      <c r="C58" s="168"/>
      <c r="D58" s="168"/>
      <c r="E58" s="169"/>
      <c r="F58" s="157"/>
      <c r="G58" s="161" t="s">
        <v>67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67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57885</v>
      </c>
      <c r="C61" s="168"/>
      <c r="D61" s="168"/>
      <c r="E61" s="169"/>
      <c r="F61" s="157"/>
      <c r="G61" s="161" t="s">
        <v>21</v>
      </c>
      <c r="H61" s="65" t="n">
        <f aca="false">G18</f>
        <v>57885</v>
      </c>
      <c r="I61" s="168"/>
      <c r="J61" s="168"/>
      <c r="K61" s="169"/>
      <c r="L61" s="157"/>
      <c r="M61" s="161" t="s">
        <v>21</v>
      </c>
      <c r="N61" s="65" t="n">
        <f aca="false">G18</f>
        <v>57885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72</v>
      </c>
      <c r="B64" s="121" t="n">
        <f aca="false">B61*B63</f>
        <v>6077.925</v>
      </c>
      <c r="C64" s="168"/>
      <c r="D64" s="65" t="n">
        <f aca="false">B64-A145</f>
        <v>6077.925</v>
      </c>
      <c r="E64" s="169"/>
      <c r="F64" s="157"/>
      <c r="G64" s="211" t="s">
        <v>72</v>
      </c>
      <c r="H64" s="121" t="n">
        <f aca="false">H61*H63</f>
        <v>6077.925</v>
      </c>
      <c r="I64" s="168"/>
      <c r="J64" s="65" t="n">
        <f aca="false">H64-G145</f>
        <v>6077.925</v>
      </c>
      <c r="K64" s="169"/>
      <c r="L64" s="157"/>
      <c r="M64" s="211" t="s">
        <v>72</v>
      </c>
      <c r="N64" s="121" t="n">
        <f aca="false">N61*N63</f>
        <v>6077.925</v>
      </c>
      <c r="O64" s="168"/>
      <c r="P64" s="65" t="n">
        <f aca="false">N64-M145</f>
        <v>6077.925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73</v>
      </c>
      <c r="B65" s="225" t="n">
        <v>0.01</v>
      </c>
      <c r="C65" s="168"/>
      <c r="D65" s="168"/>
      <c r="E65" s="169"/>
      <c r="F65" s="157"/>
      <c r="G65" s="224" t="s">
        <v>73</v>
      </c>
      <c r="H65" s="225" t="n">
        <v>0.01</v>
      </c>
      <c r="I65" s="168"/>
      <c r="J65" s="168"/>
      <c r="K65" s="169"/>
      <c r="L65" s="157"/>
      <c r="M65" s="224" t="s">
        <v>73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74</v>
      </c>
      <c r="B66" s="165" t="n">
        <f aca="false">B65+(B65*0.5*(H29/12-1))</f>
        <v>0.02</v>
      </c>
      <c r="C66" s="168"/>
      <c r="D66" s="168"/>
      <c r="E66" s="169"/>
      <c r="F66" s="157"/>
      <c r="G66" s="161" t="s">
        <v>74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74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75</v>
      </c>
      <c r="B67" s="121" t="n">
        <f aca="false">(B61*B66)/1.2</f>
        <v>964.75</v>
      </c>
      <c r="C67" s="168"/>
      <c r="D67" s="65"/>
      <c r="E67" s="169"/>
      <c r="F67" s="157"/>
      <c r="G67" s="211" t="s">
        <v>75</v>
      </c>
      <c r="H67" s="121" t="n">
        <f aca="false">(H61*H66)/1.2</f>
        <v>964.75</v>
      </c>
      <c r="I67" s="168"/>
      <c r="J67" s="65"/>
      <c r="K67" s="169"/>
      <c r="L67" s="157"/>
      <c r="M67" s="211" t="s">
        <v>75</v>
      </c>
      <c r="N67" s="121" t="n">
        <f aca="false">(N61*N66)/1.2</f>
        <v>964.75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76</v>
      </c>
      <c r="B68" s="225" t="n">
        <v>0.0075</v>
      </c>
      <c r="C68" s="168"/>
      <c r="D68" s="168"/>
      <c r="E68" s="169"/>
      <c r="F68" s="157"/>
      <c r="G68" s="224" t="s">
        <v>76</v>
      </c>
      <c r="H68" s="225" t="n">
        <v>0.0075</v>
      </c>
      <c r="I68" s="168"/>
      <c r="J68" s="168"/>
      <c r="K68" s="169"/>
      <c r="L68" s="157"/>
      <c r="M68" s="224" t="s">
        <v>76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77</v>
      </c>
      <c r="B69" s="226" t="n">
        <v>0.12</v>
      </c>
      <c r="C69" s="168"/>
      <c r="D69" s="168"/>
      <c r="E69" s="169"/>
      <c r="F69" s="157"/>
      <c r="G69" s="158" t="s">
        <v>77</v>
      </c>
      <c r="H69" s="226" t="n">
        <v>0.12</v>
      </c>
      <c r="I69" s="168"/>
      <c r="J69" s="168"/>
      <c r="K69" s="169"/>
      <c r="L69" s="157"/>
      <c r="M69" s="158" t="s">
        <v>77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78</v>
      </c>
      <c r="B70" s="227" t="n">
        <f aca="false">B68*(1+B69)</f>
        <v>0.0084</v>
      </c>
      <c r="C70" s="168"/>
      <c r="D70" s="168"/>
      <c r="E70" s="169"/>
      <c r="F70" s="157"/>
      <c r="G70" s="211" t="s">
        <v>78</v>
      </c>
      <c r="H70" s="228" t="n">
        <f aca="false">H68*(1+H69)</f>
        <v>0.0084</v>
      </c>
      <c r="I70" s="168"/>
      <c r="J70" s="168"/>
      <c r="K70" s="169"/>
      <c r="L70" s="157"/>
      <c r="M70" s="211" t="s">
        <v>78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79</v>
      </c>
      <c r="B71" s="229" t="n">
        <v>200</v>
      </c>
      <c r="C71" s="168"/>
      <c r="D71" s="168"/>
      <c r="E71" s="169"/>
      <c r="F71" s="157"/>
      <c r="G71" s="224" t="s">
        <v>79</v>
      </c>
      <c r="H71" s="229" t="n">
        <v>160</v>
      </c>
      <c r="I71" s="168"/>
      <c r="J71" s="168"/>
      <c r="K71" s="169"/>
      <c r="L71" s="157"/>
      <c r="M71" s="224" t="s">
        <v>79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80</v>
      </c>
      <c r="B72" s="230" t="n">
        <v>5</v>
      </c>
      <c r="C72" s="168"/>
      <c r="D72" s="168"/>
      <c r="E72" s="169"/>
      <c r="F72" s="157"/>
      <c r="G72" s="158" t="s">
        <v>80</v>
      </c>
      <c r="H72" s="230" t="n">
        <v>4.5</v>
      </c>
      <c r="I72" s="168"/>
      <c r="J72" s="168"/>
      <c r="K72" s="169"/>
      <c r="L72" s="157"/>
      <c r="M72" s="158" t="s">
        <v>80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81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81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81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31" t="s">
        <v>171</v>
      </c>
      <c r="B74" s="232" t="n">
        <v>0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233" t="s">
        <v>172</v>
      </c>
      <c r="B75" s="234" t="n">
        <v>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35" t="s">
        <v>173</v>
      </c>
      <c r="B76" s="236" t="n">
        <f aca="false">((B74+B75)/12)*(H29-11)</f>
        <v>0</v>
      </c>
      <c r="C76" s="168"/>
      <c r="D76" s="65" t="n">
        <f aca="false">B76</f>
        <v>0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119" t="n">
        <f aca="false">B102*1.1</f>
        <v>0</v>
      </c>
      <c r="C77" s="168"/>
      <c r="D77" s="65" t="n">
        <f aca="false">B77</f>
        <v>0</v>
      </c>
      <c r="E77" s="169"/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v>0</v>
      </c>
      <c r="C78" s="168"/>
      <c r="D78" s="65" t="n">
        <f aca="false">B78</f>
        <v>0</v>
      </c>
      <c r="E78" s="169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82</v>
      </c>
      <c r="B79" s="230" t="n">
        <v>200</v>
      </c>
      <c r="C79" s="168"/>
      <c r="D79" s="65" t="n">
        <f aca="false">B79</f>
        <v>200</v>
      </c>
      <c r="E79" s="169"/>
      <c r="F79" s="157"/>
      <c r="G79" s="158" t="s">
        <v>82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82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83</v>
      </c>
      <c r="B80" s="238" t="n">
        <v>200</v>
      </c>
      <c r="C80" s="168"/>
      <c r="D80" s="65" t="n">
        <f aca="false">B80</f>
        <v>200</v>
      </c>
      <c r="E80" s="169"/>
      <c r="F80" s="157"/>
      <c r="G80" s="237" t="s">
        <v>83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83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84</v>
      </c>
      <c r="B81" s="240" t="n">
        <f aca="false">SUM(D64:D80)</f>
        <v>6857.925</v>
      </c>
      <c r="C81" s="168"/>
      <c r="D81" s="168"/>
      <c r="E81" s="169"/>
      <c r="F81" s="157"/>
      <c r="G81" s="239" t="s">
        <v>84</v>
      </c>
      <c r="H81" s="240" t="n">
        <f aca="false">SUM(J64:J80)</f>
        <v>7143.675</v>
      </c>
      <c r="I81" s="168"/>
      <c r="J81" s="168"/>
      <c r="K81" s="169"/>
      <c r="L81" s="157"/>
      <c r="M81" s="239" t="s">
        <v>84</v>
      </c>
      <c r="N81" s="240" t="n">
        <f aca="false">SUM(P64:P80)</f>
        <v>6799.925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85</v>
      </c>
      <c r="B82" s="166" t="n">
        <f aca="false">B81/H29</f>
        <v>190.497916666667</v>
      </c>
      <c r="C82" s="168"/>
      <c r="D82" s="168"/>
      <c r="E82" s="169"/>
      <c r="F82" s="157"/>
      <c r="G82" s="161" t="s">
        <v>85</v>
      </c>
      <c r="H82" s="166" t="n">
        <f aca="false">H81/H29</f>
        <v>198.435416666667</v>
      </c>
      <c r="I82" s="168"/>
      <c r="J82" s="168"/>
      <c r="K82" s="169"/>
      <c r="L82" s="157"/>
      <c r="M82" s="161" t="s">
        <v>85</v>
      </c>
      <c r="N82" s="166" t="n">
        <f aca="false">N81/H29</f>
        <v>188.886805555556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86</v>
      </c>
      <c r="B83" s="242" t="n">
        <f aca="false">H47</f>
        <v>922.920864561026</v>
      </c>
      <c r="C83" s="168"/>
      <c r="D83" s="168"/>
      <c r="E83" s="169"/>
      <c r="F83" s="157"/>
      <c r="G83" s="241" t="s">
        <v>86</v>
      </c>
      <c r="H83" s="242" t="n">
        <f aca="false">H47</f>
        <v>922.920864561026</v>
      </c>
      <c r="I83" s="168"/>
      <c r="J83" s="168"/>
      <c r="K83" s="169"/>
      <c r="L83" s="157"/>
      <c r="M83" s="241" t="s">
        <v>86</v>
      </c>
      <c r="N83" s="242" t="n">
        <f aca="false">H47</f>
        <v>922.920864561026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169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95</v>
      </c>
      <c r="B85" s="119" t="n">
        <f aca="false">((B83*H29)+B81)</f>
        <v>40083.0761241969</v>
      </c>
      <c r="C85" s="168"/>
      <c r="D85" s="168"/>
      <c r="E85" s="169"/>
      <c r="F85" s="157"/>
      <c r="G85" s="204" t="s">
        <v>95</v>
      </c>
      <c r="H85" s="119" t="n">
        <f aca="false">((H83*H29)+H81)*1.2</f>
        <v>48442.5913490363</v>
      </c>
      <c r="I85" s="168"/>
      <c r="J85" s="168"/>
      <c r="K85" s="169"/>
      <c r="L85" s="157"/>
      <c r="M85" s="204" t="s">
        <v>95</v>
      </c>
      <c r="N85" s="119" t="n">
        <f aca="false">((N83*H29)+N81)</f>
        <v>40025.0761241969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96</v>
      </c>
      <c r="B86" s="166" t="n">
        <f aca="false">(B85/(1-B70))*B70</f>
        <v>339.550059946807</v>
      </c>
      <c r="C86" s="168"/>
      <c r="D86" s="168"/>
      <c r="E86" s="169"/>
      <c r="F86" s="157"/>
      <c r="G86" s="161" t="s">
        <v>96</v>
      </c>
      <c r="H86" s="166" t="n">
        <f aca="false">((((H83*H29)+H81))/(1-H70))*H70</f>
        <v>341.970693266694</v>
      </c>
      <c r="I86" s="168"/>
      <c r="J86" s="168"/>
      <c r="K86" s="169"/>
      <c r="L86" s="157"/>
      <c r="M86" s="161" t="s">
        <v>96</v>
      </c>
      <c r="N86" s="166" t="n">
        <f aca="false">(N85/(1-N70))*N70</f>
        <v>339.058732798764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97</v>
      </c>
      <c r="B87" s="121" t="n">
        <f aca="false">IF(B110="YES",((B85+B86)-E114),(B85+B86))</f>
        <v>40422.6261841437</v>
      </c>
      <c r="C87" s="168"/>
      <c r="D87" s="168"/>
      <c r="E87" s="169"/>
      <c r="F87" s="157"/>
      <c r="G87" s="211" t="s">
        <v>97</v>
      </c>
      <c r="H87" s="121" t="n">
        <f aca="false">IF(H110="YES",((H85+H86)-K114),(H85+H86))</f>
        <v>48784.562042303</v>
      </c>
      <c r="I87" s="168"/>
      <c r="J87" s="168"/>
      <c r="K87" s="169"/>
      <c r="L87" s="157"/>
      <c r="M87" s="211" t="s">
        <v>97</v>
      </c>
      <c r="N87" s="121" t="n">
        <f aca="false">IF(N110="YES",((N85+N86)-Q114),(N85+N86))</f>
        <v>40364.1348569957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98</v>
      </c>
      <c r="B89" s="240" t="n">
        <f aca="false">IF(B99=Y98, (D40+(D40*B105))/(B58), (D40+(D40*B105))/(B57+B58))</f>
        <v>34.3333333333333</v>
      </c>
      <c r="C89" s="168"/>
      <c r="D89" s="168"/>
      <c r="E89" s="169"/>
      <c r="F89" s="157"/>
      <c r="G89" s="239" t="s">
        <v>98</v>
      </c>
      <c r="H89" s="240" t="n">
        <f aca="false">IF(H99=Y98, (D40+(D40*H105))/(H58), (D40+(D40*H105))/(H57+H58))*1.2</f>
        <v>36.1756097560976</v>
      </c>
      <c r="I89" s="168"/>
      <c r="J89" s="168"/>
      <c r="K89" s="169"/>
      <c r="L89" s="157"/>
      <c r="M89" s="239" t="s">
        <v>98</v>
      </c>
      <c r="N89" s="240" t="n">
        <f aca="false">IF(N99=Y98, (D40+(D40*N105))/(N58), (D40+(D40*N105))/(N57+N58))</f>
        <v>30.1463414634146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99</v>
      </c>
      <c r="B90" s="244" t="n">
        <f aca="false">IF(B99=Y98, (B87-D105)/(B58), B87/(B57+B58))</f>
        <v>1122.85072733733</v>
      </c>
      <c r="C90" s="168"/>
      <c r="D90" s="168"/>
      <c r="E90" s="169"/>
      <c r="F90" s="157"/>
      <c r="G90" s="243" t="s">
        <v>99</v>
      </c>
      <c r="H90" s="244" t="n">
        <f aca="false">IF(H99=Y98, (H87-J105)/(H58), H87/(H57+H58))</f>
        <v>1189.86736688544</v>
      </c>
      <c r="I90" s="168"/>
      <c r="J90" s="168"/>
      <c r="K90" s="169"/>
      <c r="L90" s="157"/>
      <c r="M90" s="243" t="s">
        <v>99</v>
      </c>
      <c r="N90" s="244" t="n">
        <f aca="false">IF(N99=Y98, (N87-P105)/(N58), N87/(N57+N58))</f>
        <v>984.491094073066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100</v>
      </c>
      <c r="B91" s="246" t="n">
        <f aca="false">IF(A105="YES", B90+B89, B90)</f>
        <v>1157.18406067066</v>
      </c>
      <c r="C91" s="168"/>
      <c r="D91" s="168"/>
      <c r="E91" s="169"/>
      <c r="F91" s="157"/>
      <c r="G91" s="245" t="s">
        <v>100</v>
      </c>
      <c r="H91" s="246" t="n">
        <f aca="false">IF(G105="YES", H90+H89, H90)</f>
        <v>1226.04297664154</v>
      </c>
      <c r="I91" s="168"/>
      <c r="J91" s="168"/>
      <c r="K91" s="169"/>
      <c r="L91" s="157"/>
      <c r="M91" s="245" t="s">
        <v>100</v>
      </c>
      <c r="N91" s="246" t="n">
        <f aca="false">IF(M105="YES", N90+N89, N90)</f>
        <v>1014.63743553648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176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106</v>
      </c>
      <c r="Z97" s="157"/>
      <c r="AC97" s="247"/>
    </row>
    <row r="98" customFormat="false" ht="18.75" hidden="false" customHeight="true" outlineLevel="0" collapsed="false">
      <c r="A98" s="161" t="s">
        <v>104</v>
      </c>
      <c r="B98" s="168" t="s">
        <v>30</v>
      </c>
      <c r="C98" s="168"/>
      <c r="D98" s="168" t="s">
        <v>178</v>
      </c>
      <c r="E98" s="169"/>
      <c r="F98" s="157"/>
      <c r="G98" s="161" t="s">
        <v>104</v>
      </c>
      <c r="H98" s="168" t="s">
        <v>30</v>
      </c>
      <c r="I98" s="168"/>
      <c r="J98" s="168" t="s">
        <v>178</v>
      </c>
      <c r="K98" s="169"/>
      <c r="L98" s="157"/>
      <c r="M98" s="161" t="s">
        <v>104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181</v>
      </c>
      <c r="C99" s="248"/>
      <c r="D99" s="58" t="n">
        <v>1000</v>
      </c>
      <c r="E99" s="58"/>
      <c r="F99" s="157"/>
      <c r="G99" s="185" t="s">
        <v>180</v>
      </c>
      <c r="H99" s="248" t="s">
        <v>182</v>
      </c>
      <c r="I99" s="248"/>
      <c r="J99" s="58" t="n">
        <v>0</v>
      </c>
      <c r="K99" s="58"/>
      <c r="L99" s="157"/>
      <c r="M99" s="185" t="s">
        <v>180</v>
      </c>
      <c r="N99" s="248" t="s">
        <v>182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183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182</v>
      </c>
      <c r="Z100" s="157"/>
    </row>
    <row r="101" customFormat="false" ht="18.75" hidden="false" customHeight="true" outlineLevel="0" collapsed="false">
      <c r="A101" s="161" t="s">
        <v>184</v>
      </c>
      <c r="B101" s="168" t="s">
        <v>185</v>
      </c>
      <c r="C101" s="168"/>
      <c r="D101" s="168" t="s">
        <v>186</v>
      </c>
      <c r="E101" s="169"/>
      <c r="F101" s="157"/>
      <c r="G101" s="161" t="s">
        <v>184</v>
      </c>
      <c r="H101" s="168" t="s">
        <v>185</v>
      </c>
      <c r="I101" s="168"/>
      <c r="J101" s="168" t="s">
        <v>186</v>
      </c>
      <c r="K101" s="169"/>
      <c r="L101" s="157"/>
      <c r="M101" s="161" t="s">
        <v>184</v>
      </c>
      <c r="N101" s="168" t="s">
        <v>185</v>
      </c>
      <c r="O101" s="168"/>
      <c r="P101" s="168" t="s">
        <v>186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187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188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189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107</v>
      </c>
      <c r="C104" s="168"/>
      <c r="D104" s="168" t="s">
        <v>119</v>
      </c>
      <c r="E104" s="169"/>
      <c r="F104" s="157"/>
      <c r="G104" s="185" t="s">
        <v>29</v>
      </c>
      <c r="H104" s="157" t="s">
        <v>107</v>
      </c>
      <c r="I104" s="168"/>
      <c r="J104" s="168" t="s">
        <v>119</v>
      </c>
      <c r="K104" s="169"/>
      <c r="L104" s="157"/>
      <c r="M104" s="185" t="s">
        <v>29</v>
      </c>
      <c r="N104" s="157" t="s">
        <v>107</v>
      </c>
      <c r="O104" s="168"/>
      <c r="P104" s="168" t="s">
        <v>119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190</v>
      </c>
      <c r="Z104" s="157"/>
    </row>
    <row r="105" customFormat="false" ht="18.75" hidden="false" customHeight="true" outlineLevel="0" collapsed="false">
      <c r="A105" s="186" t="s">
        <v>25</v>
      </c>
      <c r="B105" s="249" t="n">
        <v>0.2</v>
      </c>
      <c r="C105" s="249"/>
      <c r="D105" s="58" t="s">
        <v>191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192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 t="s">
        <v>193</v>
      </c>
      <c r="C107" s="186" t="s">
        <v>26</v>
      </c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193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194</v>
      </c>
      <c r="B108" s="189"/>
      <c r="C108" s="189"/>
      <c r="D108" s="189"/>
      <c r="E108" s="189"/>
      <c r="F108" s="157"/>
      <c r="G108" s="189" t="s">
        <v>194</v>
      </c>
      <c r="H108" s="189"/>
      <c r="I108" s="189"/>
      <c r="J108" s="189"/>
      <c r="K108" s="189"/>
      <c r="L108" s="157"/>
      <c r="M108" s="189" t="s">
        <v>194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195</v>
      </c>
      <c r="B110" s="186" t="s">
        <v>26</v>
      </c>
      <c r="C110" s="168"/>
      <c r="D110" s="168"/>
      <c r="E110" s="169"/>
      <c r="F110" s="157"/>
      <c r="G110" s="161" t="s">
        <v>195</v>
      </c>
      <c r="H110" s="186" t="s">
        <v>26</v>
      </c>
      <c r="I110" s="168"/>
      <c r="J110" s="168"/>
      <c r="K110" s="169"/>
      <c r="L110" s="157"/>
      <c r="M110" s="161" t="s">
        <v>195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133</v>
      </c>
      <c r="B112" s="168"/>
      <c r="C112" s="168"/>
      <c r="D112" s="57" t="n">
        <v>500</v>
      </c>
      <c r="E112" s="58" t="n">
        <v>300</v>
      </c>
      <c r="F112" s="157"/>
      <c r="G112" s="161" t="s">
        <v>133</v>
      </c>
      <c r="H112" s="168"/>
      <c r="I112" s="168"/>
      <c r="J112" s="57" t="n">
        <v>0</v>
      </c>
      <c r="K112" s="58" t="n">
        <v>0</v>
      </c>
      <c r="L112" s="157"/>
      <c r="M112" s="161" t="s">
        <v>133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134</v>
      </c>
      <c r="B113" s="168"/>
      <c r="C113" s="168"/>
      <c r="D113" s="26" t="n">
        <f aca="false">E113</f>
        <v>100</v>
      </c>
      <c r="E113" s="58" t="n">
        <v>100</v>
      </c>
      <c r="F113" s="157"/>
      <c r="G113" s="161" t="s">
        <v>134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134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135</v>
      </c>
      <c r="B114" s="168"/>
      <c r="C114" s="168"/>
      <c r="D114" s="26" t="n">
        <f aca="false">D112-D113</f>
        <v>400</v>
      </c>
      <c r="E114" s="141" t="n">
        <f aca="false">E112-E113</f>
        <v>200</v>
      </c>
      <c r="F114" s="157"/>
      <c r="G114" s="161" t="s">
        <v>135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135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136</v>
      </c>
      <c r="B115" s="168"/>
      <c r="C115" s="168"/>
      <c r="D115" s="26" t="n">
        <f aca="false">D114-E114</f>
        <v>200</v>
      </c>
      <c r="E115" s="169"/>
      <c r="F115" s="157"/>
      <c r="G115" s="161" t="s">
        <v>136</v>
      </c>
      <c r="H115" s="168"/>
      <c r="I115" s="168"/>
      <c r="J115" s="26" t="n">
        <f aca="false">J114-K114</f>
        <v>0</v>
      </c>
      <c r="K115" s="169"/>
      <c r="L115" s="157"/>
      <c r="M115" s="161" t="s">
        <v>136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115</v>
      </c>
      <c r="B117" s="205"/>
      <c r="C117" s="205"/>
      <c r="D117" s="205"/>
      <c r="E117" s="119" t="n">
        <f aca="false">D99</f>
        <v>1000</v>
      </c>
      <c r="F117" s="157"/>
      <c r="G117" s="204" t="s">
        <v>115</v>
      </c>
      <c r="H117" s="205"/>
      <c r="I117" s="205"/>
      <c r="J117" s="205"/>
      <c r="K117" s="119" t="n">
        <f aca="false">J99</f>
        <v>0</v>
      </c>
      <c r="L117" s="157"/>
      <c r="M117" s="204" t="s">
        <v>115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139</v>
      </c>
      <c r="B118" s="168"/>
      <c r="C118" s="168"/>
      <c r="D118" s="168"/>
      <c r="E118" s="166" t="n">
        <f aca="false">A102</f>
        <v>199.99</v>
      </c>
      <c r="F118" s="157"/>
      <c r="G118" s="161" t="s">
        <v>139</v>
      </c>
      <c r="H118" s="168"/>
      <c r="I118" s="168"/>
      <c r="J118" s="168"/>
      <c r="K118" s="166" t="n">
        <f aca="false">G102</f>
        <v>199.99</v>
      </c>
      <c r="L118" s="157"/>
      <c r="M118" s="161" t="s">
        <v>139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196</v>
      </c>
      <c r="B119" s="212"/>
      <c r="C119" s="212"/>
      <c r="D119" s="212"/>
      <c r="E119" s="121" t="n">
        <f aca="false">(E118+E117)-D115</f>
        <v>999.99</v>
      </c>
      <c r="F119" s="157"/>
      <c r="G119" s="250" t="s">
        <v>196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196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197</v>
      </c>
      <c r="B122" s="189"/>
      <c r="C122" s="189"/>
      <c r="D122" s="189"/>
      <c r="E122" s="189"/>
      <c r="F122" s="157"/>
      <c r="G122" s="189" t="s">
        <v>197</v>
      </c>
      <c r="H122" s="189"/>
      <c r="I122" s="189"/>
      <c r="J122" s="189"/>
      <c r="K122" s="189"/>
      <c r="L122" s="157"/>
      <c r="M122" s="189" t="s">
        <v>197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198</v>
      </c>
      <c r="B126" s="252" t="s">
        <v>199</v>
      </c>
      <c r="C126" s="252"/>
      <c r="D126" s="252" t="s">
        <v>100</v>
      </c>
      <c r="E126" s="169"/>
      <c r="F126" s="157"/>
      <c r="G126" s="251" t="s">
        <v>200</v>
      </c>
      <c r="H126" s="252" t="s">
        <v>201</v>
      </c>
      <c r="I126" s="252"/>
      <c r="J126" s="252" t="s">
        <v>202</v>
      </c>
      <c r="K126" s="169"/>
      <c r="L126" s="157"/>
      <c r="M126" s="251" t="s">
        <v>198</v>
      </c>
      <c r="N126" s="252" t="s">
        <v>199</v>
      </c>
      <c r="O126" s="252"/>
      <c r="P126" s="252" t="s">
        <v>100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1122.85072733733</v>
      </c>
      <c r="B127" s="150" t="n">
        <f aca="false">IF(A105="YES", B89*B57, 0)</f>
        <v>309</v>
      </c>
      <c r="C127" s="150"/>
      <c r="D127" s="150" t="n">
        <f aca="false">B91</f>
        <v>1157.18406067066</v>
      </c>
      <c r="E127" s="169"/>
      <c r="F127" s="157"/>
      <c r="G127" s="253" t="n">
        <f aca="false">H90</f>
        <v>1189.86736688544</v>
      </c>
      <c r="H127" s="150" t="n">
        <f aca="false">IF(G105="YES", H89*H57, 0)</f>
        <v>217.053658536585</v>
      </c>
      <c r="I127" s="150"/>
      <c r="J127" s="254" t="n">
        <f aca="false">H91</f>
        <v>1226.04297664154</v>
      </c>
      <c r="K127" s="169"/>
      <c r="L127" s="157"/>
      <c r="M127" s="253" t="n">
        <f aca="false">N90</f>
        <v>984.491094073066</v>
      </c>
      <c r="N127" s="150" t="n">
        <f aca="false">IF(M105="YES", N89*N57, 0)</f>
        <v>180.878048780488</v>
      </c>
      <c r="O127" s="150"/>
      <c r="P127" s="150" t="n">
        <f aca="false">N91</f>
        <v>1014.63743553648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39</v>
      </c>
      <c r="B129" s="168" t="s">
        <v>40</v>
      </c>
      <c r="C129" s="168"/>
      <c r="D129" s="168" t="s">
        <v>67</v>
      </c>
      <c r="E129" s="169"/>
      <c r="F129" s="157"/>
      <c r="G129" s="161" t="s">
        <v>39</v>
      </c>
      <c r="H129" s="168" t="s">
        <v>40</v>
      </c>
      <c r="I129" s="168"/>
      <c r="J129" s="168" t="s">
        <v>67</v>
      </c>
      <c r="K129" s="169"/>
      <c r="L129" s="157"/>
      <c r="M129" s="161" t="s">
        <v>39</v>
      </c>
      <c r="N129" s="168" t="s">
        <v>40</v>
      </c>
      <c r="O129" s="168"/>
      <c r="P129" s="168" t="s">
        <v>67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A155</f>
        <v>36</v>
      </c>
      <c r="B130" s="193" t="n">
        <f aca="false">B151</f>
        <v>0</v>
      </c>
      <c r="C130" s="194"/>
      <c r="D130" s="193" t="n">
        <f aca="false">B58</f>
        <v>27</v>
      </c>
      <c r="E130" s="169"/>
      <c r="F130" s="157"/>
      <c r="G130" s="192" t="n">
        <f aca="false">G152</f>
        <v>36</v>
      </c>
      <c r="H130" s="193" t="n">
        <f aca="false">B151</f>
        <v>0</v>
      </c>
      <c r="I130" s="194"/>
      <c r="J130" s="193" t="n">
        <f aca="false">B58</f>
        <v>27</v>
      </c>
      <c r="K130" s="169"/>
      <c r="L130" s="157"/>
      <c r="M130" s="192" t="n">
        <f aca="false">M155</f>
        <v>36</v>
      </c>
      <c r="N130" s="193" t="n">
        <f aca="false">B151</f>
        <v>0</v>
      </c>
      <c r="O130" s="194"/>
      <c r="P130" s="193" t="n">
        <f aca="false">B58</f>
        <v>27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203</v>
      </c>
      <c r="B132" s="168" t="s">
        <v>204</v>
      </c>
      <c r="C132" s="168"/>
      <c r="D132" s="168" t="s">
        <v>205</v>
      </c>
      <c r="E132" s="169"/>
      <c r="F132" s="157"/>
      <c r="G132" s="161" t="s">
        <v>206</v>
      </c>
      <c r="H132" s="168" t="s">
        <v>207</v>
      </c>
      <c r="I132" s="168"/>
      <c r="J132" s="168" t="s">
        <v>208</v>
      </c>
      <c r="K132" s="169"/>
      <c r="L132" s="157"/>
      <c r="M132" s="161" t="s">
        <v>203</v>
      </c>
      <c r="N132" s="168" t="s">
        <v>204</v>
      </c>
      <c r="O132" s="168"/>
      <c r="P132" s="168" t="s">
        <v>205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10105.6565460359</v>
      </c>
      <c r="B133" s="23" t="n">
        <f aca="false">IF(A105="YES", B89*B57, 0)</f>
        <v>309</v>
      </c>
      <c r="C133" s="199"/>
      <c r="D133" s="200" t="n">
        <f aca="false">B91*B57</f>
        <v>10414.6565460359</v>
      </c>
      <c r="E133" s="169"/>
      <c r="F133" s="157"/>
      <c r="G133" s="55" t="n">
        <f aca="false">H90*H57</f>
        <v>7139.20420131264</v>
      </c>
      <c r="H133" s="23" t="n">
        <f aca="false">IF(G105="YES", H89*H57, 0)</f>
        <v>217.053658536585</v>
      </c>
      <c r="I133" s="199"/>
      <c r="J133" s="200" t="n">
        <f aca="false">H91*H57</f>
        <v>7356.25785984922</v>
      </c>
      <c r="K133" s="169"/>
      <c r="L133" s="157"/>
      <c r="M133" s="55" t="n">
        <f aca="false">N90*N57</f>
        <v>5906.94656443839</v>
      </c>
      <c r="N133" s="23" t="n">
        <f aca="false">IF(M105="YES", N89*N57, 0)</f>
        <v>180.878048780488</v>
      </c>
      <c r="O133" s="199"/>
      <c r="P133" s="200" t="n">
        <f aca="false">N91*N57</f>
        <v>6087.82461321888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209</v>
      </c>
      <c r="B135" s="168" t="s">
        <v>210</v>
      </c>
      <c r="C135" s="168"/>
      <c r="D135" s="168" t="s">
        <v>211</v>
      </c>
      <c r="E135" s="169"/>
      <c r="F135" s="157"/>
      <c r="G135" s="161" t="s">
        <v>212</v>
      </c>
      <c r="H135" s="168" t="s">
        <v>213</v>
      </c>
      <c r="I135" s="168"/>
      <c r="J135" s="168" t="s">
        <v>214</v>
      </c>
      <c r="K135" s="169"/>
      <c r="L135" s="157"/>
      <c r="M135" s="161" t="s">
        <v>209</v>
      </c>
      <c r="N135" s="168" t="s">
        <v>210</v>
      </c>
      <c r="O135" s="168"/>
      <c r="P135" s="168" t="s">
        <v>211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0.35115</v>
      </c>
      <c r="B136" s="23" t="n">
        <f aca="false">IF(A105="YES", E15*0.000002, 0)</f>
        <v>0.11705</v>
      </c>
      <c r="C136" s="23"/>
      <c r="D136" s="23" t="n">
        <f aca="false">A136+B136</f>
        <v>0.4682</v>
      </c>
      <c r="E136" s="153"/>
      <c r="F136" s="157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53"/>
      <c r="L136" s="157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118</v>
      </c>
      <c r="B138" s="168" t="s">
        <v>215</v>
      </c>
      <c r="C138" s="168"/>
      <c r="D138" s="168" t="s">
        <v>216</v>
      </c>
      <c r="E138" s="169"/>
      <c r="F138" s="157"/>
      <c r="G138" s="161" t="s">
        <v>217</v>
      </c>
      <c r="H138" s="168" t="s">
        <v>215</v>
      </c>
      <c r="I138" s="168"/>
      <c r="J138" s="168" t="s">
        <v>216</v>
      </c>
      <c r="K138" s="169"/>
      <c r="L138" s="157"/>
      <c r="M138" s="161" t="s">
        <v>118</v>
      </c>
      <c r="N138" s="168" t="s">
        <v>215</v>
      </c>
      <c r="O138" s="168"/>
      <c r="P138" s="168" t="s">
        <v>216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964.75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218</v>
      </c>
      <c r="B141" s="168" t="s">
        <v>219</v>
      </c>
      <c r="C141" s="168"/>
      <c r="D141" s="168" t="s">
        <v>220</v>
      </c>
      <c r="E141" s="169"/>
      <c r="F141" s="157"/>
      <c r="G141" s="161" t="s">
        <v>218</v>
      </c>
      <c r="H141" s="168" t="s">
        <v>219</v>
      </c>
      <c r="I141" s="168"/>
      <c r="J141" s="168" t="s">
        <v>220</v>
      </c>
      <c r="K141" s="169"/>
      <c r="L141" s="157"/>
      <c r="M141" s="161" t="s">
        <v>218</v>
      </c>
      <c r="N141" s="168" t="s">
        <v>219</v>
      </c>
      <c r="O141" s="168"/>
      <c r="P141" s="168" t="s">
        <v>220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20.6</v>
      </c>
      <c r="B142" s="23" t="n">
        <f aca="false">A102-100</f>
        <v>99.99</v>
      </c>
      <c r="C142" s="23"/>
      <c r="D142" s="23" t="n">
        <f aca="false">(B139+D139+A142+B142)-B145</f>
        <v>1085.34</v>
      </c>
      <c r="E142" s="153"/>
      <c r="F142" s="157"/>
      <c r="G142" s="22" t="n">
        <f aca="false">IF(G105="YES", ((B36*H105)*0.1)*(G130), 0)</f>
        <v>20.6</v>
      </c>
      <c r="H142" s="23" t="n">
        <f aca="false">G102-100</f>
        <v>99.99</v>
      </c>
      <c r="I142" s="23"/>
      <c r="J142" s="23" t="n">
        <f aca="false">(H139+J139+G142+H142)-H145</f>
        <v>1085.34</v>
      </c>
      <c r="K142" s="153"/>
      <c r="L142" s="157"/>
      <c r="M142" s="22" t="n">
        <f aca="false">IF(M105="YES", ((B36*N105)*0.1)*(M130), 0)</f>
        <v>20.6</v>
      </c>
      <c r="N142" s="23" t="n">
        <f aca="false">M102-100</f>
        <v>99.99</v>
      </c>
      <c r="O142" s="23"/>
      <c r="P142" s="23" t="n">
        <f aca="false">(N139+P139+M142+N142)-N145</f>
        <v>1085.34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221</v>
      </c>
      <c r="B144" s="168" t="s">
        <v>222</v>
      </c>
      <c r="C144" s="168"/>
      <c r="D144" s="168"/>
      <c r="E144" s="169"/>
      <c r="F144" s="157"/>
      <c r="G144" s="161" t="s">
        <v>221</v>
      </c>
      <c r="H144" s="168" t="s">
        <v>222</v>
      </c>
      <c r="I144" s="168"/>
      <c r="J144" s="168"/>
      <c r="K144" s="169"/>
      <c r="L144" s="157"/>
      <c r="M144" s="161" t="s">
        <v>221</v>
      </c>
      <c r="N144" s="168" t="s">
        <v>222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22" t="n">
        <v>0</v>
      </c>
      <c r="N145" s="23" t="n">
        <f aca="false">(N139+P139+M142+N142)*(M145/N64)</f>
        <v>0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22"/>
      <c r="B146" s="23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64" t="s">
        <v>223</v>
      </c>
      <c r="B147" s="26" t="s">
        <v>224</v>
      </c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223</v>
      </c>
      <c r="N147" s="26" t="s">
        <v>224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55" t="n">
        <v>18000</v>
      </c>
      <c r="B148" s="256" t="n">
        <v>0.99</v>
      </c>
      <c r="C148" s="256"/>
      <c r="D148" s="168"/>
      <c r="E148" s="169"/>
      <c r="F148" s="157"/>
      <c r="G148" s="214" t="s">
        <v>225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168"/>
      <c r="C149" s="16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161"/>
      <c r="B150" s="168"/>
      <c r="C150" s="168"/>
      <c r="D150" s="168"/>
      <c r="E150" s="169"/>
      <c r="F150" s="157"/>
      <c r="G150" s="220" t="s">
        <v>39</v>
      </c>
      <c r="H150" s="221" t="s">
        <v>40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14" t="s">
        <v>225</v>
      </c>
      <c r="B151" s="168"/>
      <c r="C151" s="168"/>
      <c r="D151" s="215"/>
      <c r="E151" s="216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225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161"/>
      <c r="B152" s="218"/>
      <c r="C152" s="218"/>
      <c r="D152" s="168"/>
      <c r="E152" s="169"/>
      <c r="F152" s="157"/>
      <c r="G152" s="223" t="n">
        <f aca="false">A52</f>
        <v>36</v>
      </c>
      <c r="H152" s="78" t="n">
        <f aca="false">H91</f>
        <v>1226.04297664154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220" t="s">
        <v>39</v>
      </c>
      <c r="B153" s="221" t="s">
        <v>40</v>
      </c>
      <c r="C153" s="221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39</v>
      </c>
      <c r="N153" s="221" t="s">
        <v>40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220"/>
      <c r="B154" s="222" t="n">
        <f aca="false">A51</f>
        <v>0</v>
      </c>
      <c r="C154" s="222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223" t="n">
        <f aca="false">A52</f>
        <v>36</v>
      </c>
      <c r="B155" s="78" t="n">
        <f aca="false">B91</f>
        <v>1157.18406067066</v>
      </c>
      <c r="C155" s="7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1014.63743553648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22" colorId="64" zoomScale="75" zoomScaleNormal="75" zoomScalePageLayoutView="100" workbookViewId="0">
      <selection pane="topLeft" activeCell="H42" activeCellId="0" sqref="H42"/>
    </sheetView>
  </sheetViews>
  <sheetFormatPr defaultColWidth="11.714843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15</v>
      </c>
      <c r="C4" s="54" t="n">
        <v>0</v>
      </c>
      <c r="D4" s="54" t="n">
        <v>9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52</v>
      </c>
      <c r="C5" s="163" t="n">
        <v>0</v>
      </c>
      <c r="D5" s="163" t="n">
        <v>15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7080.1255</v>
      </c>
      <c r="C6" s="65" t="n">
        <f aca="false">(C3*C4/100)+C5</f>
        <v>0</v>
      </c>
      <c r="D6" s="65" t="n">
        <f aca="false">(D3*D4/100)+D5</f>
        <v>89.9997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39774.0445</v>
      </c>
      <c r="C7" s="65" t="n">
        <f aca="false">C3-C6</f>
        <v>0</v>
      </c>
      <c r="D7" s="65" t="n">
        <f aca="false">D3-D6</f>
        <v>743.3303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-237.988689587288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40517.3748</v>
      </c>
      <c r="F9" s="157"/>
      <c r="G9" s="167" t="n">
        <f aca="false">E9-G11</f>
        <v>-111507.6252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8113.47496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49320.84976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120</v>
      </c>
      <c r="F16" s="157"/>
      <c r="G16" s="176" t="n">
        <f aca="false">(B3+C3+E10)*1.2</f>
        <v>56285.004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57285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49176.84976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25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140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161</v>
      </c>
      <c r="C30" s="146"/>
      <c r="D30" s="168"/>
      <c r="E30" s="169"/>
      <c r="F30" s="157"/>
      <c r="G30" s="187" t="s">
        <v>37</v>
      </c>
      <c r="H30" s="190" t="n">
        <v>10000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38</v>
      </c>
      <c r="H31" s="47" t="n">
        <v>27500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39</v>
      </c>
      <c r="B32" s="168" t="s">
        <v>40</v>
      </c>
      <c r="C32" s="168"/>
      <c r="D32" s="191" t="s">
        <v>41</v>
      </c>
      <c r="E32" s="169"/>
      <c r="F32" s="157"/>
      <c r="G32" s="187" t="s">
        <v>42</v>
      </c>
      <c r="I32" s="47" t="n">
        <v>1030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712.772406008963</v>
      </c>
      <c r="E33" s="169"/>
      <c r="F33" s="157"/>
      <c r="G33" s="188" t="s">
        <v>43</v>
      </c>
      <c r="H33" s="196" t="n">
        <f aca="false">E21-E11+((E16*20%)+(E19*20%)+(E20*20%))</f>
        <v>41087.3748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44</v>
      </c>
      <c r="B35" s="168" t="s">
        <v>45</v>
      </c>
      <c r="C35" s="168"/>
      <c r="D35" s="168" t="s">
        <v>46</v>
      </c>
      <c r="E35" s="169"/>
      <c r="F35" s="157"/>
      <c r="G35" s="197" t="s">
        <v>47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684.161294897852</v>
      </c>
      <c r="B36" s="23" t="n">
        <f aca="false">IF(B26="YES", H42, "")</f>
        <v>28.6111111111111</v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49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50</v>
      </c>
      <c r="B39" s="168" t="s">
        <v>51</v>
      </c>
      <c r="C39" s="168"/>
      <c r="D39" s="168" t="s">
        <v>52</v>
      </c>
      <c r="E39" s="169"/>
      <c r="F39" s="157"/>
      <c r="G39" s="157" t="s">
        <v>53</v>
      </c>
      <c r="H39" s="202" t="n">
        <f aca="false">H33</f>
        <v>41087.3748</v>
      </c>
      <c r="I39" s="202" t="n">
        <f aca="false">(I48*H46)+H44</f>
        <v>63509.8854689439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</v>
      </c>
      <c r="B40" s="58" t="n">
        <f aca="false">IF(B26="YES",H42,"0")</f>
        <v>28.6111111111111</v>
      </c>
      <c r="C40" s="58"/>
      <c r="D40" s="200" t="n">
        <f aca="false">I32</f>
        <v>1030</v>
      </c>
      <c r="E40" s="169"/>
      <c r="F40" s="157"/>
      <c r="G40" s="157" t="s">
        <v>54</v>
      </c>
      <c r="H40" s="202" t="n">
        <f aca="false">(A40)/1.2</f>
        <v>22916.6666666667</v>
      </c>
      <c r="I40" s="202" t="n">
        <f aca="false">H39-I39</f>
        <v>-22422.5106689439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55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56</v>
      </c>
      <c r="H42" s="202" t="n">
        <f aca="false">(I32/H34)*(C45/100)</f>
        <v>28.6111111111111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57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58</v>
      </c>
      <c r="B44" s="168"/>
      <c r="C44" s="208" t="s">
        <v>59</v>
      </c>
      <c r="D44" s="208"/>
      <c r="E44" s="169"/>
      <c r="F44" s="157"/>
      <c r="G44" s="157" t="s">
        <v>166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162</v>
      </c>
      <c r="B45" s="168"/>
      <c r="C45" s="257" t="s">
        <v>162</v>
      </c>
      <c r="D45" s="257"/>
      <c r="E45" s="169"/>
      <c r="F45" s="157"/>
      <c r="G45" s="157" t="s">
        <v>167</v>
      </c>
      <c r="H45" s="202" t="n">
        <f aca="false">(H39-H44)</f>
        <v>22322.4650294319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63</v>
      </c>
      <c r="H47" s="202" t="n">
        <f aca="false">H45/H46</f>
        <v>684.161294897852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64</v>
      </c>
      <c r="B48" s="168"/>
      <c r="C48" s="168"/>
      <c r="D48" s="215"/>
      <c r="E48" s="216"/>
      <c r="F48" s="157"/>
      <c r="G48" s="217" t="s">
        <v>65</v>
      </c>
      <c r="H48" s="202" t="n">
        <f aca="false">IF(B26="YES", H47+H42, H47)</f>
        <v>712.772406008963</v>
      </c>
      <c r="I48" s="202" t="n">
        <f aca="false">I49-H42</f>
        <v>1371.38888888889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66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39</v>
      </c>
      <c r="B50" s="221" t="s">
        <v>40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712.772406008963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53</v>
      </c>
      <c r="B57" s="168" t="n">
        <f aca="false">IF(B99=Y97,1,IF(B99=Y98,1,IF(B99=Y99,3,IF(B99=Y100,6,IF(B99=Y101,9,IF(B99=Y102,12,IF(B99=Y103,3,IF(B99=Y104,6,IF(B99=Y105,9,0)))))))))</f>
        <v>9</v>
      </c>
      <c r="C57" s="168"/>
      <c r="D57" s="168"/>
      <c r="E57" s="169"/>
      <c r="F57" s="157"/>
      <c r="G57" s="161" t="s">
        <v>53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53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67</v>
      </c>
      <c r="B58" s="168" t="n">
        <f aca="false">IF(B99=Y97,H29-B57,IF(B99=Y98,H29-B57,IF(B99=Y99,H29-1,IF(B99=Y100,H29-1,IF(B99=Y101,H29-1,IF(B99=Y102,H29-1,IF(B99=Y103,H29-B57,IF(B99=Y104,H29-B57,IF(B99=Y105,H29-B57,0)))))))))</f>
        <v>27</v>
      </c>
      <c r="C58" s="168"/>
      <c r="D58" s="168"/>
      <c r="E58" s="169"/>
      <c r="F58" s="157"/>
      <c r="G58" s="161" t="s">
        <v>67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67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57285</v>
      </c>
      <c r="C61" s="168"/>
      <c r="D61" s="168"/>
      <c r="E61" s="169"/>
      <c r="F61" s="157"/>
      <c r="G61" s="161" t="s">
        <v>21</v>
      </c>
      <c r="H61" s="65" t="n">
        <f aca="false">G18</f>
        <v>57285</v>
      </c>
      <c r="I61" s="168"/>
      <c r="J61" s="168"/>
      <c r="K61" s="169"/>
      <c r="L61" s="157"/>
      <c r="M61" s="161" t="s">
        <v>21</v>
      </c>
      <c r="N61" s="65" t="n">
        <f aca="false">G18</f>
        <v>57285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72</v>
      </c>
      <c r="B64" s="121" t="n">
        <f aca="false">B61*B63</f>
        <v>6014.925</v>
      </c>
      <c r="C64" s="168"/>
      <c r="D64" s="65" t="n">
        <f aca="false">B64-A145</f>
        <v>6014.925</v>
      </c>
      <c r="E64" s="258" t="n">
        <f aca="false">D64/(B58+B57)</f>
        <v>167.08125</v>
      </c>
      <c r="F64" s="157"/>
      <c r="G64" s="211" t="s">
        <v>72</v>
      </c>
      <c r="H64" s="121" t="n">
        <f aca="false">H61*H63</f>
        <v>6014.925</v>
      </c>
      <c r="I64" s="168"/>
      <c r="J64" s="65" t="n">
        <f aca="false">H64-G145</f>
        <v>6014.925</v>
      </c>
      <c r="K64" s="169"/>
      <c r="L64" s="157"/>
      <c r="M64" s="211" t="s">
        <v>72</v>
      </c>
      <c r="N64" s="121" t="n">
        <f aca="false">N61*N63</f>
        <v>6014.925</v>
      </c>
      <c r="O64" s="168"/>
      <c r="P64" s="65" t="n">
        <f aca="false">N64-M145</f>
        <v>6014.925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73</v>
      </c>
      <c r="B65" s="225" t="n">
        <v>0.01</v>
      </c>
      <c r="C65" s="168"/>
      <c r="D65" s="168"/>
      <c r="E65" s="169"/>
      <c r="F65" s="157"/>
      <c r="G65" s="224" t="s">
        <v>73</v>
      </c>
      <c r="H65" s="225" t="n">
        <v>0.01</v>
      </c>
      <c r="I65" s="168"/>
      <c r="J65" s="168"/>
      <c r="K65" s="169"/>
      <c r="L65" s="157"/>
      <c r="M65" s="224" t="s">
        <v>73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74</v>
      </c>
      <c r="B66" s="165" t="n">
        <f aca="false">B65+(B65*0.5*(H29/12-1))</f>
        <v>0.02</v>
      </c>
      <c r="C66" s="168"/>
      <c r="D66" s="168"/>
      <c r="E66" s="169"/>
      <c r="F66" s="157"/>
      <c r="G66" s="161" t="s">
        <v>74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74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75</v>
      </c>
      <c r="B67" s="121" t="n">
        <f aca="false">(B61*B66)/1.2</f>
        <v>954.75</v>
      </c>
      <c r="C67" s="168"/>
      <c r="D67" s="65"/>
      <c r="E67" s="169"/>
      <c r="F67" s="157"/>
      <c r="G67" s="211" t="s">
        <v>75</v>
      </c>
      <c r="H67" s="121" t="n">
        <f aca="false">(H61*H66)/1.2</f>
        <v>954.75</v>
      </c>
      <c r="I67" s="168"/>
      <c r="J67" s="65"/>
      <c r="K67" s="169"/>
      <c r="L67" s="157"/>
      <c r="M67" s="211" t="s">
        <v>75</v>
      </c>
      <c r="N67" s="121" t="n">
        <f aca="false">(N61*N66)/1.2</f>
        <v>954.75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76</v>
      </c>
      <c r="B68" s="225" t="n">
        <v>0.0075</v>
      </c>
      <c r="C68" s="168"/>
      <c r="D68" s="168"/>
      <c r="E68" s="169"/>
      <c r="F68" s="157"/>
      <c r="G68" s="224" t="s">
        <v>76</v>
      </c>
      <c r="H68" s="225" t="n">
        <v>0.0075</v>
      </c>
      <c r="I68" s="168"/>
      <c r="J68" s="168"/>
      <c r="K68" s="169"/>
      <c r="L68" s="157"/>
      <c r="M68" s="224" t="s">
        <v>76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77</v>
      </c>
      <c r="B69" s="226" t="n">
        <v>0.12</v>
      </c>
      <c r="C69" s="168"/>
      <c r="D69" s="168"/>
      <c r="E69" s="169"/>
      <c r="F69" s="157"/>
      <c r="G69" s="158" t="s">
        <v>77</v>
      </c>
      <c r="H69" s="226" t="n">
        <v>0.12</v>
      </c>
      <c r="I69" s="168"/>
      <c r="J69" s="168"/>
      <c r="K69" s="169"/>
      <c r="L69" s="157"/>
      <c r="M69" s="158" t="s">
        <v>77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78</v>
      </c>
      <c r="B70" s="228" t="n">
        <f aca="false">B68*(1+B69)</f>
        <v>0.0084</v>
      </c>
      <c r="C70" s="168"/>
      <c r="D70" s="168"/>
      <c r="E70" s="169"/>
      <c r="F70" s="157"/>
      <c r="G70" s="211" t="s">
        <v>78</v>
      </c>
      <c r="H70" s="228" t="n">
        <f aca="false">H68*(1+H69)</f>
        <v>0.0084</v>
      </c>
      <c r="I70" s="168"/>
      <c r="J70" s="168"/>
      <c r="K70" s="169"/>
      <c r="L70" s="157"/>
      <c r="M70" s="211" t="s">
        <v>78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79</v>
      </c>
      <c r="B71" s="229" t="n">
        <v>200</v>
      </c>
      <c r="C71" s="168"/>
      <c r="D71" s="168"/>
      <c r="E71" s="169"/>
      <c r="F71" s="157"/>
      <c r="G71" s="224" t="s">
        <v>79</v>
      </c>
      <c r="H71" s="229" t="n">
        <v>160</v>
      </c>
      <c r="I71" s="168"/>
      <c r="J71" s="168"/>
      <c r="K71" s="169"/>
      <c r="L71" s="157"/>
      <c r="M71" s="224" t="s">
        <v>79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80</v>
      </c>
      <c r="B72" s="230" t="n">
        <v>5</v>
      </c>
      <c r="C72" s="168"/>
      <c r="D72" s="168"/>
      <c r="E72" s="169"/>
      <c r="F72" s="157"/>
      <c r="G72" s="158" t="s">
        <v>80</v>
      </c>
      <c r="H72" s="230" t="n">
        <v>4.5</v>
      </c>
      <c r="I72" s="168"/>
      <c r="J72" s="168"/>
      <c r="K72" s="169"/>
      <c r="L72" s="157"/>
      <c r="M72" s="158" t="s">
        <v>80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81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81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81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165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v>355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1083.33333333333</v>
      </c>
      <c r="C76" s="168"/>
      <c r="D76" s="65" t="n">
        <f aca="false">B76</f>
        <v>1083.33333333333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119" t="n">
        <f aca="false">B102*1.1</f>
        <v>0</v>
      </c>
      <c r="C77" s="168"/>
      <c r="D77" s="65" t="n">
        <f aca="false">B77</f>
        <v>0</v>
      </c>
      <c r="E77" s="258" t="n">
        <f aca="false">D77/(B58+B57)</f>
        <v>0</v>
      </c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v>0</v>
      </c>
      <c r="C78" s="168"/>
      <c r="D78" s="65" t="n">
        <f aca="false">B78</f>
        <v>0</v>
      </c>
      <c r="E78" s="258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82</v>
      </c>
      <c r="B79" s="230" t="n">
        <v>200</v>
      </c>
      <c r="C79" s="168"/>
      <c r="D79" s="65" t="n">
        <f aca="false">B79</f>
        <v>200</v>
      </c>
      <c r="E79" s="258"/>
      <c r="F79" s="157"/>
      <c r="G79" s="158" t="s">
        <v>82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82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83</v>
      </c>
      <c r="B80" s="238" t="n">
        <v>200</v>
      </c>
      <c r="C80" s="168"/>
      <c r="D80" s="65" t="n">
        <f aca="false">B80</f>
        <v>200</v>
      </c>
      <c r="E80" s="258" t="n">
        <f aca="false">(D73+D76+D79+D80)/(B58+B57)</f>
        <v>51.7592592592593</v>
      </c>
      <c r="F80" s="157"/>
      <c r="G80" s="237" t="s">
        <v>83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83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84</v>
      </c>
      <c r="B81" s="240" t="n">
        <f aca="false">SUM(D64:D80)</f>
        <v>7878.25833333333</v>
      </c>
      <c r="C81" s="168"/>
      <c r="D81" s="168"/>
      <c r="E81" s="258"/>
      <c r="F81" s="157"/>
      <c r="G81" s="239" t="s">
        <v>84</v>
      </c>
      <c r="H81" s="240" t="n">
        <f aca="false">SUM(J64:J80)</f>
        <v>7080.675</v>
      </c>
      <c r="I81" s="168"/>
      <c r="J81" s="168"/>
      <c r="K81" s="169"/>
      <c r="L81" s="157"/>
      <c r="M81" s="239" t="s">
        <v>84</v>
      </c>
      <c r="N81" s="240" t="n">
        <f aca="false">SUM(P64:P80)</f>
        <v>6736.925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85</v>
      </c>
      <c r="B82" s="166" t="n">
        <f aca="false">B81/H29</f>
        <v>218.840509259259</v>
      </c>
      <c r="C82" s="168"/>
      <c r="D82" s="168"/>
      <c r="E82" s="258"/>
      <c r="F82" s="157"/>
      <c r="G82" s="161" t="s">
        <v>85</v>
      </c>
      <c r="H82" s="166" t="n">
        <f aca="false">H81/H29</f>
        <v>196.685416666667</v>
      </c>
      <c r="I82" s="168"/>
      <c r="J82" s="168"/>
      <c r="K82" s="169"/>
      <c r="L82" s="157"/>
      <c r="M82" s="161" t="s">
        <v>85</v>
      </c>
      <c r="N82" s="166" t="n">
        <f aca="false">N81/H29</f>
        <v>187.136805555556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86</v>
      </c>
      <c r="B83" s="242" t="n">
        <f aca="false">H47</f>
        <v>684.161294897852</v>
      </c>
      <c r="C83" s="168"/>
      <c r="D83" s="168"/>
      <c r="E83" s="258" t="n">
        <f aca="false">B83+E80+E77+E64</f>
        <v>903.001804157112</v>
      </c>
      <c r="F83" s="157"/>
      <c r="G83" s="241" t="s">
        <v>86</v>
      </c>
      <c r="H83" s="242" t="n">
        <f aca="false">H47</f>
        <v>684.161294897852</v>
      </c>
      <c r="I83" s="168"/>
      <c r="J83" s="168"/>
      <c r="K83" s="169"/>
      <c r="L83" s="157"/>
      <c r="M83" s="241" t="s">
        <v>86</v>
      </c>
      <c r="N83" s="242" t="n">
        <f aca="false">H47</f>
        <v>684.161294897852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258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95</v>
      </c>
      <c r="B85" s="119" t="n">
        <f aca="false">((B83*H29)+B81)*1.2</f>
        <v>39009.6779395872</v>
      </c>
      <c r="C85" s="168"/>
      <c r="D85" s="168"/>
      <c r="E85" s="258" t="n">
        <f aca="false">B85/(B58+B57)</f>
        <v>1083.60216498853</v>
      </c>
      <c r="F85" s="157"/>
      <c r="G85" s="204" t="s">
        <v>95</v>
      </c>
      <c r="H85" s="119" t="n">
        <f aca="false">((H83*H29)+H81)*1.2</f>
        <v>38052.5779395872</v>
      </c>
      <c r="I85" s="168"/>
      <c r="J85" s="168"/>
      <c r="K85" s="169"/>
      <c r="L85" s="157"/>
      <c r="M85" s="204" t="s">
        <v>95</v>
      </c>
      <c r="N85" s="119" t="n">
        <f aca="false">((N83*H29)+N81)</f>
        <v>31366.7316163227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96</v>
      </c>
      <c r="B86" s="166" t="n">
        <f aca="false">((((B83*H29)+B81))/(1-B70))*B70</f>
        <v>275.380945519474</v>
      </c>
      <c r="C86" s="168"/>
      <c r="D86" s="168"/>
      <c r="E86" s="258" t="n">
        <f aca="false">B86/(B58+B57)</f>
        <v>7.64947070887428</v>
      </c>
      <c r="F86" s="157"/>
      <c r="G86" s="161" t="s">
        <v>96</v>
      </c>
      <c r="H86" s="166" t="n">
        <f aca="false">((((H83*H29)+H81))/(1-H70))*H70</f>
        <v>268.624491304065</v>
      </c>
      <c r="I86" s="168"/>
      <c r="J86" s="168"/>
      <c r="K86" s="169"/>
      <c r="L86" s="157"/>
      <c r="M86" s="161" t="s">
        <v>96</v>
      </c>
      <c r="N86" s="166" t="n">
        <f aca="false">(N85/(1-N70))*N70</f>
        <v>265.712530836134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97</v>
      </c>
      <c r="B87" s="121" t="n">
        <f aca="false">IF(B110="YES",((B85+B86)-E114),(B85+B86))</f>
        <v>39285.0588851067</v>
      </c>
      <c r="C87" s="168"/>
      <c r="D87" s="168"/>
      <c r="E87" s="258" t="n">
        <f aca="false">E86+E85</f>
        <v>1091.25163569741</v>
      </c>
      <c r="F87" s="157"/>
      <c r="G87" s="211" t="s">
        <v>97</v>
      </c>
      <c r="H87" s="121" t="n">
        <f aca="false">IF(H110="YES",((H85+H86)-K114),(H85+H86))</f>
        <v>38321.2024308913</v>
      </c>
      <c r="I87" s="168"/>
      <c r="J87" s="168"/>
      <c r="K87" s="169"/>
      <c r="L87" s="157"/>
      <c r="M87" s="211" t="s">
        <v>97</v>
      </c>
      <c r="N87" s="121" t="n">
        <f aca="false">IF(N110="YES",((N85+N86)-Q114),(N85+N86))</f>
        <v>31632.4441471588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98</v>
      </c>
      <c r="B89" s="240" t="n">
        <f aca="false">IF(B99=Y98, (D40+(D40*B105))/(B58), (D40+(D40*B105))/(B57+B58))*1.2</f>
        <v>41.2</v>
      </c>
      <c r="C89" s="168"/>
      <c r="D89" s="168"/>
      <c r="E89" s="169"/>
      <c r="F89" s="157"/>
      <c r="G89" s="239" t="s">
        <v>98</v>
      </c>
      <c r="H89" s="240" t="n">
        <f aca="false">IF(H99=Y98, (D40+(D40*H105))/(H58), (D40+(D40*H105))/(H57+H58))*1.2</f>
        <v>36.1756097560976</v>
      </c>
      <c r="I89" s="168"/>
      <c r="J89" s="168"/>
      <c r="K89" s="169"/>
      <c r="L89" s="157"/>
      <c r="M89" s="239" t="s">
        <v>98</v>
      </c>
      <c r="N89" s="240" t="n">
        <f aca="false">IF(N99=Y98, (D40+(D40*N105))/(N58), (D40+(D40*N105))/(N57+N58))</f>
        <v>30.1463414634146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99</v>
      </c>
      <c r="B90" s="244" t="n">
        <f aca="false">IF(B99=Y98, (B87-D105)/(B58), B87/(B57+B58))</f>
        <v>1091.25163569741</v>
      </c>
      <c r="C90" s="168"/>
      <c r="D90" s="168"/>
      <c r="E90" s="169"/>
      <c r="F90" s="157"/>
      <c r="G90" s="243" t="s">
        <v>99</v>
      </c>
      <c r="H90" s="244" t="n">
        <f aca="false">IF(H99=Y98, (H87-J105)/(H58), H87/(H57+H58))</f>
        <v>934.663473924178</v>
      </c>
      <c r="I90" s="168"/>
      <c r="J90" s="168"/>
      <c r="K90" s="169"/>
      <c r="L90" s="157"/>
      <c r="M90" s="243" t="s">
        <v>99</v>
      </c>
      <c r="N90" s="244" t="n">
        <f aca="false">IF(N99=Y98, (N87-P105)/(N58), N87/(N57+N58))</f>
        <v>771.523027979483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100</v>
      </c>
      <c r="B91" s="246" t="n">
        <f aca="false">IF(A105="YES", B90+B89, B90)</f>
        <v>1132.45163569741</v>
      </c>
      <c r="C91" s="168"/>
      <c r="D91" s="168"/>
      <c r="E91" s="169"/>
      <c r="F91" s="157"/>
      <c r="G91" s="245" t="s">
        <v>100</v>
      </c>
      <c r="H91" s="246" t="n">
        <f aca="false">IF(G105="YES", H90+H89, H90)</f>
        <v>970.839083680275</v>
      </c>
      <c r="I91" s="168"/>
      <c r="J91" s="168"/>
      <c r="K91" s="169"/>
      <c r="L91" s="157"/>
      <c r="M91" s="245" t="s">
        <v>100</v>
      </c>
      <c r="N91" s="246" t="n">
        <f aca="false">IF(M105="YES", N90+N89, N90)</f>
        <v>801.669369442898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177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106</v>
      </c>
      <c r="Z97" s="157"/>
      <c r="AC97" s="247"/>
    </row>
    <row r="98" customFormat="false" ht="18.75" hidden="false" customHeight="true" outlineLevel="0" collapsed="false">
      <c r="A98" s="161" t="s">
        <v>104</v>
      </c>
      <c r="B98" s="168" t="s">
        <v>30</v>
      </c>
      <c r="C98" s="168"/>
      <c r="D98" s="168" t="s">
        <v>178</v>
      </c>
      <c r="E98" s="169"/>
      <c r="F98" s="157"/>
      <c r="G98" s="161" t="s">
        <v>104</v>
      </c>
      <c r="H98" s="168" t="s">
        <v>30</v>
      </c>
      <c r="I98" s="168"/>
      <c r="J98" s="168" t="s">
        <v>178</v>
      </c>
      <c r="K98" s="169"/>
      <c r="L98" s="157"/>
      <c r="M98" s="161" t="s">
        <v>104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181</v>
      </c>
      <c r="C99" s="248"/>
      <c r="D99" s="58" t="n">
        <v>1000</v>
      </c>
      <c r="E99" s="58"/>
      <c r="F99" s="157"/>
      <c r="G99" s="185" t="s">
        <v>180</v>
      </c>
      <c r="H99" s="248" t="s">
        <v>182</v>
      </c>
      <c r="I99" s="248"/>
      <c r="J99" s="58" t="n">
        <v>0</v>
      </c>
      <c r="K99" s="58"/>
      <c r="L99" s="157"/>
      <c r="M99" s="185" t="s">
        <v>180</v>
      </c>
      <c r="N99" s="248" t="s">
        <v>182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183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182</v>
      </c>
      <c r="Z100" s="157"/>
    </row>
    <row r="101" customFormat="false" ht="18.75" hidden="false" customHeight="true" outlineLevel="0" collapsed="false">
      <c r="A101" s="161" t="s">
        <v>184</v>
      </c>
      <c r="B101" s="168" t="s">
        <v>185</v>
      </c>
      <c r="C101" s="168"/>
      <c r="D101" s="168" t="s">
        <v>186</v>
      </c>
      <c r="E101" s="169"/>
      <c r="F101" s="157"/>
      <c r="G101" s="161" t="s">
        <v>184</v>
      </c>
      <c r="H101" s="168" t="s">
        <v>185</v>
      </c>
      <c r="I101" s="168"/>
      <c r="J101" s="168" t="s">
        <v>186</v>
      </c>
      <c r="K101" s="169"/>
      <c r="L101" s="157"/>
      <c r="M101" s="161" t="s">
        <v>184</v>
      </c>
      <c r="N101" s="168" t="s">
        <v>185</v>
      </c>
      <c r="O101" s="168"/>
      <c r="P101" s="168" t="s">
        <v>186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187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188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189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107</v>
      </c>
      <c r="C104" s="168"/>
      <c r="D104" s="168" t="s">
        <v>119</v>
      </c>
      <c r="E104" s="169"/>
      <c r="F104" s="157"/>
      <c r="G104" s="185" t="s">
        <v>29</v>
      </c>
      <c r="H104" s="157" t="s">
        <v>107</v>
      </c>
      <c r="I104" s="168"/>
      <c r="J104" s="168" t="s">
        <v>119</v>
      </c>
      <c r="K104" s="169"/>
      <c r="L104" s="157"/>
      <c r="M104" s="185" t="s">
        <v>29</v>
      </c>
      <c r="N104" s="157" t="s">
        <v>107</v>
      </c>
      <c r="O104" s="168"/>
      <c r="P104" s="168" t="s">
        <v>119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190</v>
      </c>
      <c r="Z104" s="157"/>
    </row>
    <row r="105" customFormat="false" ht="18.75" hidden="false" customHeight="true" outlineLevel="0" collapsed="false">
      <c r="A105" s="186" t="s">
        <v>25</v>
      </c>
      <c r="B105" s="249" t="n">
        <v>0.2</v>
      </c>
      <c r="C105" s="249"/>
      <c r="D105" s="58" t="s">
        <v>191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192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193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194</v>
      </c>
      <c r="B108" s="189"/>
      <c r="C108" s="189"/>
      <c r="D108" s="189"/>
      <c r="E108" s="189"/>
      <c r="F108" s="157"/>
      <c r="G108" s="189" t="s">
        <v>194</v>
      </c>
      <c r="H108" s="189"/>
      <c r="I108" s="189"/>
      <c r="J108" s="189"/>
      <c r="K108" s="189"/>
      <c r="L108" s="157"/>
      <c r="M108" s="189" t="s">
        <v>194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195</v>
      </c>
      <c r="B110" s="186" t="s">
        <v>26</v>
      </c>
      <c r="C110" s="168"/>
      <c r="D110" s="168"/>
      <c r="E110" s="169"/>
      <c r="F110" s="157"/>
      <c r="G110" s="161" t="s">
        <v>195</v>
      </c>
      <c r="H110" s="186" t="s">
        <v>26</v>
      </c>
      <c r="I110" s="168"/>
      <c r="J110" s="168"/>
      <c r="K110" s="169"/>
      <c r="L110" s="157"/>
      <c r="M110" s="161" t="s">
        <v>195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133</v>
      </c>
      <c r="B112" s="168"/>
      <c r="C112" s="168"/>
      <c r="D112" s="57" t="n">
        <v>0</v>
      </c>
      <c r="E112" s="58" t="n">
        <v>0</v>
      </c>
      <c r="F112" s="157"/>
      <c r="G112" s="161" t="s">
        <v>133</v>
      </c>
      <c r="H112" s="168"/>
      <c r="I112" s="168"/>
      <c r="J112" s="57" t="n">
        <v>0</v>
      </c>
      <c r="K112" s="58" t="n">
        <v>0</v>
      </c>
      <c r="L112" s="157"/>
      <c r="M112" s="161" t="s">
        <v>133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134</v>
      </c>
      <c r="B113" s="168"/>
      <c r="C113" s="168"/>
      <c r="D113" s="26" t="n">
        <f aca="false">E113</f>
        <v>0</v>
      </c>
      <c r="E113" s="58" t="n">
        <v>0</v>
      </c>
      <c r="F113" s="157"/>
      <c r="G113" s="161" t="s">
        <v>134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134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135</v>
      </c>
      <c r="B114" s="168"/>
      <c r="C114" s="168"/>
      <c r="D114" s="26" t="n">
        <f aca="false">D112-D113</f>
        <v>0</v>
      </c>
      <c r="E114" s="141" t="n">
        <f aca="false">E112-E113</f>
        <v>0</v>
      </c>
      <c r="F114" s="157"/>
      <c r="G114" s="161" t="s">
        <v>135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135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136</v>
      </c>
      <c r="B115" s="168"/>
      <c r="C115" s="168"/>
      <c r="D115" s="26" t="n">
        <f aca="false">D114-E114</f>
        <v>0</v>
      </c>
      <c r="E115" s="169"/>
      <c r="F115" s="157"/>
      <c r="G115" s="161" t="s">
        <v>136</v>
      </c>
      <c r="H115" s="168"/>
      <c r="I115" s="168"/>
      <c r="J115" s="26" t="n">
        <f aca="false">J114-K114</f>
        <v>0</v>
      </c>
      <c r="K115" s="169"/>
      <c r="L115" s="157"/>
      <c r="M115" s="161" t="s">
        <v>136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115</v>
      </c>
      <c r="B117" s="205"/>
      <c r="C117" s="205"/>
      <c r="D117" s="205"/>
      <c r="E117" s="119" t="n">
        <f aca="false">D99</f>
        <v>1000</v>
      </c>
      <c r="F117" s="157"/>
      <c r="G117" s="204" t="s">
        <v>115</v>
      </c>
      <c r="H117" s="205"/>
      <c r="I117" s="205"/>
      <c r="J117" s="205"/>
      <c r="K117" s="119" t="n">
        <f aca="false">J99</f>
        <v>0</v>
      </c>
      <c r="L117" s="157"/>
      <c r="M117" s="204" t="s">
        <v>115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139</v>
      </c>
      <c r="B118" s="168"/>
      <c r="C118" s="168"/>
      <c r="D118" s="168"/>
      <c r="E118" s="166" t="n">
        <f aca="false">A102</f>
        <v>199.99</v>
      </c>
      <c r="F118" s="157"/>
      <c r="G118" s="161" t="s">
        <v>139</v>
      </c>
      <c r="H118" s="168"/>
      <c r="I118" s="168"/>
      <c r="J118" s="168"/>
      <c r="K118" s="166" t="n">
        <f aca="false">G102</f>
        <v>199.99</v>
      </c>
      <c r="L118" s="157"/>
      <c r="M118" s="161" t="s">
        <v>139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196</v>
      </c>
      <c r="B119" s="212"/>
      <c r="C119" s="212"/>
      <c r="D119" s="212"/>
      <c r="E119" s="121" t="n">
        <f aca="false">((E118/1.2)+E117)-(D115-E113)</f>
        <v>1166.65833333333</v>
      </c>
      <c r="F119" s="157"/>
      <c r="G119" s="250" t="s">
        <v>196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196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197</v>
      </c>
      <c r="B122" s="189"/>
      <c r="C122" s="189"/>
      <c r="D122" s="189"/>
      <c r="E122" s="189"/>
      <c r="F122" s="157"/>
      <c r="G122" s="189" t="s">
        <v>197</v>
      </c>
      <c r="H122" s="189"/>
      <c r="I122" s="189"/>
      <c r="J122" s="189"/>
      <c r="K122" s="189"/>
      <c r="L122" s="157"/>
      <c r="M122" s="189" t="s">
        <v>197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200</v>
      </c>
      <c r="B126" s="252" t="s">
        <v>201</v>
      </c>
      <c r="C126" s="252"/>
      <c r="D126" s="252" t="s">
        <v>202</v>
      </c>
      <c r="E126" s="169"/>
      <c r="F126" s="157"/>
      <c r="G126" s="251" t="s">
        <v>200</v>
      </c>
      <c r="H126" s="252" t="s">
        <v>201</v>
      </c>
      <c r="I126" s="252"/>
      <c r="J126" s="252" t="s">
        <v>202</v>
      </c>
      <c r="K126" s="169"/>
      <c r="L126" s="157"/>
      <c r="M126" s="251" t="s">
        <v>198</v>
      </c>
      <c r="N126" s="252" t="s">
        <v>199</v>
      </c>
      <c r="O126" s="252"/>
      <c r="P126" s="252" t="s">
        <v>100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1091.25163569741</v>
      </c>
      <c r="B127" s="150" t="n">
        <f aca="false">IF(A105="YES", B89*B57, 0)</f>
        <v>370.8</v>
      </c>
      <c r="C127" s="150"/>
      <c r="D127" s="254" t="n">
        <f aca="false">B91</f>
        <v>1132.45163569741</v>
      </c>
      <c r="E127" s="169"/>
      <c r="F127" s="157"/>
      <c r="G127" s="253" t="n">
        <f aca="false">H90</f>
        <v>934.663473924178</v>
      </c>
      <c r="H127" s="150" t="n">
        <f aca="false">IF(G105="YES", H89*H57, 0)</f>
        <v>217.053658536585</v>
      </c>
      <c r="I127" s="150"/>
      <c r="J127" s="254" t="n">
        <f aca="false">H91</f>
        <v>970.839083680275</v>
      </c>
      <c r="K127" s="169"/>
      <c r="L127" s="157"/>
      <c r="M127" s="253" t="n">
        <f aca="false">N90</f>
        <v>771.523027979483</v>
      </c>
      <c r="N127" s="150" t="n">
        <f aca="false">IF(M105="YES", N89*N57, 0)</f>
        <v>180.878048780488</v>
      </c>
      <c r="O127" s="150"/>
      <c r="P127" s="150" t="n">
        <f aca="false">N91</f>
        <v>801.669369442898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39</v>
      </c>
      <c r="B129" s="168" t="s">
        <v>40</v>
      </c>
      <c r="C129" s="168"/>
      <c r="D129" s="168" t="s">
        <v>67</v>
      </c>
      <c r="E129" s="169"/>
      <c r="F129" s="157"/>
      <c r="G129" s="161" t="s">
        <v>39</v>
      </c>
      <c r="H129" s="168" t="s">
        <v>40</v>
      </c>
      <c r="I129" s="168"/>
      <c r="J129" s="168" t="s">
        <v>67</v>
      </c>
      <c r="K129" s="169"/>
      <c r="L129" s="157"/>
      <c r="M129" s="161" t="s">
        <v>39</v>
      </c>
      <c r="N129" s="168" t="s">
        <v>40</v>
      </c>
      <c r="O129" s="168"/>
      <c r="P129" s="168" t="s">
        <v>67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A152</f>
        <v>36</v>
      </c>
      <c r="B130" s="193" t="n">
        <f aca="false">B151</f>
        <v>10000</v>
      </c>
      <c r="C130" s="194"/>
      <c r="D130" s="193" t="n">
        <f aca="false">B58</f>
        <v>27</v>
      </c>
      <c r="E130" s="169"/>
      <c r="F130" s="157"/>
      <c r="G130" s="192" t="n">
        <f aca="false">G152</f>
        <v>36</v>
      </c>
      <c r="H130" s="193" t="n">
        <f aca="false">B151</f>
        <v>10000</v>
      </c>
      <c r="I130" s="194"/>
      <c r="J130" s="193" t="n">
        <f aca="false">B58</f>
        <v>27</v>
      </c>
      <c r="K130" s="169"/>
      <c r="L130" s="157"/>
      <c r="M130" s="192" t="n">
        <f aca="false">M155</f>
        <v>36</v>
      </c>
      <c r="N130" s="193" t="n">
        <f aca="false">B151</f>
        <v>10000</v>
      </c>
      <c r="O130" s="194"/>
      <c r="P130" s="193" t="n">
        <f aca="false">B58</f>
        <v>27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206</v>
      </c>
      <c r="B132" s="168" t="s">
        <v>207</v>
      </c>
      <c r="C132" s="168"/>
      <c r="D132" s="168" t="s">
        <v>208</v>
      </c>
      <c r="E132" s="169"/>
      <c r="F132" s="157"/>
      <c r="G132" s="161" t="s">
        <v>206</v>
      </c>
      <c r="H132" s="168" t="s">
        <v>207</v>
      </c>
      <c r="I132" s="168"/>
      <c r="J132" s="168" t="s">
        <v>208</v>
      </c>
      <c r="K132" s="169"/>
      <c r="L132" s="157"/>
      <c r="M132" s="161" t="s">
        <v>203</v>
      </c>
      <c r="N132" s="168" t="s">
        <v>204</v>
      </c>
      <c r="O132" s="168"/>
      <c r="P132" s="168" t="s">
        <v>205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9821.26472127667</v>
      </c>
      <c r="B133" s="23" t="n">
        <f aca="false">IF(A105="YES", B89*B57, 0)</f>
        <v>370.8</v>
      </c>
      <c r="C133" s="199"/>
      <c r="D133" s="200" t="n">
        <f aca="false">B91*B57</f>
        <v>10192.0647212767</v>
      </c>
      <c r="E133" s="169"/>
      <c r="F133" s="157"/>
      <c r="G133" s="55" t="n">
        <f aca="false">H90*H57</f>
        <v>5607.98084354507</v>
      </c>
      <c r="H133" s="23" t="n">
        <f aca="false">IF(G105="YES", H89*H57, 0)</f>
        <v>217.053658536585</v>
      </c>
      <c r="I133" s="199"/>
      <c r="J133" s="200" t="n">
        <f aca="false">H91*H57</f>
        <v>5825.03450208165</v>
      </c>
      <c r="K133" s="169"/>
      <c r="L133" s="157"/>
      <c r="M133" s="55" t="n">
        <f aca="false">N90*N57</f>
        <v>4629.1381678769</v>
      </c>
      <c r="N133" s="23" t="n">
        <f aca="false">IF(M105="YES", N89*N57, 0)</f>
        <v>180.878048780488</v>
      </c>
      <c r="O133" s="199"/>
      <c r="P133" s="200" t="n">
        <f aca="false">N91*N57</f>
        <v>4810.01621665739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212</v>
      </c>
      <c r="B135" s="168" t="s">
        <v>213</v>
      </c>
      <c r="C135" s="168"/>
      <c r="D135" s="168" t="s">
        <v>214</v>
      </c>
      <c r="E135" s="169"/>
      <c r="F135" s="157"/>
      <c r="G135" s="161" t="s">
        <v>212</v>
      </c>
      <c r="H135" s="168" t="s">
        <v>213</v>
      </c>
      <c r="I135" s="168"/>
      <c r="J135" s="168" t="s">
        <v>214</v>
      </c>
      <c r="K135" s="169"/>
      <c r="L135" s="157"/>
      <c r="M135" s="161" t="s">
        <v>209</v>
      </c>
      <c r="N135" s="168" t="s">
        <v>210</v>
      </c>
      <c r="O135" s="168"/>
      <c r="P135" s="168" t="s">
        <v>211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0.29592509856</v>
      </c>
      <c r="B136" s="23" t="n">
        <f aca="false">IF(A105="YES", E15*0.000002, 0)</f>
        <v>0.09864169952</v>
      </c>
      <c r="C136" s="23"/>
      <c r="D136" s="23" t="n">
        <f aca="false">A136+B136</f>
        <v>0.39456679808</v>
      </c>
      <c r="E136" s="153"/>
      <c r="F136" s="157"/>
      <c r="G136" s="22" t="n">
        <f aca="false">E15*0.000006</f>
        <v>0.29592509856</v>
      </c>
      <c r="H136" s="23" t="n">
        <f aca="false">IF(G105="YES", E15*0.000002, 0)</f>
        <v>0.09864169952</v>
      </c>
      <c r="I136" s="23"/>
      <c r="J136" s="23" t="n">
        <f aca="false">G136+H136</f>
        <v>0.39456679808</v>
      </c>
      <c r="K136" s="153"/>
      <c r="L136" s="157"/>
      <c r="M136" s="22" t="n">
        <f aca="false">E15*0.000006</f>
        <v>0.29592509856</v>
      </c>
      <c r="N136" s="23" t="n">
        <f aca="false">IF(M105="YES", E15*0.000002, 0)</f>
        <v>0.09864169952</v>
      </c>
      <c r="O136" s="23"/>
      <c r="P136" s="23" t="n">
        <f aca="false">M136+N136</f>
        <v>0.39456679808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217</v>
      </c>
      <c r="B138" s="168" t="s">
        <v>215</v>
      </c>
      <c r="C138" s="168"/>
      <c r="D138" s="168" t="s">
        <v>216</v>
      </c>
      <c r="E138" s="169"/>
      <c r="F138" s="157"/>
      <c r="G138" s="161" t="s">
        <v>217</v>
      </c>
      <c r="H138" s="168" t="s">
        <v>215</v>
      </c>
      <c r="I138" s="168"/>
      <c r="J138" s="168" t="s">
        <v>216</v>
      </c>
      <c r="K138" s="169"/>
      <c r="L138" s="157"/>
      <c r="M138" s="161" t="s">
        <v>118</v>
      </c>
      <c r="N138" s="168" t="s">
        <v>215</v>
      </c>
      <c r="O138" s="168"/>
      <c r="P138" s="168" t="s">
        <v>216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954.75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954.75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954.75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218</v>
      </c>
      <c r="B141" s="168" t="s">
        <v>219</v>
      </c>
      <c r="C141" s="168"/>
      <c r="D141" s="168" t="s">
        <v>220</v>
      </c>
      <c r="E141" s="169"/>
      <c r="F141" s="157"/>
      <c r="G141" s="161" t="s">
        <v>218</v>
      </c>
      <c r="H141" s="168" t="s">
        <v>219</v>
      </c>
      <c r="I141" s="168"/>
      <c r="J141" s="168" t="s">
        <v>220</v>
      </c>
      <c r="K141" s="169"/>
      <c r="L141" s="157"/>
      <c r="M141" s="161" t="s">
        <v>218</v>
      </c>
      <c r="N141" s="168" t="s">
        <v>219</v>
      </c>
      <c r="O141" s="168"/>
      <c r="P141" s="168" t="s">
        <v>220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20.6</v>
      </c>
      <c r="B142" s="23" t="n">
        <f aca="false">A102-100</f>
        <v>99.99</v>
      </c>
      <c r="C142" s="23"/>
      <c r="D142" s="23" t="n">
        <f aca="false">(B139+D139+A142+B142)-B145</f>
        <v>1075.34</v>
      </c>
      <c r="E142" s="153"/>
      <c r="F142" s="157"/>
      <c r="G142" s="22" t="n">
        <f aca="false">IF(G105="YES", ((B36*H105)*0.1)*(G130), 0)</f>
        <v>20.6</v>
      </c>
      <c r="H142" s="23" t="n">
        <f aca="false">G102-100</f>
        <v>99.99</v>
      </c>
      <c r="I142" s="23"/>
      <c r="J142" s="23" t="n">
        <f aca="false">(H139+J139+G142+H142)-H145</f>
        <v>1075.34</v>
      </c>
      <c r="K142" s="153"/>
      <c r="L142" s="157"/>
      <c r="M142" s="22" t="n">
        <f aca="false">IF(M105="YES", ((B36*N105)*0.1)*(M130), 0)</f>
        <v>20.6</v>
      </c>
      <c r="N142" s="23" t="n">
        <f aca="false">M102-100</f>
        <v>99.99</v>
      </c>
      <c r="O142" s="23"/>
      <c r="P142" s="23" t="n">
        <f aca="false">(N139+P139+M142+N142)-N145</f>
        <v>1075.34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221</v>
      </c>
      <c r="B144" s="168" t="s">
        <v>222</v>
      </c>
      <c r="C144" s="168"/>
      <c r="D144" s="168"/>
      <c r="E144" s="169"/>
      <c r="F144" s="157"/>
      <c r="G144" s="161" t="s">
        <v>221</v>
      </c>
      <c r="H144" s="168" t="s">
        <v>222</v>
      </c>
      <c r="I144" s="168"/>
      <c r="J144" s="168"/>
      <c r="K144" s="169"/>
      <c r="L144" s="157"/>
      <c r="M144" s="161" t="s">
        <v>221</v>
      </c>
      <c r="N144" s="168" t="s">
        <v>222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22" t="n">
        <v>0</v>
      </c>
      <c r="N145" s="23" t="n">
        <f aca="false">(N139+P139+M142+N142)*(M145/N64)</f>
        <v>0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223</v>
      </c>
      <c r="N147" s="26" t="s">
        <v>224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225</v>
      </c>
      <c r="B148" s="168"/>
      <c r="C148" s="168"/>
      <c r="D148" s="215"/>
      <c r="E148" s="216"/>
      <c r="F148" s="157"/>
      <c r="G148" s="214" t="s">
        <v>225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39</v>
      </c>
      <c r="B150" s="221" t="s">
        <v>40</v>
      </c>
      <c r="C150" s="221"/>
      <c r="D150" s="168"/>
      <c r="E150" s="169"/>
      <c r="F150" s="157"/>
      <c r="G150" s="220" t="s">
        <v>39</v>
      </c>
      <c r="H150" s="221" t="s">
        <v>40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225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1132.45163569741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970.839083680275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39</v>
      </c>
      <c r="N153" s="221" t="s">
        <v>40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801.669369442898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49" colorId="64" zoomScale="75" zoomScaleNormal="75" zoomScalePageLayoutView="100" workbookViewId="0">
      <selection pane="topLeft" activeCell="B89" activeCellId="0" sqref="B89"/>
    </sheetView>
  </sheetViews>
  <sheetFormatPr defaultColWidth="11.714843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0</v>
      </c>
      <c r="C4" s="54" t="n">
        <v>0</v>
      </c>
      <c r="D4" s="54" t="n">
        <v>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</v>
      </c>
      <c r="C5" s="163" t="n">
        <v>0</v>
      </c>
      <c r="D5" s="163" t="n">
        <v>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46854.17</v>
      </c>
      <c r="C7" s="65" t="n">
        <f aca="false">C3-C6</f>
        <v>0</v>
      </c>
      <c r="D7" s="65" t="n">
        <f aca="false">D3-D6</f>
        <v>833.33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-222.685622218897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47687.5</v>
      </c>
      <c r="F9" s="157"/>
      <c r="G9" s="167" t="n">
        <f aca="false">E9-G11</f>
        <v>-104337.5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9647.5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58525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</v>
      </c>
      <c r="F16" s="157"/>
      <c r="G16" s="176" t="n">
        <f aca="false">(B3+C3+E10)*1.2</f>
        <v>56885.004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57885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58525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25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140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161</v>
      </c>
      <c r="C30" s="146"/>
      <c r="D30" s="168"/>
      <c r="E30" s="169"/>
      <c r="F30" s="157"/>
      <c r="G30" s="187" t="s">
        <v>37</v>
      </c>
      <c r="H30" s="190" t="n">
        <v>10000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38</v>
      </c>
      <c r="H31" s="47" t="n">
        <v>27500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39</v>
      </c>
      <c r="B32" s="168" t="s">
        <v>40</v>
      </c>
      <c r="C32" s="168"/>
      <c r="D32" s="191" t="s">
        <v>41</v>
      </c>
      <c r="E32" s="169"/>
      <c r="F32" s="157"/>
      <c r="G32" s="187" t="s">
        <v>42</v>
      </c>
      <c r="I32" s="47" t="n">
        <v>1030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928.643086783248</v>
      </c>
      <c r="E33" s="169"/>
      <c r="F33" s="157"/>
      <c r="G33" s="188" t="s">
        <v>43</v>
      </c>
      <c r="H33" s="196" t="n">
        <f aca="false">E21-E11+((E16*20%)+(E19*20%)+(E20*20%))</f>
        <v>48877.5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44</v>
      </c>
      <c r="B35" s="168" t="s">
        <v>45</v>
      </c>
      <c r="C35" s="168"/>
      <c r="D35" s="168" t="s">
        <v>46</v>
      </c>
      <c r="E35" s="169"/>
      <c r="F35" s="157"/>
      <c r="G35" s="197" t="s">
        <v>47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922.920864561026</v>
      </c>
      <c r="B36" s="23" t="n">
        <f aca="false">IF(B26="YES", H42, "")</f>
        <v>5.72222222222222</v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49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50</v>
      </c>
      <c r="B39" s="168" t="s">
        <v>51</v>
      </c>
      <c r="C39" s="168"/>
      <c r="D39" s="168" t="s">
        <v>52</v>
      </c>
      <c r="E39" s="169"/>
      <c r="F39" s="157"/>
      <c r="G39" s="157" t="s">
        <v>53</v>
      </c>
      <c r="H39" s="202" t="n">
        <f aca="false">H33</f>
        <v>48877.5</v>
      </c>
      <c r="I39" s="202" t="n">
        <f aca="false">(I48*H46)+H44</f>
        <v>64256.692436241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</v>
      </c>
      <c r="B40" s="58" t="n">
        <f aca="false">IF(B26="YES",H42,"0")</f>
        <v>5.72222222222222</v>
      </c>
      <c r="C40" s="58"/>
      <c r="D40" s="200" t="n">
        <f aca="false">I32</f>
        <v>1030</v>
      </c>
      <c r="E40" s="169"/>
      <c r="F40" s="157"/>
      <c r="G40" s="157" t="s">
        <v>54</v>
      </c>
      <c r="H40" s="202" t="n">
        <f aca="false">(A40)/1.2</f>
        <v>22916.6666666667</v>
      </c>
      <c r="I40" s="202" t="n">
        <f aca="false">H39-I39</f>
        <v>-15379.192436241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55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56</v>
      </c>
      <c r="H42" s="202" t="n">
        <f aca="false">(I32/H34)*(C45/100)</f>
        <v>5.72222222222222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57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58</v>
      </c>
      <c r="B44" s="168"/>
      <c r="C44" s="208" t="s">
        <v>59</v>
      </c>
      <c r="D44" s="208"/>
      <c r="E44" s="169"/>
      <c r="F44" s="157"/>
      <c r="G44" s="157" t="s">
        <v>166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n">
        <v>100</v>
      </c>
      <c r="B45" s="168"/>
      <c r="C45" s="210" t="n">
        <v>20</v>
      </c>
      <c r="D45" s="210"/>
      <c r="E45" s="169"/>
      <c r="F45" s="157"/>
      <c r="G45" s="157" t="s">
        <v>167</v>
      </c>
      <c r="H45" s="202" t="n">
        <f aca="false">(H39-H44)</f>
        <v>30112.5902294319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63</v>
      </c>
      <c r="H47" s="202" t="n">
        <f aca="false">H45/H46</f>
        <v>922.920864561026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64</v>
      </c>
      <c r="B48" s="168"/>
      <c r="C48" s="168"/>
      <c r="D48" s="215"/>
      <c r="E48" s="216"/>
      <c r="F48" s="157"/>
      <c r="G48" s="217" t="s">
        <v>65</v>
      </c>
      <c r="H48" s="202" t="n">
        <f aca="false">IF(B26="YES", H47+H42, H47)</f>
        <v>928.643086783248</v>
      </c>
      <c r="I48" s="202" t="n">
        <f aca="false">I49-H42</f>
        <v>1394.27777777778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66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39</v>
      </c>
      <c r="B50" s="221" t="s">
        <v>40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928.643086783248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53</v>
      </c>
      <c r="B57" s="168" t="n">
        <f aca="false">IF(B99=Y97,1,IF(B99=Y98,1,IF(B99=Y99,3,IF(B99=Y100,6,IF(B99=Y101,9,IF(B99=Y102,12,IF(B99=Y103,3,IF(B99=Y104,6,IF(B99=Y105,9,0)))))))))</f>
        <v>9</v>
      </c>
      <c r="C57" s="168"/>
      <c r="D57" s="168"/>
      <c r="E57" s="169"/>
      <c r="F57" s="157"/>
      <c r="G57" s="161" t="s">
        <v>53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53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67</v>
      </c>
      <c r="B58" s="168" t="n">
        <f aca="false">IF(B99=Y97,H29-B57,IF(B99=Y98,H29-B57,IF(B99=Y99,H29-1,IF(B99=Y100,H29-1,IF(B99=Y101,H29-1,IF(B99=Y102,H29-1,IF(B99=Y103,H29-B57,IF(B99=Y104,H29-B57,IF(B99=Y105,H29-B57,0)))))))))</f>
        <v>27</v>
      </c>
      <c r="C58" s="168"/>
      <c r="D58" s="168"/>
      <c r="E58" s="169"/>
      <c r="F58" s="157"/>
      <c r="G58" s="161" t="s">
        <v>67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67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57885</v>
      </c>
      <c r="C61" s="168"/>
      <c r="D61" s="168"/>
      <c r="E61" s="169"/>
      <c r="F61" s="157"/>
      <c r="G61" s="161" t="s">
        <v>21</v>
      </c>
      <c r="H61" s="65" t="n">
        <f aca="false">G18</f>
        <v>57885</v>
      </c>
      <c r="I61" s="168"/>
      <c r="J61" s="168"/>
      <c r="K61" s="169"/>
      <c r="L61" s="157"/>
      <c r="M61" s="161" t="s">
        <v>21</v>
      </c>
      <c r="N61" s="65" t="n">
        <f aca="false">G18</f>
        <v>57885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B62+(B62*0.25*((H29/12)-1))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72</v>
      </c>
      <c r="B64" s="121" t="n">
        <f aca="false">B61*B63</f>
        <v>6077.925</v>
      </c>
      <c r="C64" s="259"/>
      <c r="D64" s="65" t="n">
        <f aca="false">B64</f>
        <v>6077.925</v>
      </c>
      <c r="E64" s="258" t="n">
        <f aca="false">D64/(B58+B57)</f>
        <v>168.83125</v>
      </c>
      <c r="F64" s="157"/>
      <c r="G64" s="211" t="s">
        <v>72</v>
      </c>
      <c r="H64" s="121" t="n">
        <f aca="false">H61*H63</f>
        <v>6077.925</v>
      </c>
      <c r="I64" s="168"/>
      <c r="J64" s="65" t="n">
        <f aca="false">H64-G145</f>
        <v>6077.925</v>
      </c>
      <c r="K64" s="169"/>
      <c r="L64" s="157"/>
      <c r="M64" s="211" t="s">
        <v>72</v>
      </c>
      <c r="N64" s="121" t="n">
        <f aca="false">N61*N63</f>
        <v>6077.925</v>
      </c>
      <c r="O64" s="168"/>
      <c r="P64" s="65" t="n">
        <f aca="false">N64-M145</f>
        <v>6077.925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73</v>
      </c>
      <c r="B65" s="225" t="n">
        <v>0.01</v>
      </c>
      <c r="C65" s="168"/>
      <c r="D65" s="65"/>
      <c r="E65" s="169"/>
      <c r="F65" s="157"/>
      <c r="G65" s="224" t="s">
        <v>73</v>
      </c>
      <c r="H65" s="225" t="n">
        <v>0.01</v>
      </c>
      <c r="I65" s="168"/>
      <c r="J65" s="168"/>
      <c r="K65" s="169"/>
      <c r="L65" s="157"/>
      <c r="M65" s="224" t="s">
        <v>73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74</v>
      </c>
      <c r="B66" s="165" t="n">
        <f aca="false">B65+(B65*0.5*(H29/12-1))</f>
        <v>0.02</v>
      </c>
      <c r="C66" s="260"/>
      <c r="D66" s="168"/>
      <c r="E66" s="169"/>
      <c r="F66" s="157"/>
      <c r="G66" s="161" t="s">
        <v>74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74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75</v>
      </c>
      <c r="B67" s="121" t="n">
        <f aca="false">(B61*B66)</f>
        <v>1157.7</v>
      </c>
      <c r="C67" s="261"/>
      <c r="D67" s="262"/>
      <c r="E67" s="169"/>
      <c r="F67" s="157"/>
      <c r="G67" s="211" t="s">
        <v>75</v>
      </c>
      <c r="H67" s="121" t="n">
        <f aca="false">(H61*H66)/1.2</f>
        <v>964.75</v>
      </c>
      <c r="I67" s="168"/>
      <c r="J67" s="65"/>
      <c r="K67" s="169"/>
      <c r="L67" s="157"/>
      <c r="M67" s="211" t="s">
        <v>75</v>
      </c>
      <c r="N67" s="121" t="n">
        <f aca="false">(N61*N66)/1.2</f>
        <v>964.75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76</v>
      </c>
      <c r="B68" s="225" t="n">
        <v>0.0075</v>
      </c>
      <c r="C68" s="263"/>
      <c r="D68" s="65"/>
      <c r="E68" s="169"/>
      <c r="F68" s="157"/>
      <c r="G68" s="224" t="s">
        <v>76</v>
      </c>
      <c r="H68" s="225" t="n">
        <v>0.0075</v>
      </c>
      <c r="I68" s="168"/>
      <c r="J68" s="168"/>
      <c r="K68" s="169"/>
      <c r="L68" s="157"/>
      <c r="M68" s="224" t="s">
        <v>76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77</v>
      </c>
      <c r="B69" s="226" t="n">
        <v>0.12</v>
      </c>
      <c r="C69" s="168"/>
      <c r="D69" s="168"/>
      <c r="E69" s="169"/>
      <c r="F69" s="157"/>
      <c r="G69" s="158" t="s">
        <v>77</v>
      </c>
      <c r="H69" s="226" t="n">
        <v>0.12</v>
      </c>
      <c r="I69" s="168"/>
      <c r="J69" s="168"/>
      <c r="K69" s="169"/>
      <c r="L69" s="157"/>
      <c r="M69" s="158" t="s">
        <v>77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78</v>
      </c>
      <c r="B70" s="228" t="n">
        <f aca="false">B68*(1+B69)</f>
        <v>0.0084</v>
      </c>
      <c r="C70" s="168"/>
      <c r="D70" s="168"/>
      <c r="E70" s="169"/>
      <c r="F70" s="157"/>
      <c r="G70" s="211" t="s">
        <v>78</v>
      </c>
      <c r="H70" s="228" t="n">
        <f aca="false">H68*(1+H69)</f>
        <v>0.0084</v>
      </c>
      <c r="I70" s="168"/>
      <c r="J70" s="168"/>
      <c r="K70" s="169"/>
      <c r="L70" s="157"/>
      <c r="M70" s="211" t="s">
        <v>78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79</v>
      </c>
      <c r="B71" s="229" t="n">
        <v>200</v>
      </c>
      <c r="C71" s="168"/>
      <c r="D71" s="168"/>
      <c r="E71" s="169"/>
      <c r="F71" s="157"/>
      <c r="G71" s="224" t="s">
        <v>79</v>
      </c>
      <c r="H71" s="229" t="n">
        <v>160</v>
      </c>
      <c r="I71" s="168"/>
      <c r="J71" s="168"/>
      <c r="K71" s="169"/>
      <c r="L71" s="157"/>
      <c r="M71" s="224" t="s">
        <v>79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80</v>
      </c>
      <c r="B72" s="230" t="n">
        <v>5</v>
      </c>
      <c r="C72" s="168"/>
      <c r="D72" s="168"/>
      <c r="E72" s="169"/>
      <c r="F72" s="157"/>
      <c r="G72" s="158" t="s">
        <v>80</v>
      </c>
      <c r="H72" s="230" t="n">
        <v>4.5</v>
      </c>
      <c r="I72" s="168"/>
      <c r="J72" s="168"/>
      <c r="K72" s="169"/>
      <c r="L72" s="157"/>
      <c r="M72" s="158" t="s">
        <v>80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81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81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81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165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v>355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1083.33333333333</v>
      </c>
      <c r="C76" s="168"/>
      <c r="D76" s="65" t="n">
        <f aca="false">B76</f>
        <v>1083.33333333333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04" t="s">
        <v>174</v>
      </c>
      <c r="B77" s="119" t="n">
        <f aca="false">B102*1.1</f>
        <v>0</v>
      </c>
      <c r="C77" s="264"/>
      <c r="D77" s="65" t="n">
        <f aca="false">B77</f>
        <v>0</v>
      </c>
      <c r="E77" s="258" t="n">
        <f aca="false">D77/(B58+B57)</f>
        <v>0</v>
      </c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f aca="false">D102/(1-0.1)</f>
        <v>0</v>
      </c>
      <c r="C78" s="264"/>
      <c r="D78" s="65" t="n">
        <f aca="false">B78</f>
        <v>0</v>
      </c>
      <c r="E78" s="258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82</v>
      </c>
      <c r="B79" s="230" t="n">
        <v>200</v>
      </c>
      <c r="C79" s="264"/>
      <c r="D79" s="65" t="n">
        <f aca="false">B79</f>
        <v>200</v>
      </c>
      <c r="E79" s="258"/>
      <c r="F79" s="157"/>
      <c r="G79" s="158" t="s">
        <v>82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82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83</v>
      </c>
      <c r="B80" s="238" t="n">
        <v>200</v>
      </c>
      <c r="C80" s="264"/>
      <c r="D80" s="65" t="n">
        <f aca="false">B80</f>
        <v>200</v>
      </c>
      <c r="E80" s="258" t="n">
        <f aca="false">(D73+D76+D79+D80)/(B58+B57)</f>
        <v>51.7592592592593</v>
      </c>
      <c r="F80" s="157"/>
      <c r="G80" s="237" t="s">
        <v>83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83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84</v>
      </c>
      <c r="B81" s="240" t="n">
        <f aca="false">SUM(D64:D80)</f>
        <v>7941.25833333333</v>
      </c>
      <c r="C81" s="264"/>
      <c r="D81" s="265"/>
      <c r="E81" s="258"/>
      <c r="F81" s="157"/>
      <c r="G81" s="239" t="s">
        <v>84</v>
      </c>
      <c r="H81" s="240" t="n">
        <f aca="false">SUM(J64:J80)</f>
        <v>7143.675</v>
      </c>
      <c r="I81" s="168"/>
      <c r="J81" s="168"/>
      <c r="K81" s="169"/>
      <c r="L81" s="157"/>
      <c r="M81" s="239" t="s">
        <v>84</v>
      </c>
      <c r="N81" s="240" t="n">
        <f aca="false">SUM(P64:P80)</f>
        <v>6799.925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85</v>
      </c>
      <c r="B82" s="166" t="n">
        <f aca="false">B81/H29</f>
        <v>220.590509259259</v>
      </c>
      <c r="C82" s="264"/>
      <c r="D82" s="168"/>
      <c r="E82" s="258"/>
      <c r="F82" s="157"/>
      <c r="G82" s="161" t="s">
        <v>85</v>
      </c>
      <c r="H82" s="166" t="n">
        <f aca="false">H81/H29</f>
        <v>198.435416666667</v>
      </c>
      <c r="I82" s="168"/>
      <c r="J82" s="168"/>
      <c r="K82" s="169"/>
      <c r="L82" s="157"/>
      <c r="M82" s="161" t="s">
        <v>85</v>
      </c>
      <c r="N82" s="166" t="n">
        <f aca="false">N81/H29</f>
        <v>188.886805555556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86</v>
      </c>
      <c r="B83" s="242" t="n">
        <f aca="false">H47</f>
        <v>922.920864561026</v>
      </c>
      <c r="C83" s="264"/>
      <c r="D83" s="168"/>
      <c r="E83" s="258" t="n">
        <f aca="false">B83+E80+E77+E64</f>
        <v>1143.51137382028</v>
      </c>
      <c r="F83" s="157"/>
      <c r="G83" s="241" t="s">
        <v>86</v>
      </c>
      <c r="H83" s="242" t="n">
        <f aca="false">H47</f>
        <v>922.920864561026</v>
      </c>
      <c r="I83" s="168"/>
      <c r="J83" s="168"/>
      <c r="K83" s="169"/>
      <c r="L83" s="157"/>
      <c r="M83" s="241" t="s">
        <v>86</v>
      </c>
      <c r="N83" s="242" t="n">
        <f aca="false">H47</f>
        <v>922.920864561026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264"/>
      <c r="D84" s="264"/>
      <c r="E84" s="258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95</v>
      </c>
      <c r="B85" s="119" t="n">
        <f aca="false">((B83*H29)+B81)</f>
        <v>41166.4094575303</v>
      </c>
      <c r="C85" s="264"/>
      <c r="D85" s="264"/>
      <c r="E85" s="258" t="n">
        <f aca="false">B85/(B58+B57)</f>
        <v>1143.51137382028</v>
      </c>
      <c r="F85" s="157"/>
      <c r="G85" s="204" t="s">
        <v>95</v>
      </c>
      <c r="H85" s="119" t="n">
        <f aca="false">((H83*H29)+H81)*1.2</f>
        <v>48442.5913490363</v>
      </c>
      <c r="I85" s="168"/>
      <c r="J85" s="168"/>
      <c r="K85" s="169"/>
      <c r="L85" s="157"/>
      <c r="M85" s="204" t="s">
        <v>95</v>
      </c>
      <c r="N85" s="119" t="n">
        <f aca="false">((N83*H29)+N81)</f>
        <v>40025.0761241969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96</v>
      </c>
      <c r="B86" s="166" t="n">
        <f aca="false">(((B83*H29)+B81)/(1-B70))*B70</f>
        <v>348.727147482104</v>
      </c>
      <c r="C86" s="264"/>
      <c r="D86" s="168"/>
      <c r="E86" s="258" t="n">
        <f aca="false">B86/(B58+B57)</f>
        <v>9.68686520783622</v>
      </c>
      <c r="F86" s="157"/>
      <c r="G86" s="161" t="s">
        <v>96</v>
      </c>
      <c r="H86" s="166" t="n">
        <f aca="false">((((H83*H29)+H81))/(1-H70))*H70</f>
        <v>341.970693266694</v>
      </c>
      <c r="I86" s="168"/>
      <c r="J86" s="168"/>
      <c r="K86" s="169"/>
      <c r="L86" s="157"/>
      <c r="M86" s="161" t="s">
        <v>96</v>
      </c>
      <c r="N86" s="166" t="n">
        <f aca="false">(N85/(1-N70))*N70</f>
        <v>339.058732798764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97</v>
      </c>
      <c r="B87" s="121" t="n">
        <f aca="false">IF(B110="YES",((B85+B86)-E114),((B85+B86)))</f>
        <v>41515.1366050124</v>
      </c>
      <c r="C87" s="264"/>
      <c r="D87" s="266"/>
      <c r="E87" s="258" t="n">
        <f aca="false">E86+E85</f>
        <v>1153.19823902812</v>
      </c>
      <c r="F87" s="157"/>
      <c r="G87" s="211" t="s">
        <v>97</v>
      </c>
      <c r="H87" s="121" t="n">
        <f aca="false">IF(H110="YES",((H85+H86)-K114),(H85+H86))</f>
        <v>48784.562042303</v>
      </c>
      <c r="I87" s="168"/>
      <c r="J87" s="168"/>
      <c r="K87" s="169"/>
      <c r="L87" s="157"/>
      <c r="M87" s="211" t="s">
        <v>97</v>
      </c>
      <c r="N87" s="121" t="n">
        <f aca="false">IF(N110="YES",((N85+N86)-Q114),(N85+N86))</f>
        <v>40364.1348569957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264"/>
      <c r="D88" s="168"/>
      <c r="E88" s="258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98</v>
      </c>
      <c r="B89" s="240" t="n">
        <f aca="false">IF(B99=Y98, (I32+(I32*B105))/(B58), (I32+(I32*B105))/(B57+B58))</f>
        <v>34.3333333333333</v>
      </c>
      <c r="C89" s="264"/>
      <c r="D89" s="168"/>
      <c r="E89" s="169"/>
      <c r="F89" s="157"/>
      <c r="G89" s="239" t="s">
        <v>98</v>
      </c>
      <c r="H89" s="240" t="n">
        <f aca="false">IF(H99=Y98, (D40+(D40*H105))/(H58), (D40+(D40*H105))/(H57+H58))*1.2</f>
        <v>36.1756097560976</v>
      </c>
      <c r="I89" s="168"/>
      <c r="J89" s="168"/>
      <c r="K89" s="169"/>
      <c r="L89" s="157"/>
      <c r="M89" s="239" t="s">
        <v>98</v>
      </c>
      <c r="N89" s="240" t="n">
        <f aca="false">IF(N99=Y98, (D40+(D40*N105))/(N58), (D40+(D40*N105))/(N57+N58))</f>
        <v>30.1463414634146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99</v>
      </c>
      <c r="B90" s="244" t="n">
        <f aca="false">IF(B99=Y98, (B87-D105)/(B58), B87/(B57+B58))</f>
        <v>1153.19823902812</v>
      </c>
      <c r="C90" s="264"/>
      <c r="D90" s="168"/>
      <c r="E90" s="267"/>
      <c r="F90" s="157"/>
      <c r="G90" s="243" t="s">
        <v>99</v>
      </c>
      <c r="H90" s="244" t="n">
        <f aca="false">IF(H99=Y98, (H87-J105)/(H58), H87/(H57+H58))</f>
        <v>1189.86736688544</v>
      </c>
      <c r="I90" s="168"/>
      <c r="J90" s="168"/>
      <c r="K90" s="169"/>
      <c r="L90" s="157"/>
      <c r="M90" s="243" t="s">
        <v>99</v>
      </c>
      <c r="N90" s="244" t="n">
        <f aca="false">IF(N99=Y98, (N87-P105)/(N58), N87/(N57+N58))</f>
        <v>984.491094073066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100</v>
      </c>
      <c r="B91" s="246" t="n">
        <f aca="false">IF(A105="YES", B90+B89, B90)</f>
        <v>1187.53157236145</v>
      </c>
      <c r="C91" s="264"/>
      <c r="D91" s="268"/>
      <c r="E91" s="269"/>
      <c r="F91" s="157"/>
      <c r="G91" s="245" t="s">
        <v>100</v>
      </c>
      <c r="H91" s="246" t="n">
        <f aca="false">IF(G105="YES", H90+H89, H90)</f>
        <v>1226.04297664154</v>
      </c>
      <c r="I91" s="168"/>
      <c r="J91" s="168"/>
      <c r="K91" s="169"/>
      <c r="L91" s="157"/>
      <c r="M91" s="245" t="s">
        <v>100</v>
      </c>
      <c r="N91" s="246" t="n">
        <f aca="false">IF(M105="YES", N90+N89, N90)</f>
        <v>1014.63743553648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70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226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 t="s">
        <v>227</v>
      </c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271"/>
      <c r="C97" s="271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106</v>
      </c>
      <c r="Z97" s="157"/>
      <c r="AC97" s="247"/>
    </row>
    <row r="98" customFormat="false" ht="18.75" hidden="false" customHeight="true" outlineLevel="0" collapsed="false">
      <c r="A98" s="161" t="s">
        <v>104</v>
      </c>
      <c r="B98" s="168" t="s">
        <v>30</v>
      </c>
      <c r="C98" s="168"/>
      <c r="D98" s="168" t="s">
        <v>178</v>
      </c>
      <c r="E98" s="169"/>
      <c r="F98" s="157"/>
      <c r="G98" s="161" t="s">
        <v>104</v>
      </c>
      <c r="H98" s="168" t="s">
        <v>30</v>
      </c>
      <c r="I98" s="168"/>
      <c r="J98" s="168" t="s">
        <v>178</v>
      </c>
      <c r="K98" s="169"/>
      <c r="L98" s="157"/>
      <c r="M98" s="161" t="s">
        <v>104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181</v>
      </c>
      <c r="C99" s="248"/>
      <c r="D99" s="58" t="n">
        <v>1000</v>
      </c>
      <c r="E99" s="58"/>
      <c r="F99" s="157"/>
      <c r="G99" s="185" t="s">
        <v>180</v>
      </c>
      <c r="H99" s="248" t="s">
        <v>182</v>
      </c>
      <c r="I99" s="248"/>
      <c r="J99" s="58" t="n">
        <v>0</v>
      </c>
      <c r="K99" s="58"/>
      <c r="L99" s="157"/>
      <c r="M99" s="185" t="s">
        <v>180</v>
      </c>
      <c r="N99" s="248" t="s">
        <v>182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183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182</v>
      </c>
      <c r="Z100" s="157"/>
    </row>
    <row r="101" customFormat="false" ht="18.75" hidden="false" customHeight="true" outlineLevel="0" collapsed="false">
      <c r="A101" s="161" t="s">
        <v>184</v>
      </c>
      <c r="B101" s="168" t="s">
        <v>185</v>
      </c>
      <c r="C101" s="168"/>
      <c r="D101" s="168" t="s">
        <v>228</v>
      </c>
      <c r="E101" s="169"/>
      <c r="F101" s="157"/>
      <c r="G101" s="161" t="s">
        <v>184</v>
      </c>
      <c r="H101" s="168" t="s">
        <v>185</v>
      </c>
      <c r="I101" s="168"/>
      <c r="J101" s="168" t="s">
        <v>186</v>
      </c>
      <c r="K101" s="169"/>
      <c r="L101" s="157"/>
      <c r="M101" s="161" t="s">
        <v>184</v>
      </c>
      <c r="N101" s="168" t="s">
        <v>185</v>
      </c>
      <c r="O101" s="168"/>
      <c r="P101" s="168" t="s">
        <v>186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187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188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189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107</v>
      </c>
      <c r="C104" s="168"/>
      <c r="D104" s="168" t="s">
        <v>119</v>
      </c>
      <c r="E104" s="169"/>
      <c r="F104" s="157"/>
      <c r="G104" s="185" t="s">
        <v>29</v>
      </c>
      <c r="H104" s="157" t="s">
        <v>107</v>
      </c>
      <c r="I104" s="168"/>
      <c r="J104" s="168" t="s">
        <v>119</v>
      </c>
      <c r="K104" s="169"/>
      <c r="L104" s="157"/>
      <c r="M104" s="185" t="s">
        <v>29</v>
      </c>
      <c r="N104" s="157" t="s">
        <v>107</v>
      </c>
      <c r="O104" s="168"/>
      <c r="P104" s="168" t="s">
        <v>119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190</v>
      </c>
      <c r="Z104" s="157"/>
    </row>
    <row r="105" customFormat="false" ht="18.75" hidden="false" customHeight="true" outlineLevel="0" collapsed="false">
      <c r="A105" s="186" t="s">
        <v>25</v>
      </c>
      <c r="B105" s="249" t="n">
        <v>0.2</v>
      </c>
      <c r="C105" s="249"/>
      <c r="D105" s="58" t="s">
        <v>191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192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193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194</v>
      </c>
      <c r="B108" s="189"/>
      <c r="C108" s="189"/>
      <c r="D108" s="189"/>
      <c r="E108" s="189"/>
      <c r="F108" s="157"/>
      <c r="G108" s="189" t="s">
        <v>194</v>
      </c>
      <c r="H108" s="189"/>
      <c r="I108" s="189"/>
      <c r="J108" s="189"/>
      <c r="K108" s="189"/>
      <c r="L108" s="157"/>
      <c r="M108" s="189" t="s">
        <v>194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195</v>
      </c>
      <c r="B110" s="186" t="s">
        <v>26</v>
      </c>
      <c r="C110" s="168"/>
      <c r="D110" s="168"/>
      <c r="E110" s="169"/>
      <c r="F110" s="157"/>
      <c r="G110" s="161" t="s">
        <v>195</v>
      </c>
      <c r="H110" s="186" t="s">
        <v>26</v>
      </c>
      <c r="I110" s="168"/>
      <c r="J110" s="168"/>
      <c r="K110" s="169"/>
      <c r="L110" s="157"/>
      <c r="M110" s="161" t="s">
        <v>195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133</v>
      </c>
      <c r="B112" s="168"/>
      <c r="C112" s="168"/>
      <c r="D112" s="57" t="n">
        <v>0</v>
      </c>
      <c r="E112" s="58" t="n">
        <v>0</v>
      </c>
      <c r="F112" s="157"/>
      <c r="G112" s="161" t="s">
        <v>133</v>
      </c>
      <c r="H112" s="168"/>
      <c r="I112" s="168"/>
      <c r="J112" s="57" t="n">
        <v>0</v>
      </c>
      <c r="K112" s="58" t="n">
        <v>0</v>
      </c>
      <c r="L112" s="157"/>
      <c r="M112" s="161" t="s">
        <v>133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134</v>
      </c>
      <c r="B113" s="168"/>
      <c r="C113" s="168"/>
      <c r="D113" s="26" t="n">
        <f aca="false">E113</f>
        <v>0</v>
      </c>
      <c r="E113" s="58" t="n">
        <v>0</v>
      </c>
      <c r="F113" s="157"/>
      <c r="G113" s="161" t="s">
        <v>134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134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135</v>
      </c>
      <c r="B114" s="168"/>
      <c r="C114" s="168"/>
      <c r="D114" s="26" t="n">
        <f aca="false">D112-D113</f>
        <v>0</v>
      </c>
      <c r="E114" s="141" t="n">
        <f aca="false">E112-E113</f>
        <v>0</v>
      </c>
      <c r="F114" s="157"/>
      <c r="G114" s="161" t="s">
        <v>135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135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136</v>
      </c>
      <c r="B115" s="168"/>
      <c r="C115" s="168"/>
      <c r="D115" s="26" t="n">
        <f aca="false">D114-E114</f>
        <v>0</v>
      </c>
      <c r="E115" s="169"/>
      <c r="F115" s="157"/>
      <c r="G115" s="161" t="s">
        <v>136</v>
      </c>
      <c r="H115" s="168"/>
      <c r="I115" s="168"/>
      <c r="J115" s="26" t="n">
        <f aca="false">J114-K114</f>
        <v>0</v>
      </c>
      <c r="K115" s="169"/>
      <c r="L115" s="157"/>
      <c r="M115" s="161" t="s">
        <v>136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115</v>
      </c>
      <c r="B117" s="205"/>
      <c r="C117" s="205"/>
      <c r="D117" s="205"/>
      <c r="E117" s="119" t="n">
        <v>1000</v>
      </c>
      <c r="F117" s="157"/>
      <c r="G117" s="204" t="s">
        <v>115</v>
      </c>
      <c r="H117" s="205"/>
      <c r="I117" s="205"/>
      <c r="J117" s="205"/>
      <c r="K117" s="119" t="n">
        <f aca="false">J99</f>
        <v>0</v>
      </c>
      <c r="L117" s="157"/>
      <c r="M117" s="204" t="s">
        <v>115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139</v>
      </c>
      <c r="B118" s="168"/>
      <c r="C118" s="168"/>
      <c r="D118" s="168"/>
      <c r="E118" s="166" t="n">
        <v>199.99</v>
      </c>
      <c r="F118" s="157"/>
      <c r="G118" s="161" t="s">
        <v>139</v>
      </c>
      <c r="H118" s="168"/>
      <c r="I118" s="168"/>
      <c r="J118" s="168"/>
      <c r="K118" s="166" t="n">
        <f aca="false">G102</f>
        <v>199.99</v>
      </c>
      <c r="L118" s="157"/>
      <c r="M118" s="161" t="s">
        <v>139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196</v>
      </c>
      <c r="B119" s="212"/>
      <c r="C119" s="212"/>
      <c r="D119" s="212"/>
      <c r="E119" s="121" t="n">
        <f aca="false">IF(B110="YES",((E118*1.2)+E117)-E114,((E118*1.2)+E117))</f>
        <v>1239.988</v>
      </c>
      <c r="F119" s="157"/>
      <c r="G119" s="250" t="s">
        <v>196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196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197</v>
      </c>
      <c r="B122" s="189"/>
      <c r="C122" s="189"/>
      <c r="D122" s="189"/>
      <c r="E122" s="189"/>
      <c r="F122" s="157"/>
      <c r="G122" s="189" t="s">
        <v>197</v>
      </c>
      <c r="H122" s="189"/>
      <c r="I122" s="189"/>
      <c r="J122" s="189"/>
      <c r="K122" s="189"/>
      <c r="L122" s="157"/>
      <c r="M122" s="189" t="s">
        <v>197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272" t="n">
        <v>0</v>
      </c>
      <c r="C124" s="272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198</v>
      </c>
      <c r="B126" s="252" t="s">
        <v>199</v>
      </c>
      <c r="C126" s="252"/>
      <c r="D126" s="252" t="s">
        <v>100</v>
      </c>
      <c r="E126" s="169"/>
      <c r="F126" s="157"/>
      <c r="G126" s="251" t="s">
        <v>200</v>
      </c>
      <c r="H126" s="252" t="s">
        <v>201</v>
      </c>
      <c r="I126" s="252"/>
      <c r="J126" s="252" t="s">
        <v>202</v>
      </c>
      <c r="K126" s="169"/>
      <c r="L126" s="157"/>
      <c r="M126" s="251" t="s">
        <v>198</v>
      </c>
      <c r="N126" s="252" t="s">
        <v>199</v>
      </c>
      <c r="O126" s="252"/>
      <c r="P126" s="252" t="s">
        <v>100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1153.19823902812</v>
      </c>
      <c r="B127" s="150" t="n">
        <f aca="false">IF(A105="YES", B89*B57, 0)</f>
        <v>309</v>
      </c>
      <c r="C127" s="150"/>
      <c r="D127" s="150" t="n">
        <f aca="false">B91</f>
        <v>1187.53157236145</v>
      </c>
      <c r="E127" s="169"/>
      <c r="F127" s="157"/>
      <c r="G127" s="253" t="n">
        <f aca="false">H90</f>
        <v>1189.86736688544</v>
      </c>
      <c r="H127" s="150" t="n">
        <f aca="false">IF(G105="YES", H89*H57, 0)</f>
        <v>217.053658536585</v>
      </c>
      <c r="I127" s="150"/>
      <c r="J127" s="254" t="n">
        <f aca="false">H91</f>
        <v>1226.04297664154</v>
      </c>
      <c r="K127" s="169"/>
      <c r="L127" s="157"/>
      <c r="M127" s="253" t="n">
        <f aca="false">N90</f>
        <v>984.491094073066</v>
      </c>
      <c r="N127" s="150" t="n">
        <f aca="false">IF(M105="YES", N89*N57, 0)</f>
        <v>180.878048780488</v>
      </c>
      <c r="O127" s="150"/>
      <c r="P127" s="150" t="n">
        <f aca="false">N91</f>
        <v>1014.63743553648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39</v>
      </c>
      <c r="B129" s="168" t="s">
        <v>40</v>
      </c>
      <c r="C129" s="168"/>
      <c r="D129" s="168" t="s">
        <v>67</v>
      </c>
      <c r="E129" s="169"/>
      <c r="F129" s="157"/>
      <c r="G129" s="161" t="s">
        <v>39</v>
      </c>
      <c r="H129" s="168" t="s">
        <v>40</v>
      </c>
      <c r="I129" s="168"/>
      <c r="J129" s="168" t="s">
        <v>67</v>
      </c>
      <c r="K129" s="169"/>
      <c r="L129" s="157"/>
      <c r="M129" s="161" t="s">
        <v>39</v>
      </c>
      <c r="N129" s="168" t="s">
        <v>40</v>
      </c>
      <c r="O129" s="168"/>
      <c r="P129" s="168" t="s">
        <v>67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A152</f>
        <v>36</v>
      </c>
      <c r="B130" s="193" t="n">
        <f aca="false">B151</f>
        <v>10000</v>
      </c>
      <c r="C130" s="194"/>
      <c r="D130" s="193" t="n">
        <f aca="false">B58</f>
        <v>27</v>
      </c>
      <c r="E130" s="169"/>
      <c r="F130" s="157"/>
      <c r="G130" s="192" t="n">
        <f aca="false">G152</f>
        <v>36</v>
      </c>
      <c r="H130" s="193" t="n">
        <f aca="false">B151</f>
        <v>10000</v>
      </c>
      <c r="I130" s="194"/>
      <c r="J130" s="193" t="n">
        <f aca="false">B58</f>
        <v>27</v>
      </c>
      <c r="K130" s="169"/>
      <c r="L130" s="157"/>
      <c r="M130" s="192" t="n">
        <f aca="false">M155</f>
        <v>36</v>
      </c>
      <c r="N130" s="193" t="n">
        <f aca="false">B151</f>
        <v>10000</v>
      </c>
      <c r="O130" s="194"/>
      <c r="P130" s="193" t="n">
        <f aca="false">B58</f>
        <v>27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203</v>
      </c>
      <c r="B132" s="168" t="s">
        <v>204</v>
      </c>
      <c r="C132" s="168"/>
      <c r="D132" s="168" t="s">
        <v>205</v>
      </c>
      <c r="E132" s="169"/>
      <c r="F132" s="157"/>
      <c r="G132" s="161" t="s">
        <v>206</v>
      </c>
      <c r="H132" s="168" t="s">
        <v>207</v>
      </c>
      <c r="I132" s="168"/>
      <c r="J132" s="168" t="s">
        <v>208</v>
      </c>
      <c r="K132" s="169"/>
      <c r="L132" s="157"/>
      <c r="M132" s="161" t="s">
        <v>203</v>
      </c>
      <c r="N132" s="168" t="s">
        <v>204</v>
      </c>
      <c r="O132" s="168"/>
      <c r="P132" s="168" t="s">
        <v>205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10378.7841512531</v>
      </c>
      <c r="B133" s="23" t="n">
        <f aca="false">IF(A105="YES", B89*B57, 0)</f>
        <v>309</v>
      </c>
      <c r="C133" s="199"/>
      <c r="D133" s="200" t="n">
        <f aca="false">B91*B57</f>
        <v>10687.7841512531</v>
      </c>
      <c r="E133" s="169"/>
      <c r="F133" s="157"/>
      <c r="G133" s="55" t="n">
        <f aca="false">H90*H57</f>
        <v>7139.20420131264</v>
      </c>
      <c r="H133" s="23" t="n">
        <f aca="false">IF(G105="YES", H89*H57, 0)</f>
        <v>217.053658536585</v>
      </c>
      <c r="I133" s="199"/>
      <c r="J133" s="200" t="n">
        <f aca="false">H91*H57</f>
        <v>7356.25785984922</v>
      </c>
      <c r="K133" s="169"/>
      <c r="L133" s="157"/>
      <c r="M133" s="55" t="n">
        <f aca="false">N90*N57</f>
        <v>5906.94656443839</v>
      </c>
      <c r="N133" s="23" t="n">
        <f aca="false">IF(M105="YES", N89*N57, 0)</f>
        <v>180.878048780488</v>
      </c>
      <c r="O133" s="199"/>
      <c r="P133" s="200" t="n">
        <f aca="false">N91*N57</f>
        <v>6087.82461321888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209</v>
      </c>
      <c r="B135" s="168" t="s">
        <v>210</v>
      </c>
      <c r="C135" s="168"/>
      <c r="D135" s="168" t="s">
        <v>211</v>
      </c>
      <c r="E135" s="169"/>
      <c r="F135" s="157"/>
      <c r="G135" s="161" t="s">
        <v>212</v>
      </c>
      <c r="H135" s="168" t="s">
        <v>213</v>
      </c>
      <c r="I135" s="168"/>
      <c r="J135" s="168" t="s">
        <v>214</v>
      </c>
      <c r="K135" s="169"/>
      <c r="L135" s="157"/>
      <c r="M135" s="161" t="s">
        <v>209</v>
      </c>
      <c r="N135" s="168" t="s">
        <v>210</v>
      </c>
      <c r="O135" s="168"/>
      <c r="P135" s="168" t="s">
        <v>211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73" t="n">
        <f aca="false">E15*0.000006</f>
        <v>0.35115</v>
      </c>
      <c r="B136" s="274" t="n">
        <f aca="false">IF(A105="YES", E15*0.000002, 0)</f>
        <v>0.11705</v>
      </c>
      <c r="C136" s="23"/>
      <c r="D136" s="274" t="n">
        <f aca="false">A136+B136</f>
        <v>0.4682</v>
      </c>
      <c r="E136" s="153"/>
      <c r="F136" s="157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53"/>
      <c r="L136" s="157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118</v>
      </c>
      <c r="B138" s="168" t="s">
        <v>215</v>
      </c>
      <c r="C138" s="168"/>
      <c r="D138" s="168" t="s">
        <v>216</v>
      </c>
      <c r="E138" s="169"/>
      <c r="F138" s="157"/>
      <c r="G138" s="161" t="s">
        <v>217</v>
      </c>
      <c r="H138" s="168" t="s">
        <v>215</v>
      </c>
      <c r="I138" s="168"/>
      <c r="J138" s="168" t="s">
        <v>216</v>
      </c>
      <c r="K138" s="169"/>
      <c r="L138" s="157"/>
      <c r="M138" s="161" t="s">
        <v>118</v>
      </c>
      <c r="N138" s="168" t="s">
        <v>215</v>
      </c>
      <c r="O138" s="168"/>
      <c r="P138" s="168" t="s">
        <v>216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1157.7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218</v>
      </c>
      <c r="B141" s="168" t="s">
        <v>219</v>
      </c>
      <c r="C141" s="168"/>
      <c r="D141" s="168" t="s">
        <v>220</v>
      </c>
      <c r="E141" s="169"/>
      <c r="F141" s="157"/>
      <c r="G141" s="161" t="s">
        <v>218</v>
      </c>
      <c r="H141" s="168" t="s">
        <v>219</v>
      </c>
      <c r="I141" s="168"/>
      <c r="J141" s="168" t="s">
        <v>220</v>
      </c>
      <c r="K141" s="169"/>
      <c r="L141" s="157"/>
      <c r="M141" s="161" t="s">
        <v>218</v>
      </c>
      <c r="N141" s="168" t="s">
        <v>219</v>
      </c>
      <c r="O141" s="168"/>
      <c r="P141" s="168" t="s">
        <v>220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4.12</v>
      </c>
      <c r="B142" s="23" t="n">
        <f aca="false">A102-100</f>
        <v>99.99</v>
      </c>
      <c r="C142" s="23"/>
      <c r="D142" s="23" t="n">
        <f aca="false">(B139+D139+A142+B142)-B145</f>
        <v>1261.81</v>
      </c>
      <c r="E142" s="153"/>
      <c r="F142" s="157"/>
      <c r="G142" s="22" t="n">
        <f aca="false">IF(G105="YES", ((B36*H105)*0.1)*(G130), 0)</f>
        <v>4.12</v>
      </c>
      <c r="H142" s="23" t="n">
        <f aca="false">G102-100</f>
        <v>99.99</v>
      </c>
      <c r="I142" s="23"/>
      <c r="J142" s="23" t="n">
        <f aca="false">(H139+J139+G142+H142)-H145</f>
        <v>1068.86</v>
      </c>
      <c r="K142" s="153"/>
      <c r="L142" s="157"/>
      <c r="M142" s="22" t="n">
        <f aca="false">IF(M105="YES", ((B36*N105)*0.1)*(M130), 0)</f>
        <v>4.12</v>
      </c>
      <c r="N142" s="23" t="n">
        <f aca="false">M102-100</f>
        <v>99.99</v>
      </c>
      <c r="O142" s="23"/>
      <c r="P142" s="23" t="n">
        <f aca="false">(N139+P139+M142+N142)-N145</f>
        <v>1068.86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221</v>
      </c>
      <c r="B144" s="168" t="s">
        <v>222</v>
      </c>
      <c r="C144" s="168"/>
      <c r="D144" s="168"/>
      <c r="E144" s="169"/>
      <c r="F144" s="157"/>
      <c r="G144" s="161" t="s">
        <v>221</v>
      </c>
      <c r="H144" s="168" t="s">
        <v>222</v>
      </c>
      <c r="I144" s="168"/>
      <c r="J144" s="168"/>
      <c r="K144" s="169"/>
      <c r="L144" s="157"/>
      <c r="M144" s="161" t="s">
        <v>221</v>
      </c>
      <c r="N144" s="168" t="s">
        <v>222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22" t="n">
        <v>0</v>
      </c>
      <c r="N145" s="23" t="n">
        <f aca="false">(N139+P139+M142+N142)*(M145/N64)</f>
        <v>0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223</v>
      </c>
      <c r="N147" s="26" t="s">
        <v>224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225</v>
      </c>
      <c r="B148" s="168"/>
      <c r="C148" s="168"/>
      <c r="D148" s="215"/>
      <c r="E148" s="216"/>
      <c r="F148" s="157"/>
      <c r="G148" s="214" t="s">
        <v>225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39</v>
      </c>
      <c r="B150" s="221" t="s">
        <v>40</v>
      </c>
      <c r="C150" s="221"/>
      <c r="D150" s="168"/>
      <c r="E150" s="169"/>
      <c r="F150" s="157"/>
      <c r="G150" s="220" t="s">
        <v>39</v>
      </c>
      <c r="H150" s="221" t="s">
        <v>40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225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1187.53157236145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1226.04297664154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39</v>
      </c>
      <c r="N153" s="221" t="s">
        <v>40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1014.63743553648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1" colorId="64" zoomScale="75" zoomScaleNormal="75" zoomScalePageLayoutView="100" workbookViewId="0">
      <selection pane="topLeft" activeCell="G20" activeCellId="0" sqref="G20"/>
    </sheetView>
  </sheetViews>
  <sheetFormatPr defaultColWidth="11.71484375" defaultRowHeight="14.25" zeroHeight="false" outlineLevelRow="0" outlineLevelCol="0"/>
  <cols>
    <col min="1" max="1" customWidth="true" hidden="false" style="54" width="40.0" collapsed="false" outlineLevel="0"/>
    <col min="2" max="5" customWidth="true" hidden="false" style="54" width="18.12" collapsed="false" outlineLevel="0"/>
    <col min="7" max="7" customWidth="true" hidden="false" style="54" width="40.0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18.7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3" t="n">
        <v>138500</v>
      </c>
      <c r="C3" s="163" t="n">
        <v>0</v>
      </c>
      <c r="D3" s="163" t="n">
        <v>0</v>
      </c>
      <c r="E3" s="164" t="n">
        <v>0</v>
      </c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275" t="n">
        <v>0</v>
      </c>
      <c r="C4" s="275" t="n">
        <v>0</v>
      </c>
      <c r="D4" s="275" t="n">
        <v>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</v>
      </c>
      <c r="C5" s="163" t="n">
        <v>0</v>
      </c>
      <c r="D5" s="163" t="n">
        <v>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(B3*B4)+B5</f>
        <v>0</v>
      </c>
      <c r="C6" s="65" t="n">
        <f aca="false">(C3*C4)+C5</f>
        <v>0</v>
      </c>
      <c r="D6" s="65" t="n">
        <f aca="false">(D3*D4)+D5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138500</v>
      </c>
      <c r="C7" s="65" t="n">
        <f aca="false">C3-C6</f>
        <v>0</v>
      </c>
      <c r="D7" s="65" t="n">
        <f aca="false">D3-D6</f>
        <v>0</v>
      </c>
      <c r="E7" s="166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276" t="n">
        <f aca="false">B7+C7+D7+E3</f>
        <v>138500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0</v>
      </c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(E9+E10)*20%</f>
        <v>27700</v>
      </c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2245</v>
      </c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277" t="n">
        <f aca="false">(E9+E10+E13+E14+E11)-E12</f>
        <v>168500</v>
      </c>
      <c r="F15" s="157"/>
      <c r="G15" s="175" t="n">
        <f aca="false">E15</f>
        <v>168500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</v>
      </c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/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166200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168500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18.75" hidden="false" customHeight="true" outlineLevel="0" collapsed="false">
      <c r="A24" s="184" t="s">
        <v>229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9" t="s">
        <v>230</v>
      </c>
      <c r="B26" s="189"/>
      <c r="C26" s="189"/>
      <c r="D26" s="189"/>
      <c r="E26" s="189"/>
      <c r="F26" s="157"/>
      <c r="G26" s="187"/>
      <c r="H26" s="18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53</v>
      </c>
      <c r="H27" s="188" t="n">
        <f aca="false">IF(A32=Y103,1,IF(A32=Y104,1,IF(A32=Y105,3,IF(A32=Y106,6,IF(A32=Y107,9,IF(A32=Y108,12,IF(A32=Y109,3,IF(A32=Y110,6,IF(A32=Y111,9,0)))))))))</f>
        <v>1</v>
      </c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5" t="s">
        <v>231</v>
      </c>
      <c r="B28" s="199" t="s">
        <v>232</v>
      </c>
      <c r="C28" s="168"/>
      <c r="D28" s="199" t="s">
        <v>233</v>
      </c>
      <c r="E28" s="169"/>
      <c r="F28" s="157"/>
      <c r="G28" s="188" t="s">
        <v>67</v>
      </c>
      <c r="H28" s="188" t="n">
        <f aca="false">IF(A32=Y103,H29-H37,IF(A32=Y104,H29-H37,IF(A32=Y105,H29-1,IF(A32=Y106,H29-1,IF(A32=Y107,H29-1,IF(A32=Y108,H29-1,IF(A32=Y109,H29-H37,IF(A32=Y110,H29-H37,IF(A32=Y111,H29-H37,0)))))))))</f>
        <v>33</v>
      </c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86" t="s">
        <v>234</v>
      </c>
      <c r="B29" s="278" t="n">
        <v>12345</v>
      </c>
      <c r="C29" s="278"/>
      <c r="D29" s="279" t="n">
        <f aca="true">TODAY()+1</f>
        <v>44884</v>
      </c>
      <c r="E29" s="279"/>
      <c r="F29" s="157"/>
      <c r="G29" s="187" t="s">
        <v>35</v>
      </c>
      <c r="H29" s="187" t="n">
        <f aca="false">B35</f>
        <v>33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/>
      <c r="B30" s="13"/>
      <c r="C30" s="13"/>
      <c r="D30" s="168"/>
      <c r="E30" s="169"/>
      <c r="F30" s="157"/>
      <c r="G30" s="187" t="s">
        <v>37</v>
      </c>
      <c r="H30" s="187" t="n">
        <f aca="false">D35</f>
        <v>11000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85" t="s">
        <v>30</v>
      </c>
      <c r="B31" s="199" t="s">
        <v>235</v>
      </c>
      <c r="C31" s="168"/>
      <c r="D31" s="199" t="s">
        <v>204</v>
      </c>
      <c r="E31" s="169"/>
      <c r="F31" s="157"/>
      <c r="G31" s="187" t="s">
        <v>236</v>
      </c>
      <c r="H31" s="280" t="n">
        <f aca="false">D38</f>
        <v>50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86" t="s">
        <v>106</v>
      </c>
      <c r="B32" s="281" t="n">
        <v>0</v>
      </c>
      <c r="C32" s="281"/>
      <c r="D32" s="281" t="n">
        <v>0</v>
      </c>
      <c r="E32" s="281"/>
      <c r="F32" s="157"/>
      <c r="G32" s="282" t="s">
        <v>237</v>
      </c>
      <c r="H32" s="280" t="n">
        <f aca="false">A41</f>
        <v>22.73</v>
      </c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18.75" hidden="false" customHeight="true" outlineLevel="0" collapsed="false">
      <c r="A33" s="192"/>
      <c r="B33" s="193"/>
      <c r="C33" s="194"/>
      <c r="D33" s="151"/>
      <c r="E33" s="169"/>
      <c r="F33" s="157"/>
      <c r="G33" s="282" t="s">
        <v>238</v>
      </c>
      <c r="H33" s="280" t="n">
        <f aca="false">D41</f>
        <v>0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92" t="s">
        <v>205</v>
      </c>
      <c r="B34" s="283" t="s">
        <v>239</v>
      </c>
      <c r="C34" s="194"/>
      <c r="D34" s="49" t="s">
        <v>240</v>
      </c>
      <c r="E34" s="169"/>
      <c r="F34" s="157"/>
      <c r="G34" s="282" t="s">
        <v>241</v>
      </c>
      <c r="H34" s="280" t="n">
        <f aca="false">A44</f>
        <v>50</v>
      </c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281" t="n">
        <f aca="false">B32+D32</f>
        <v>0</v>
      </c>
      <c r="B35" s="278" t="n">
        <v>33</v>
      </c>
      <c r="C35" s="278"/>
      <c r="D35" s="278" t="n">
        <v>11000</v>
      </c>
      <c r="E35" s="278"/>
      <c r="F35" s="157"/>
      <c r="G35" s="197"/>
      <c r="H35" s="198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161"/>
      <c r="B36" s="168"/>
      <c r="C36" s="168"/>
      <c r="D36" s="168"/>
      <c r="E36" s="169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185" t="s">
        <v>242</v>
      </c>
      <c r="B37" s="199" t="s">
        <v>243</v>
      </c>
      <c r="C37" s="168"/>
      <c r="D37" s="199" t="s">
        <v>244</v>
      </c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284" t="n">
        <f aca="false">(B35/12)*D35</f>
        <v>30250</v>
      </c>
      <c r="B38" s="278" t="s">
        <v>25</v>
      </c>
      <c r="C38" s="278"/>
      <c r="D38" s="45" t="n">
        <v>50</v>
      </c>
      <c r="E38" s="45"/>
      <c r="F38" s="157"/>
      <c r="G38" s="157"/>
      <c r="H38" s="157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285"/>
      <c r="B39" s="194"/>
      <c r="C39" s="194"/>
      <c r="D39" s="168"/>
      <c r="E39" s="169"/>
      <c r="F39" s="157"/>
      <c r="G39" s="157"/>
      <c r="H39" s="202"/>
      <c r="I39" s="202"/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286" t="s">
        <v>199</v>
      </c>
      <c r="B40" s="287" t="s">
        <v>100</v>
      </c>
      <c r="C40" s="194"/>
      <c r="D40" s="200" t="s">
        <v>245</v>
      </c>
      <c r="E40" s="169"/>
      <c r="F40" s="157"/>
      <c r="G40" s="157"/>
      <c r="H40" s="202"/>
      <c r="I40" s="202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45" t="n">
        <v>22.73</v>
      </c>
      <c r="B41" s="288" t="n">
        <f aca="false">IF(B38="YES", D38+A41, D38)</f>
        <v>72.73</v>
      </c>
      <c r="C41" s="288"/>
      <c r="D41" s="45" t="n">
        <v>0</v>
      </c>
      <c r="E41" s="45"/>
      <c r="F41" s="157"/>
      <c r="G41" s="157"/>
      <c r="H41" s="203"/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285"/>
      <c r="B42" s="194"/>
      <c r="C42" s="194"/>
      <c r="D42" s="194"/>
      <c r="E42" s="289"/>
      <c r="F42" s="157"/>
      <c r="G42" s="201" t="s">
        <v>49</v>
      </c>
      <c r="H42" s="201"/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86" t="s">
        <v>118</v>
      </c>
      <c r="B43" s="287" t="s">
        <v>209</v>
      </c>
      <c r="C43" s="194"/>
      <c r="D43" s="287" t="s">
        <v>210</v>
      </c>
      <c r="E43" s="289"/>
      <c r="F43" s="157"/>
      <c r="G43" s="157" t="s">
        <v>246</v>
      </c>
      <c r="H43" s="202" t="n">
        <f aca="false">((((D38*(B35-1))+B32)/B35) + (A44/B35))+A44/H29</f>
        <v>51.5151515151515</v>
      </c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45" t="n">
        <v>50</v>
      </c>
      <c r="B44" s="45" t="n">
        <v>50</v>
      </c>
      <c r="C44" s="45"/>
      <c r="D44" s="45" t="n">
        <v>0</v>
      </c>
      <c r="E44" s="45"/>
      <c r="F44" s="157"/>
      <c r="G44" s="157" t="s">
        <v>247</v>
      </c>
      <c r="H44" s="202" t="n">
        <f aca="false">H32</f>
        <v>22.73</v>
      </c>
      <c r="I44" s="290" t="n">
        <f aca="false">((A41*(B35-1))+D32)/B35</f>
        <v>22.0412121212121</v>
      </c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85"/>
      <c r="B45" s="194"/>
      <c r="C45" s="194"/>
      <c r="D45" s="194"/>
      <c r="E45" s="289"/>
      <c r="F45" s="157"/>
      <c r="G45" s="157" t="s">
        <v>248</v>
      </c>
      <c r="H45" s="291" t="n">
        <f aca="false">H43+H44</f>
        <v>74.2451515151515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86" t="s">
        <v>211</v>
      </c>
      <c r="B46" s="287" t="s">
        <v>249</v>
      </c>
      <c r="C46" s="194"/>
      <c r="D46" s="287" t="s">
        <v>250</v>
      </c>
      <c r="E46" s="289"/>
      <c r="F46" s="157"/>
      <c r="G46" s="157" t="s">
        <v>251</v>
      </c>
      <c r="H46" s="202" t="n">
        <f aca="false">H43</f>
        <v>51.5151515151515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292" t="n">
        <v>0</v>
      </c>
      <c r="B47" s="293" t="n">
        <v>0.99</v>
      </c>
      <c r="C47" s="293"/>
      <c r="D47" s="45" t="n">
        <v>0</v>
      </c>
      <c r="E47" s="45"/>
      <c r="F47" s="157"/>
      <c r="G47" s="157"/>
      <c r="H47" s="202"/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85"/>
      <c r="B48" s="194"/>
      <c r="C48" s="194"/>
      <c r="D48" s="194"/>
      <c r="E48" s="289"/>
      <c r="F48" s="157"/>
      <c r="G48" s="157"/>
      <c r="H48" s="202"/>
      <c r="I48" s="202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285" t="s">
        <v>252</v>
      </c>
      <c r="B49" s="194"/>
      <c r="C49" s="194"/>
      <c r="D49" s="194"/>
      <c r="E49" s="289"/>
      <c r="F49" s="157"/>
      <c r="G49" s="157"/>
      <c r="H49" s="202"/>
      <c r="I49" s="202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186" t="s">
        <v>26</v>
      </c>
      <c r="B50" s="194"/>
      <c r="C50" s="194"/>
      <c r="D50" s="194"/>
      <c r="E50" s="289"/>
      <c r="F50" s="157"/>
      <c r="G50" s="157"/>
      <c r="H50" s="202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85"/>
      <c r="B51" s="194"/>
      <c r="C51" s="194"/>
      <c r="D51" s="194"/>
      <c r="E51" s="289"/>
      <c r="F51" s="157"/>
      <c r="G51" s="157"/>
      <c r="H51" s="202"/>
      <c r="I51" s="202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94" t="s">
        <v>253</v>
      </c>
      <c r="B52" s="194"/>
      <c r="C52" s="194"/>
      <c r="D52" s="194"/>
      <c r="E52" s="289"/>
      <c r="F52" s="157"/>
      <c r="G52" s="157"/>
      <c r="H52" s="202"/>
      <c r="I52" s="202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285"/>
      <c r="B53" s="194"/>
      <c r="C53" s="194"/>
      <c r="D53" s="194"/>
      <c r="E53" s="289"/>
      <c r="F53" s="157"/>
      <c r="G53" s="157"/>
      <c r="H53" s="202"/>
      <c r="I53" s="202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4" t="s">
        <v>64</v>
      </c>
      <c r="B54" s="168"/>
      <c r="C54" s="168"/>
      <c r="D54" s="215"/>
      <c r="E54" s="216"/>
      <c r="F54" s="157"/>
      <c r="G54" s="157"/>
      <c r="H54" s="202"/>
      <c r="I54" s="202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1"/>
      <c r="B55" s="218"/>
      <c r="C55" s="218"/>
      <c r="D55" s="168"/>
      <c r="E55" s="169"/>
      <c r="F55" s="157"/>
      <c r="G55" s="157"/>
      <c r="H55" s="219"/>
      <c r="I55" s="202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20" t="s">
        <v>39</v>
      </c>
      <c r="B56" s="221" t="s">
        <v>40</v>
      </c>
      <c r="C56" s="221"/>
      <c r="D56" s="168"/>
      <c r="E56" s="169"/>
      <c r="F56" s="157"/>
      <c r="G56" s="157"/>
      <c r="H56" s="157"/>
      <c r="I56" s="202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220"/>
      <c r="B57" s="222" t="n">
        <f aca="false">H30</f>
        <v>11000</v>
      </c>
      <c r="C57" s="222"/>
      <c r="D57" s="168"/>
      <c r="E57" s="169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223" t="n">
        <f aca="false">H29</f>
        <v>33</v>
      </c>
      <c r="B58" s="78" t="n">
        <f aca="false">H45</f>
        <v>74.2451515151515</v>
      </c>
      <c r="C58" s="78"/>
      <c r="D58" s="168"/>
      <c r="E58" s="169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211"/>
      <c r="B60" s="212"/>
      <c r="C60" s="212"/>
      <c r="D60" s="212"/>
      <c r="E60" s="213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8"/>
      <c r="B61" s="168"/>
      <c r="C61" s="168"/>
      <c r="D61" s="168"/>
      <c r="E61" s="168"/>
      <c r="F61" s="157"/>
      <c r="G61" s="168"/>
      <c r="H61" s="168"/>
      <c r="I61" s="168"/>
      <c r="J61" s="168"/>
      <c r="K61" s="168"/>
      <c r="L61" s="157"/>
      <c r="M61" s="168"/>
      <c r="N61" s="168"/>
      <c r="O61" s="168"/>
      <c r="P61" s="168"/>
      <c r="Q61" s="168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04"/>
      <c r="B62" s="205"/>
      <c r="C62" s="205"/>
      <c r="D62" s="205"/>
      <c r="E62" s="206"/>
      <c r="F62" s="157"/>
      <c r="G62" s="204"/>
      <c r="H62" s="205"/>
      <c r="I62" s="205"/>
      <c r="J62" s="205"/>
      <c r="K62" s="206"/>
      <c r="L62" s="157"/>
      <c r="M62" s="204"/>
      <c r="N62" s="205"/>
      <c r="O62" s="205"/>
      <c r="P62" s="205"/>
      <c r="Q62" s="206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53</v>
      </c>
      <c r="B63" s="168" t="n">
        <f aca="false">IF(B105=Y103,1,IF(B105=Y104,1,IF(B105=Y105,3,IF(B105=Y106,6,IF(B105=Y107,9,IF(B105=Y108,12,IF(B105=Y109,3,IF(B105=Y110,6,IF(B105=Y111,9,0)))))))))</f>
        <v>1</v>
      </c>
      <c r="C63" s="168"/>
      <c r="D63" s="168"/>
      <c r="E63" s="169"/>
      <c r="F63" s="157"/>
      <c r="G63" s="161" t="s">
        <v>53</v>
      </c>
      <c r="H63" s="168" t="n">
        <f aca="false">IF(H105=Y103,1,IF(H105=Y104,1,IF(H105=Y105,3,IF(H105=Y106,6,IF(H105=Y107,9,IF(H105=Y108,12,IF(H105=Y109,3,IF(H105=Y110,6,IF(H105=Y111,9,0)))))))))</f>
        <v>3</v>
      </c>
      <c r="I63" s="168"/>
      <c r="J63" s="168"/>
      <c r="K63" s="169"/>
      <c r="L63" s="157"/>
      <c r="M63" s="161" t="s">
        <v>53</v>
      </c>
      <c r="N63" s="168" t="n">
        <f aca="false">IF(N105=Y103,1,IF(N105=Y104,1,IF(N105=Y105,3,IF(N105=Y106,6,IF(N105=Y107,9,IF(N105=Y108,12,IF(N105=Y109,3,IF(N105=Y110,6,IF(N105=Y111,9,0)))))))))</f>
        <v>12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161" t="s">
        <v>67</v>
      </c>
      <c r="B64" s="168" t="n">
        <f aca="false">IF(B105=Y103,H29-B63,IF(B105=Y104,H29-B63,IF(B105=Y105,H29-1,IF(B105=Y106,H29-1,IF(B105=Y107,H29-1,IF(B105=Y108,H29-1,IF(B105=Y109,H29-B63,IF(B105=Y110,H29-B63,IF(B105=Y111,H29-B63,0)))))))))</f>
        <v>32</v>
      </c>
      <c r="C64" s="168"/>
      <c r="D64" s="168"/>
      <c r="E64" s="169"/>
      <c r="F64" s="157"/>
      <c r="G64" s="161" t="s">
        <v>67</v>
      </c>
      <c r="H64" s="168" t="n">
        <f aca="false">IF(H105=Y103,H29-H63,IF(H105=Y104,H29-H63,IF(H105=Y105,H29-1,IF(H105=Y106,H29-1,IF(H105=Y107,H29-1,IF(H105=Y108,H29-1,IF(H105=Y109,H29-H63,IF(H105=Y110,H29-H63,IF(H105=Y111,H29-H63,0)))))))))</f>
        <v>30</v>
      </c>
      <c r="I64" s="168"/>
      <c r="J64" s="168"/>
      <c r="K64" s="169"/>
      <c r="L64" s="157"/>
      <c r="M64" s="161" t="s">
        <v>67</v>
      </c>
      <c r="N64" s="168" t="n">
        <f aca="false">IF(N105=Y103,H29-N63,IF(N105=Y104,H29-N63,IF(N105=Y105,H29-1,IF(N105=Y106,H29-1,IF(N105=Y107,H29-1,IF(N105=Y108,H29-1,IF(N105=Y109,H29-N63,IF(N105=Y110,H29-N63,IF(N105=Y111,H29-N63,0)))))))))</f>
        <v>32</v>
      </c>
      <c r="O64" s="168"/>
      <c r="P64" s="168"/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161"/>
      <c r="B65" s="168"/>
      <c r="C65" s="168"/>
      <c r="D65" s="168"/>
      <c r="E65" s="169"/>
      <c r="F65" s="157"/>
      <c r="G65" s="161"/>
      <c r="H65" s="168"/>
      <c r="I65" s="168"/>
      <c r="J65" s="168"/>
      <c r="K65" s="169"/>
      <c r="L65" s="157"/>
      <c r="M65" s="161"/>
      <c r="N65" s="168"/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/>
      <c r="B66" s="168"/>
      <c r="C66" s="168"/>
      <c r="D66" s="168"/>
      <c r="E66" s="169"/>
      <c r="F66" s="157"/>
      <c r="G66" s="161"/>
      <c r="H66" s="168"/>
      <c r="I66" s="168"/>
      <c r="J66" s="168"/>
      <c r="K66" s="169"/>
      <c r="L66" s="157"/>
      <c r="M66" s="161"/>
      <c r="N66" s="168"/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161" t="s">
        <v>21</v>
      </c>
      <c r="B67" s="65" t="n">
        <f aca="false">G18</f>
        <v>166200</v>
      </c>
      <c r="C67" s="168"/>
      <c r="D67" s="168"/>
      <c r="E67" s="169"/>
      <c r="F67" s="157"/>
      <c r="G67" s="161" t="s">
        <v>21</v>
      </c>
      <c r="H67" s="65" t="n">
        <f aca="false">G18</f>
        <v>166200</v>
      </c>
      <c r="I67" s="168"/>
      <c r="J67" s="168"/>
      <c r="K67" s="169"/>
      <c r="L67" s="157"/>
      <c r="M67" s="161" t="s">
        <v>21</v>
      </c>
      <c r="N67" s="65" t="n">
        <f aca="false">G18</f>
        <v>166200</v>
      </c>
      <c r="O67" s="168"/>
      <c r="P67" s="168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169</v>
      </c>
      <c r="B68" s="225" t="n">
        <v>0.07</v>
      </c>
      <c r="C68" s="168"/>
      <c r="D68" s="168"/>
      <c r="E68" s="169"/>
      <c r="F68" s="157"/>
      <c r="G68" s="224" t="s">
        <v>169</v>
      </c>
      <c r="H68" s="225" t="n">
        <v>0.07</v>
      </c>
      <c r="I68" s="168"/>
      <c r="J68" s="168"/>
      <c r="K68" s="169"/>
      <c r="L68" s="157"/>
      <c r="M68" s="224" t="s">
        <v>169</v>
      </c>
      <c r="N68" s="225" t="n">
        <v>0.07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61" t="s">
        <v>170</v>
      </c>
      <c r="B69" s="165" t="n">
        <f aca="false">B68+(B68*0.25*(H29/12-1))</f>
        <v>0.100625</v>
      </c>
      <c r="C69" s="168"/>
      <c r="D69" s="168"/>
      <c r="E69" s="169"/>
      <c r="F69" s="157"/>
      <c r="G69" s="161" t="s">
        <v>170</v>
      </c>
      <c r="H69" s="165" t="n">
        <f aca="false">H68+(H68*0.25*(H29/12-1))</f>
        <v>0.100625</v>
      </c>
      <c r="I69" s="168"/>
      <c r="J69" s="168"/>
      <c r="K69" s="169"/>
      <c r="L69" s="157"/>
      <c r="M69" s="161" t="s">
        <v>170</v>
      </c>
      <c r="N69" s="165" t="n">
        <f aca="false">N68+(N68*0.25*(H29/12-1))</f>
        <v>0.100625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72</v>
      </c>
      <c r="B70" s="121" t="n">
        <f aca="false">B67*B69</f>
        <v>16723.875</v>
      </c>
      <c r="C70" s="168"/>
      <c r="D70" s="65" t="n">
        <f aca="false">B70-A151</f>
        <v>16723.875</v>
      </c>
      <c r="E70" s="169" t="n">
        <f aca="false">D70/12</f>
        <v>1393.65625</v>
      </c>
      <c r="F70" s="157"/>
      <c r="G70" s="211" t="s">
        <v>72</v>
      </c>
      <c r="H70" s="121" t="n">
        <f aca="false">H67*H69</f>
        <v>16723.875</v>
      </c>
      <c r="I70" s="168"/>
      <c r="J70" s="65" t="n">
        <f aca="false">H70-G151</f>
        <v>16723.875</v>
      </c>
      <c r="K70" s="169"/>
      <c r="L70" s="157"/>
      <c r="M70" s="211" t="s">
        <v>72</v>
      </c>
      <c r="N70" s="121" t="n">
        <f aca="false">N67*N69</f>
        <v>16723.875</v>
      </c>
      <c r="O70" s="168"/>
      <c r="P70" s="65" t="n">
        <f aca="false">N70-M151</f>
        <v>16723.875</v>
      </c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73</v>
      </c>
      <c r="B71" s="225" t="n">
        <v>0.01</v>
      </c>
      <c r="C71" s="168"/>
      <c r="D71" s="168"/>
      <c r="E71" s="169"/>
      <c r="F71" s="157"/>
      <c r="G71" s="224" t="s">
        <v>73</v>
      </c>
      <c r="H71" s="225" t="n">
        <v>0.005</v>
      </c>
      <c r="I71" s="168"/>
      <c r="J71" s="168"/>
      <c r="K71" s="169"/>
      <c r="L71" s="157"/>
      <c r="M71" s="224" t="s">
        <v>73</v>
      </c>
      <c r="N71" s="225" t="n">
        <v>0.005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61" t="s">
        <v>74</v>
      </c>
      <c r="B72" s="165" t="n">
        <f aca="false">B71+(B71*0.5*(H29/12-1))</f>
        <v>0.01875</v>
      </c>
      <c r="C72" s="168"/>
      <c r="D72" s="168"/>
      <c r="E72" s="169"/>
      <c r="F72" s="157"/>
      <c r="G72" s="161" t="s">
        <v>74</v>
      </c>
      <c r="H72" s="165" t="n">
        <f aca="false">H71+(H71*0.5*(H29/12-1))</f>
        <v>0.009375</v>
      </c>
      <c r="I72" s="168"/>
      <c r="J72" s="168"/>
      <c r="K72" s="169"/>
      <c r="L72" s="157"/>
      <c r="M72" s="161" t="s">
        <v>74</v>
      </c>
      <c r="N72" s="165" t="n">
        <f aca="false">N71+(N71*0.5*(H29/12-1))</f>
        <v>0.009375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75</v>
      </c>
      <c r="B73" s="121" t="n">
        <f aca="false">B67*B72</f>
        <v>3116.25</v>
      </c>
      <c r="C73" s="168"/>
      <c r="D73" s="65"/>
      <c r="E73" s="169"/>
      <c r="F73" s="157"/>
      <c r="G73" s="211" t="s">
        <v>75</v>
      </c>
      <c r="H73" s="121" t="n">
        <f aca="false">H67*H72</f>
        <v>1558.125</v>
      </c>
      <c r="I73" s="168"/>
      <c r="J73" s="65"/>
      <c r="K73" s="169"/>
      <c r="L73" s="157"/>
      <c r="M73" s="211" t="s">
        <v>75</v>
      </c>
      <c r="N73" s="121" t="n">
        <f aca="false">N67*N72</f>
        <v>1558.125</v>
      </c>
      <c r="O73" s="168"/>
      <c r="P73" s="65"/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76</v>
      </c>
      <c r="B74" s="225" t="n">
        <v>0.0075</v>
      </c>
      <c r="C74" s="168"/>
      <c r="D74" s="168"/>
      <c r="E74" s="169"/>
      <c r="F74" s="157"/>
      <c r="G74" s="224" t="s">
        <v>76</v>
      </c>
      <c r="H74" s="225" t="n">
        <v>0.0075</v>
      </c>
      <c r="I74" s="168"/>
      <c r="J74" s="168"/>
      <c r="K74" s="169"/>
      <c r="L74" s="157"/>
      <c r="M74" s="224" t="s">
        <v>76</v>
      </c>
      <c r="N74" s="225" t="n">
        <v>0.0075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77</v>
      </c>
      <c r="B75" s="226" t="n">
        <v>0.12</v>
      </c>
      <c r="C75" s="168"/>
      <c r="D75" s="168"/>
      <c r="E75" s="169"/>
      <c r="F75" s="157"/>
      <c r="G75" s="158" t="s">
        <v>77</v>
      </c>
      <c r="H75" s="226" t="n">
        <v>0.12</v>
      </c>
      <c r="I75" s="168"/>
      <c r="J75" s="168"/>
      <c r="K75" s="169"/>
      <c r="L75" s="157"/>
      <c r="M75" s="158" t="s">
        <v>77</v>
      </c>
      <c r="N75" s="226" t="n">
        <v>0.12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78</v>
      </c>
      <c r="B76" s="228" t="n">
        <f aca="false">B74*(1+B75)</f>
        <v>0.0084</v>
      </c>
      <c r="C76" s="168"/>
      <c r="D76" s="168"/>
      <c r="E76" s="169"/>
      <c r="F76" s="157"/>
      <c r="G76" s="211" t="s">
        <v>78</v>
      </c>
      <c r="H76" s="228" t="n">
        <f aca="false">H74*(1+H75)</f>
        <v>0.0084</v>
      </c>
      <c r="I76" s="168"/>
      <c r="J76" s="168"/>
      <c r="K76" s="169"/>
      <c r="L76" s="157"/>
      <c r="M76" s="211" t="s">
        <v>78</v>
      </c>
      <c r="N76" s="228" t="n">
        <f aca="false">N74*(1+N75)</f>
        <v>0.0084</v>
      </c>
      <c r="O76" s="168"/>
      <c r="P76" s="168"/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79</v>
      </c>
      <c r="B77" s="229" t="n">
        <v>160</v>
      </c>
      <c r="C77" s="168"/>
      <c r="D77" s="168"/>
      <c r="E77" s="169"/>
      <c r="F77" s="157"/>
      <c r="G77" s="224" t="s">
        <v>79</v>
      </c>
      <c r="H77" s="229" t="n">
        <v>160</v>
      </c>
      <c r="I77" s="168"/>
      <c r="J77" s="168"/>
      <c r="K77" s="169"/>
      <c r="L77" s="157"/>
      <c r="M77" s="224" t="s">
        <v>79</v>
      </c>
      <c r="N77" s="229" t="n">
        <v>160</v>
      </c>
      <c r="O77" s="168"/>
      <c r="P77" s="168"/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58" t="s">
        <v>80</v>
      </c>
      <c r="B78" s="230" t="n">
        <v>4.5</v>
      </c>
      <c r="C78" s="168"/>
      <c r="D78" s="168"/>
      <c r="E78" s="169"/>
      <c r="F78" s="157"/>
      <c r="G78" s="158" t="s">
        <v>80</v>
      </c>
      <c r="H78" s="230" t="n">
        <v>4.5</v>
      </c>
      <c r="I78" s="168"/>
      <c r="J78" s="168"/>
      <c r="K78" s="169"/>
      <c r="L78" s="157"/>
      <c r="M78" s="158" t="s">
        <v>80</v>
      </c>
      <c r="N78" s="230" t="n">
        <v>4.5</v>
      </c>
      <c r="O78" s="168"/>
      <c r="P78" s="168"/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211" t="s">
        <v>81</v>
      </c>
      <c r="B79" s="121" t="n">
        <f aca="false">B78*H29</f>
        <v>148.5</v>
      </c>
      <c r="C79" s="168"/>
      <c r="D79" s="65" t="n">
        <f aca="false">B79+B77</f>
        <v>308.5</v>
      </c>
      <c r="E79" s="269" t="n">
        <f aca="false">D79+D85+D86</f>
        <v>508.5</v>
      </c>
      <c r="F79" s="157"/>
      <c r="G79" s="211" t="s">
        <v>81</v>
      </c>
      <c r="H79" s="121" t="n">
        <f aca="false">H78*H29</f>
        <v>148.5</v>
      </c>
      <c r="I79" s="168"/>
      <c r="J79" s="65" t="n">
        <f aca="false">H79+H77</f>
        <v>308.5</v>
      </c>
      <c r="K79" s="169"/>
      <c r="L79" s="157"/>
      <c r="M79" s="211" t="s">
        <v>81</v>
      </c>
      <c r="N79" s="121" t="n">
        <f aca="false">N78*H29</f>
        <v>148.5</v>
      </c>
      <c r="O79" s="168"/>
      <c r="P79" s="65" t="n">
        <f aca="false">N79+N77</f>
        <v>308.5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24" t="s">
        <v>171</v>
      </c>
      <c r="B80" s="229" t="n">
        <v>155</v>
      </c>
      <c r="C80" s="168"/>
      <c r="D80" s="168"/>
      <c r="E80" s="269" t="n">
        <f aca="false">E79+D82</f>
        <v>1406.83333333333</v>
      </c>
      <c r="F80" s="157"/>
      <c r="G80" s="224" t="s">
        <v>171</v>
      </c>
      <c r="H80" s="229" t="n">
        <v>150</v>
      </c>
      <c r="I80" s="168"/>
      <c r="J80" s="168"/>
      <c r="K80" s="169"/>
      <c r="L80" s="157"/>
      <c r="M80" s="231" t="s">
        <v>171</v>
      </c>
      <c r="N80" s="232" t="n">
        <v>0</v>
      </c>
      <c r="O80" s="168"/>
      <c r="P80" s="168"/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158" t="s">
        <v>172</v>
      </c>
      <c r="B81" s="230" t="n">
        <v>335</v>
      </c>
      <c r="C81" s="168"/>
      <c r="D81" s="168"/>
      <c r="E81" s="169" t="n">
        <f aca="false">E80/12</f>
        <v>117.236111111111</v>
      </c>
      <c r="F81" s="157"/>
      <c r="G81" s="158" t="s">
        <v>172</v>
      </c>
      <c r="H81" s="230" t="n">
        <f aca="false">IF(G18&gt;40000, 325, 0)</f>
        <v>325</v>
      </c>
      <c r="I81" s="168"/>
      <c r="J81" s="168"/>
      <c r="K81" s="169"/>
      <c r="L81" s="157"/>
      <c r="M81" s="233" t="s">
        <v>172</v>
      </c>
      <c r="N81" s="234" t="n">
        <v>0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211" t="s">
        <v>173</v>
      </c>
      <c r="B82" s="121" t="n">
        <f aca="false">((B80+B81)/12)*(H29-11)</f>
        <v>898.333333333333</v>
      </c>
      <c r="C82" s="168"/>
      <c r="D82" s="65" t="n">
        <f aca="false">IF(A50="YES", 0, B82)</f>
        <v>898.333333333333</v>
      </c>
      <c r="E82" s="169"/>
      <c r="F82" s="157"/>
      <c r="G82" s="211" t="s">
        <v>173</v>
      </c>
      <c r="H82" s="121" t="n">
        <f aca="false">((H80+H81)/12)*(H29-11)</f>
        <v>870.833333333333</v>
      </c>
      <c r="I82" s="168"/>
      <c r="J82" s="65" t="n">
        <f aca="false">IF(A50="YES", 0, H82)</f>
        <v>870.833333333333</v>
      </c>
      <c r="K82" s="169"/>
      <c r="L82" s="157"/>
      <c r="M82" s="235" t="s">
        <v>173</v>
      </c>
      <c r="N82" s="236" t="n">
        <f aca="false">((N80+N81)/12)*(H29-11)</f>
        <v>0</v>
      </c>
      <c r="O82" s="168"/>
      <c r="P82" s="65" t="n">
        <f aca="false">IF(A50="YES", 0, N82)</f>
        <v>0</v>
      </c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24" t="s">
        <v>174</v>
      </c>
      <c r="B83" s="229" t="n">
        <v>0</v>
      </c>
      <c r="C83" s="168"/>
      <c r="D83" s="65" t="n">
        <f aca="false">B83</f>
        <v>0</v>
      </c>
      <c r="E83" s="169" t="n">
        <f aca="false">D83/12</f>
        <v>0</v>
      </c>
      <c r="F83" s="157"/>
      <c r="G83" s="224" t="s">
        <v>174</v>
      </c>
      <c r="H83" s="229" t="n">
        <f aca="false">H108</f>
        <v>1200</v>
      </c>
      <c r="I83" s="168"/>
      <c r="J83" s="65" t="n">
        <f aca="false">H83</f>
        <v>1200</v>
      </c>
      <c r="K83" s="169"/>
      <c r="L83" s="157"/>
      <c r="M83" s="224" t="s">
        <v>174</v>
      </c>
      <c r="N83" s="229" t="n">
        <f aca="false">N108</f>
        <v>1200</v>
      </c>
      <c r="O83" s="168"/>
      <c r="P83" s="65" t="n">
        <f aca="false">N83</f>
        <v>1200</v>
      </c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 t="s">
        <v>254</v>
      </c>
      <c r="B84" s="166" t="n">
        <v>0</v>
      </c>
      <c r="C84" s="168"/>
      <c r="D84" s="65" t="n">
        <f aca="false">B84</f>
        <v>0</v>
      </c>
      <c r="E84" s="169"/>
      <c r="F84" s="157"/>
      <c r="G84" s="161" t="s">
        <v>175</v>
      </c>
      <c r="H84" s="166" t="n">
        <f aca="false">J108</f>
        <v>1500</v>
      </c>
      <c r="I84" s="168"/>
      <c r="J84" s="65" t="n">
        <f aca="false">H84</f>
        <v>1500</v>
      </c>
      <c r="K84" s="169"/>
      <c r="L84" s="157"/>
      <c r="M84" s="161" t="s">
        <v>175</v>
      </c>
      <c r="N84" s="166" t="n">
        <f aca="false">P108</f>
        <v>1500</v>
      </c>
      <c r="O84" s="168"/>
      <c r="P84" s="65" t="n">
        <f aca="false">N84</f>
        <v>1500</v>
      </c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158" t="s">
        <v>82</v>
      </c>
      <c r="B85" s="230" t="n">
        <v>100</v>
      </c>
      <c r="C85" s="168"/>
      <c r="D85" s="65" t="n">
        <f aca="false">B85</f>
        <v>100</v>
      </c>
      <c r="E85" s="169"/>
      <c r="F85" s="157"/>
      <c r="G85" s="158" t="s">
        <v>82</v>
      </c>
      <c r="H85" s="230" t="n">
        <v>100</v>
      </c>
      <c r="I85" s="168"/>
      <c r="J85" s="65" t="n">
        <f aca="false">H85</f>
        <v>100</v>
      </c>
      <c r="K85" s="169"/>
      <c r="L85" s="157"/>
      <c r="M85" s="158" t="s">
        <v>82</v>
      </c>
      <c r="N85" s="230" t="n">
        <v>100</v>
      </c>
      <c r="O85" s="168"/>
      <c r="P85" s="65" t="n">
        <f aca="false">N85</f>
        <v>100</v>
      </c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237" t="s">
        <v>83</v>
      </c>
      <c r="B86" s="238" t="n">
        <v>100</v>
      </c>
      <c r="C86" s="168"/>
      <c r="D86" s="65" t="n">
        <f aca="false">B86</f>
        <v>100</v>
      </c>
      <c r="E86" s="169"/>
      <c r="F86" s="157"/>
      <c r="G86" s="237" t="s">
        <v>83</v>
      </c>
      <c r="H86" s="238" t="n">
        <v>100</v>
      </c>
      <c r="I86" s="168"/>
      <c r="J86" s="65" t="n">
        <f aca="false">H86</f>
        <v>100</v>
      </c>
      <c r="K86" s="169"/>
      <c r="L86" s="157"/>
      <c r="M86" s="237" t="s">
        <v>83</v>
      </c>
      <c r="N86" s="238" t="n">
        <v>100</v>
      </c>
      <c r="O86" s="168"/>
      <c r="P86" s="65" t="n">
        <f aca="false">N86</f>
        <v>100</v>
      </c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39" t="s">
        <v>84</v>
      </c>
      <c r="B87" s="240" t="n">
        <f aca="false">SUM(D70:D86)</f>
        <v>18130.7083333333</v>
      </c>
      <c r="C87" s="168"/>
      <c r="D87" s="168"/>
      <c r="E87" s="169"/>
      <c r="F87" s="157"/>
      <c r="G87" s="239" t="s">
        <v>84</v>
      </c>
      <c r="H87" s="240" t="n">
        <f aca="false">SUM(J70:J86)</f>
        <v>20803.2083333333</v>
      </c>
      <c r="I87" s="168"/>
      <c r="J87" s="168"/>
      <c r="K87" s="169"/>
      <c r="L87" s="157"/>
      <c r="M87" s="239" t="s">
        <v>84</v>
      </c>
      <c r="N87" s="240" t="n">
        <f aca="false">SUM(P70:P86)</f>
        <v>19932.375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 t="s">
        <v>85</v>
      </c>
      <c r="B88" s="166" t="n">
        <f aca="false">B87/H29</f>
        <v>549.415404040404</v>
      </c>
      <c r="C88" s="168"/>
      <c r="D88" s="168"/>
      <c r="E88" s="169"/>
      <c r="F88" s="157"/>
      <c r="G88" s="161" t="s">
        <v>85</v>
      </c>
      <c r="H88" s="166" t="n">
        <f aca="false">H87/H29</f>
        <v>630.400252525253</v>
      </c>
      <c r="I88" s="168"/>
      <c r="J88" s="168"/>
      <c r="K88" s="169"/>
      <c r="L88" s="157"/>
      <c r="M88" s="161" t="s">
        <v>85</v>
      </c>
      <c r="N88" s="166" t="n">
        <f aca="false">N87/H29</f>
        <v>604.011363636364</v>
      </c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41" t="s">
        <v>86</v>
      </c>
      <c r="B89" s="242" t="n">
        <f aca="false">H46</f>
        <v>51.5151515151515</v>
      </c>
      <c r="C89" s="168"/>
      <c r="D89" s="168"/>
      <c r="E89" s="169"/>
      <c r="F89" s="157"/>
      <c r="G89" s="241" t="s">
        <v>86</v>
      </c>
      <c r="H89" s="242" t="n">
        <f aca="false">H46</f>
        <v>51.5151515151515</v>
      </c>
      <c r="I89" s="168"/>
      <c r="J89" s="168"/>
      <c r="K89" s="169"/>
      <c r="L89" s="157"/>
      <c r="M89" s="241" t="s">
        <v>86</v>
      </c>
      <c r="N89" s="242" t="n">
        <f aca="false">H46</f>
        <v>51.5151515151515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161"/>
      <c r="B90" s="65"/>
      <c r="C90" s="168"/>
      <c r="D90" s="168"/>
      <c r="E90" s="169"/>
      <c r="F90" s="157"/>
      <c r="G90" s="161"/>
      <c r="H90" s="65"/>
      <c r="I90" s="168"/>
      <c r="J90" s="168"/>
      <c r="K90" s="169"/>
      <c r="L90" s="157"/>
      <c r="M90" s="161"/>
      <c r="N90" s="65"/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04" t="s">
        <v>95</v>
      </c>
      <c r="B91" s="119" t="n">
        <f aca="false">((B89*H29)+B87)</f>
        <v>19830.7083333333</v>
      </c>
      <c r="C91" s="168"/>
      <c r="D91" s="168"/>
      <c r="E91" s="169"/>
      <c r="F91" s="157"/>
      <c r="G91" s="204" t="s">
        <v>95</v>
      </c>
      <c r="H91" s="119" t="n">
        <f aca="false">((H89*H29)+H87)*1.2</f>
        <v>27003.85</v>
      </c>
      <c r="I91" s="168"/>
      <c r="J91" s="168"/>
      <c r="K91" s="169"/>
      <c r="L91" s="157"/>
      <c r="M91" s="204" t="s">
        <v>95</v>
      </c>
      <c r="N91" s="119" t="n">
        <f aca="false">((N89*H29)+N87)</f>
        <v>21632.375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161" t="s">
        <v>96</v>
      </c>
      <c r="B92" s="166" t="n">
        <f aca="false">(((B89*H29)+B87)/(1-B76))*B76</f>
        <v>167.989058087939</v>
      </c>
      <c r="C92" s="168"/>
      <c r="D92" s="168"/>
      <c r="E92" s="295"/>
      <c r="F92" s="157"/>
      <c r="G92" s="161" t="s">
        <v>96</v>
      </c>
      <c r="H92" s="166" t="n">
        <f aca="false">(((H89*H29)+H87)/(1-H76))*H76</f>
        <v>190.628227107705</v>
      </c>
      <c r="I92" s="168"/>
      <c r="J92" s="168"/>
      <c r="K92" s="169"/>
      <c r="L92" s="157"/>
      <c r="M92" s="161" t="s">
        <v>96</v>
      </c>
      <c r="N92" s="166" t="n">
        <f aca="false">(N91/(1-N76))*N76</f>
        <v>183.251260588947</v>
      </c>
      <c r="O92" s="168"/>
      <c r="P92" s="168"/>
      <c r="Q92" s="169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211" t="s">
        <v>97</v>
      </c>
      <c r="B93" s="121" t="n">
        <f aca="false">IF(B116="YES",((B91+B92)-E120),(B91+B92))</f>
        <v>19998.6973914213</v>
      </c>
      <c r="C93" s="168"/>
      <c r="D93" s="168"/>
      <c r="E93" s="169"/>
      <c r="F93" s="157"/>
      <c r="G93" s="211" t="s">
        <v>97</v>
      </c>
      <c r="H93" s="121" t="n">
        <f aca="false">IF(H116="YES",((H91+H92)-K120),(H91+H92))</f>
        <v>29194.4782271077</v>
      </c>
      <c r="I93" s="168"/>
      <c r="J93" s="168"/>
      <c r="K93" s="169"/>
      <c r="L93" s="157"/>
      <c r="M93" s="211" t="s">
        <v>97</v>
      </c>
      <c r="N93" s="121" t="n">
        <f aca="false">IF(N116="YES",((N91+N92)-K120),(N91+N92))</f>
        <v>23815.6262605889</v>
      </c>
      <c r="O93" s="168"/>
      <c r="P93" s="168"/>
      <c r="Q93" s="169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18.75" hidden="false" customHeight="true" outlineLevel="0" collapsed="false">
      <c r="A94" s="161"/>
      <c r="B94" s="65"/>
      <c r="C94" s="168"/>
      <c r="D94" s="168"/>
      <c r="E94" s="169"/>
      <c r="F94" s="157"/>
      <c r="G94" s="161"/>
      <c r="H94" s="65"/>
      <c r="I94" s="168"/>
      <c r="J94" s="168"/>
      <c r="K94" s="169"/>
      <c r="L94" s="157"/>
      <c r="M94" s="161"/>
      <c r="N94" s="65"/>
      <c r="O94" s="168"/>
      <c r="P94" s="168"/>
      <c r="Q94" s="169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239" t="s">
        <v>98</v>
      </c>
      <c r="B95" s="240" t="n">
        <f aca="false">((H44*B35)+((H44*B35)*B111))/(B63+B64)</f>
        <v>27.276</v>
      </c>
      <c r="C95" s="168"/>
      <c r="D95" s="168"/>
      <c r="E95" s="169"/>
      <c r="F95" s="157"/>
      <c r="G95" s="239" t="s">
        <v>98</v>
      </c>
      <c r="H95" s="240" t="n">
        <f aca="false">(((H44*B35)+((H44*B35)*H111))/(H63+H64))*1.2</f>
        <v>32.7312</v>
      </c>
      <c r="I95" s="168"/>
      <c r="J95" s="168"/>
      <c r="K95" s="169"/>
      <c r="L95" s="157"/>
      <c r="M95" s="239" t="s">
        <v>98</v>
      </c>
      <c r="N95" s="240" t="n">
        <f aca="false">((H44*B35)+((H44*B35)*N111))/(N63+N64)</f>
        <v>20.457</v>
      </c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243" t="s">
        <v>99</v>
      </c>
      <c r="B96" s="244" t="n">
        <f aca="false">IF(B105=Y104, (B93-D111)/(B64), B93/(B63+B64))</f>
        <v>606.021133073372</v>
      </c>
      <c r="C96" s="168"/>
      <c r="D96" s="168"/>
      <c r="E96" s="169"/>
      <c r="F96" s="157"/>
      <c r="G96" s="243" t="s">
        <v>99</v>
      </c>
      <c r="H96" s="244" t="n">
        <f aca="false">IF(H105=Y104, (H93-J111)/(H64), H93/(H63+H64))</f>
        <v>884.681158397203</v>
      </c>
      <c r="I96" s="168"/>
      <c r="J96" s="168"/>
      <c r="K96" s="169"/>
      <c r="L96" s="157"/>
      <c r="M96" s="243" t="s">
        <v>99</v>
      </c>
      <c r="N96" s="244" t="n">
        <f aca="false">IF(N105=Y104, (N93-P111)/(N64), N93/(N63+N64))</f>
        <v>541.264233195203</v>
      </c>
      <c r="O96" s="168"/>
      <c r="P96" s="168"/>
      <c r="Q96" s="16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245" t="s">
        <v>100</v>
      </c>
      <c r="B97" s="246" t="n">
        <f aca="false">IF(A111="YES", B96+B95, B96)</f>
        <v>633.297133073372</v>
      </c>
      <c r="C97" s="168"/>
      <c r="D97" s="296"/>
      <c r="E97" s="169"/>
      <c r="F97" s="157"/>
      <c r="G97" s="245" t="s">
        <v>100</v>
      </c>
      <c r="H97" s="246" t="n">
        <f aca="false">IF(G111="YES", H96+H95, H96)</f>
        <v>917.412358397203</v>
      </c>
      <c r="I97" s="168"/>
      <c r="J97" s="168"/>
      <c r="K97" s="169"/>
      <c r="L97" s="157"/>
      <c r="M97" s="245" t="s">
        <v>100</v>
      </c>
      <c r="N97" s="246" t="n">
        <f aca="false">IF(M111="YES", N96+N95, N96)</f>
        <v>561.721233195203</v>
      </c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/>
      <c r="Z97" s="157"/>
    </row>
    <row r="98" customFormat="false" ht="18.75" hidden="false" customHeight="true" outlineLevel="0" collapsed="false">
      <c r="A98" s="211"/>
      <c r="B98" s="212"/>
      <c r="C98" s="212"/>
      <c r="D98" s="212"/>
      <c r="E98" s="213"/>
      <c r="F98" s="157"/>
      <c r="G98" s="211"/>
      <c r="H98" s="212"/>
      <c r="I98" s="212"/>
      <c r="J98" s="212"/>
      <c r="K98" s="213"/>
      <c r="L98" s="157"/>
      <c r="M98" s="211"/>
      <c r="N98" s="212"/>
      <c r="O98" s="212"/>
      <c r="P98" s="212"/>
      <c r="Q98" s="213"/>
      <c r="R98" s="157"/>
      <c r="S98" s="157"/>
      <c r="T98" s="157"/>
      <c r="U98" s="157"/>
      <c r="V98" s="157"/>
      <c r="W98" s="157"/>
      <c r="X98" s="157"/>
      <c r="Y98" s="157"/>
      <c r="Z98" s="157"/>
    </row>
    <row r="99" customFormat="false" ht="18.75" hidden="false" customHeight="true" outlineLevel="0" collapsed="false">
      <c r="A99" s="168"/>
      <c r="B99" s="168"/>
      <c r="C99" s="168"/>
      <c r="D99" s="168"/>
      <c r="E99" s="168"/>
      <c r="F99" s="157"/>
      <c r="G99" s="168"/>
      <c r="H99" s="168"/>
      <c r="I99" s="168"/>
      <c r="J99" s="168"/>
      <c r="K99" s="168"/>
      <c r="L99" s="157"/>
      <c r="M99" s="168"/>
      <c r="N99" s="168"/>
      <c r="O99" s="168"/>
      <c r="P99" s="168"/>
      <c r="Q99" s="168"/>
      <c r="R99" s="157"/>
      <c r="S99" s="157"/>
      <c r="T99" s="157"/>
      <c r="U99" s="157"/>
      <c r="V99" s="157"/>
      <c r="W99" s="157"/>
      <c r="X99" s="157"/>
      <c r="Y99" s="157"/>
      <c r="Z99" s="157"/>
    </row>
    <row r="100" customFormat="false" ht="48.75" hidden="false" customHeight="true" outlineLevel="0" collapsed="false">
      <c r="A100" s="184" t="s">
        <v>226</v>
      </c>
      <c r="B100" s="184"/>
      <c r="C100" s="184"/>
      <c r="D100" s="184"/>
      <c r="E100" s="184"/>
      <c r="F100" s="157"/>
      <c r="G100" s="184" t="s">
        <v>177</v>
      </c>
      <c r="H100" s="184"/>
      <c r="I100" s="184"/>
      <c r="J100" s="184"/>
      <c r="K100" s="184"/>
      <c r="L100" s="157"/>
      <c r="M100" s="184" t="s">
        <v>176</v>
      </c>
      <c r="N100" s="184"/>
      <c r="O100" s="184"/>
      <c r="P100" s="184"/>
      <c r="Q100" s="184"/>
      <c r="R100" s="157"/>
      <c r="S100" s="157"/>
      <c r="T100" s="157"/>
      <c r="U100" s="157"/>
      <c r="V100" s="157"/>
      <c r="W100" s="157"/>
      <c r="X100" s="157"/>
      <c r="Y100" s="157"/>
      <c r="Z100" s="157"/>
    </row>
    <row r="101" customFormat="false" ht="18.75" hidden="false" customHeight="true" outlineLevel="0" collapsed="false">
      <c r="A101" s="161"/>
      <c r="B101" s="168"/>
      <c r="C101" s="168"/>
      <c r="D101" s="168"/>
      <c r="E101" s="169"/>
      <c r="F101" s="157"/>
      <c r="G101" s="161"/>
      <c r="H101" s="168"/>
      <c r="I101" s="168"/>
      <c r="J101" s="168"/>
      <c r="K101" s="169"/>
      <c r="L101" s="157"/>
      <c r="M101" s="161"/>
      <c r="N101" s="168"/>
      <c r="O101" s="168"/>
      <c r="P101" s="168"/>
      <c r="Q101" s="169"/>
      <c r="R101" s="157"/>
      <c r="S101" s="157"/>
      <c r="T101" s="157"/>
      <c r="U101" s="157"/>
      <c r="V101" s="157"/>
      <c r="W101" s="157"/>
      <c r="X101" s="157"/>
      <c r="Y101" s="157"/>
      <c r="Z101" s="157"/>
    </row>
    <row r="102" customFormat="false" ht="18.75" hidden="false" customHeight="true" outlineLevel="0" collapsed="false">
      <c r="A102" s="189" t="s">
        <v>33</v>
      </c>
      <c r="B102" s="189"/>
      <c r="C102" s="189"/>
      <c r="D102" s="189"/>
      <c r="E102" s="189"/>
      <c r="F102" s="157"/>
      <c r="G102" s="189" t="s">
        <v>33</v>
      </c>
      <c r="H102" s="189"/>
      <c r="I102" s="189"/>
      <c r="J102" s="189"/>
      <c r="K102" s="189"/>
      <c r="L102" s="157"/>
      <c r="M102" s="189" t="s">
        <v>33</v>
      </c>
      <c r="N102" s="189"/>
      <c r="O102" s="189"/>
      <c r="P102" s="189"/>
      <c r="Q102" s="189"/>
      <c r="R102" s="157"/>
      <c r="S102" s="157"/>
      <c r="T102" s="157"/>
      <c r="U102" s="157"/>
      <c r="V102" s="157"/>
      <c r="W102" s="157"/>
      <c r="X102" s="157"/>
      <c r="Y102" s="157"/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106</v>
      </c>
      <c r="Z103" s="157"/>
    </row>
    <row r="104" customFormat="false" ht="18.75" hidden="false" customHeight="true" outlineLevel="0" collapsed="false">
      <c r="A104" s="161" t="s">
        <v>104</v>
      </c>
      <c r="B104" s="168" t="s">
        <v>30</v>
      </c>
      <c r="C104" s="168"/>
      <c r="D104" s="168" t="s">
        <v>178</v>
      </c>
      <c r="E104" s="169"/>
      <c r="F104" s="157"/>
      <c r="G104" s="161" t="s">
        <v>104</v>
      </c>
      <c r="H104" s="168" t="s">
        <v>30</v>
      </c>
      <c r="I104" s="168"/>
      <c r="J104" s="168" t="s">
        <v>178</v>
      </c>
      <c r="K104" s="169"/>
      <c r="L104" s="157"/>
      <c r="M104" s="161" t="s">
        <v>104</v>
      </c>
      <c r="N104" s="168" t="s">
        <v>30</v>
      </c>
      <c r="O104" s="168"/>
      <c r="P104" s="168" t="s">
        <v>178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179</v>
      </c>
      <c r="Z104" s="157"/>
    </row>
    <row r="105" customFormat="false" ht="18.75" hidden="false" customHeight="true" outlineLevel="0" collapsed="false">
      <c r="A105" s="185" t="s">
        <v>180</v>
      </c>
      <c r="B105" s="248" t="s">
        <v>106</v>
      </c>
      <c r="C105" s="248"/>
      <c r="D105" s="297" t="n">
        <v>0</v>
      </c>
      <c r="E105" s="297"/>
      <c r="F105" s="157"/>
      <c r="G105" s="185" t="s">
        <v>180</v>
      </c>
      <c r="H105" s="248" t="s">
        <v>189</v>
      </c>
      <c r="I105" s="248"/>
      <c r="J105" s="297" t="n">
        <v>5000</v>
      </c>
      <c r="K105" s="297"/>
      <c r="L105" s="157"/>
      <c r="M105" s="185" t="s">
        <v>180</v>
      </c>
      <c r="N105" s="248" t="s">
        <v>188</v>
      </c>
      <c r="O105" s="248"/>
      <c r="P105" s="297" t="n">
        <v>0</v>
      </c>
      <c r="Q105" s="297"/>
      <c r="R105" s="157"/>
      <c r="S105" s="157"/>
      <c r="T105" s="157"/>
      <c r="U105" s="157"/>
      <c r="V105" s="157"/>
      <c r="W105" s="157"/>
      <c r="X105" s="157"/>
      <c r="Y105" s="157" t="s">
        <v>183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 t="s">
        <v>182</v>
      </c>
      <c r="Z106" s="157"/>
    </row>
    <row r="107" customFormat="false" ht="18.75" hidden="false" customHeight="true" outlineLevel="0" collapsed="false">
      <c r="A107" s="161" t="s">
        <v>184</v>
      </c>
      <c r="B107" s="168" t="s">
        <v>185</v>
      </c>
      <c r="C107" s="168"/>
      <c r="D107" s="168" t="s">
        <v>186</v>
      </c>
      <c r="E107" s="169"/>
      <c r="F107" s="157"/>
      <c r="G107" s="161" t="s">
        <v>184</v>
      </c>
      <c r="H107" s="168" t="s">
        <v>185</v>
      </c>
      <c r="I107" s="168"/>
      <c r="J107" s="168" t="s">
        <v>186</v>
      </c>
      <c r="K107" s="169"/>
      <c r="L107" s="157"/>
      <c r="M107" s="161" t="s">
        <v>184</v>
      </c>
      <c r="N107" s="168" t="s">
        <v>185</v>
      </c>
      <c r="O107" s="168"/>
      <c r="P107" s="168" t="s">
        <v>186</v>
      </c>
      <c r="Q107" s="169"/>
      <c r="R107" s="157"/>
      <c r="S107" s="157"/>
      <c r="T107" s="157"/>
      <c r="U107" s="157"/>
      <c r="V107" s="157"/>
      <c r="W107" s="157"/>
      <c r="X107" s="157"/>
      <c r="Y107" s="157" t="s">
        <v>187</v>
      </c>
      <c r="Z107" s="157"/>
    </row>
    <row r="108" customFormat="false" ht="18.75" hidden="false" customHeight="true" outlineLevel="0" collapsed="false">
      <c r="A108" s="57" t="n">
        <v>199.99</v>
      </c>
      <c r="B108" s="58" t="n">
        <v>0</v>
      </c>
      <c r="C108" s="58"/>
      <c r="D108" s="58" t="n">
        <v>0</v>
      </c>
      <c r="E108" s="58"/>
      <c r="F108" s="157"/>
      <c r="G108" s="57" t="n">
        <f aca="false">199.99*1.2</f>
        <v>239.988</v>
      </c>
      <c r="H108" s="58" t="n">
        <v>1200</v>
      </c>
      <c r="I108" s="58"/>
      <c r="J108" s="58" t="n">
        <v>1500</v>
      </c>
      <c r="K108" s="58"/>
      <c r="L108" s="157"/>
      <c r="M108" s="57" t="n">
        <v>199.99</v>
      </c>
      <c r="N108" s="58" t="n">
        <v>1200</v>
      </c>
      <c r="O108" s="58"/>
      <c r="P108" s="58" t="n">
        <v>1500</v>
      </c>
      <c r="Q108" s="58"/>
      <c r="R108" s="157"/>
      <c r="S108" s="157"/>
      <c r="T108" s="157"/>
      <c r="U108" s="157"/>
      <c r="V108" s="157"/>
      <c r="W108" s="157"/>
      <c r="X108" s="157"/>
      <c r="Y108" s="157" t="s">
        <v>188</v>
      </c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 t="s">
        <v>189</v>
      </c>
      <c r="Z109" s="157"/>
    </row>
    <row r="110" customFormat="false" ht="18.75" hidden="false" customHeight="true" outlineLevel="0" collapsed="false">
      <c r="A110" s="185" t="s">
        <v>29</v>
      </c>
      <c r="B110" s="157" t="s">
        <v>107</v>
      </c>
      <c r="C110" s="168"/>
      <c r="D110" s="168" t="s">
        <v>119</v>
      </c>
      <c r="E110" s="169"/>
      <c r="F110" s="157"/>
      <c r="G110" s="185" t="s">
        <v>29</v>
      </c>
      <c r="H110" s="157" t="s">
        <v>107</v>
      </c>
      <c r="I110" s="168"/>
      <c r="J110" s="168" t="s">
        <v>119</v>
      </c>
      <c r="K110" s="169"/>
      <c r="L110" s="157"/>
      <c r="M110" s="185" t="s">
        <v>29</v>
      </c>
      <c r="N110" s="157" t="s">
        <v>107</v>
      </c>
      <c r="O110" s="168"/>
      <c r="P110" s="168" t="s">
        <v>119</v>
      </c>
      <c r="Q110" s="169"/>
      <c r="R110" s="157"/>
      <c r="S110" s="157"/>
      <c r="T110" s="157"/>
      <c r="U110" s="157"/>
      <c r="V110" s="157"/>
      <c r="W110" s="157"/>
      <c r="X110" s="157"/>
      <c r="Y110" s="157" t="s">
        <v>190</v>
      </c>
      <c r="Z110" s="157"/>
    </row>
    <row r="111" customFormat="false" ht="18.75" hidden="false" customHeight="true" outlineLevel="0" collapsed="false">
      <c r="A111" s="186" t="s">
        <v>25</v>
      </c>
      <c r="B111" s="249" t="n">
        <v>0.2</v>
      </c>
      <c r="C111" s="249"/>
      <c r="D111" s="58" t="n">
        <v>5000</v>
      </c>
      <c r="E111" s="58"/>
      <c r="F111" s="157"/>
      <c r="G111" s="186" t="s">
        <v>25</v>
      </c>
      <c r="H111" s="249" t="n">
        <v>0.2</v>
      </c>
      <c r="I111" s="249"/>
      <c r="J111" s="58" t="n">
        <v>5000</v>
      </c>
      <c r="K111" s="58"/>
      <c r="L111" s="157"/>
      <c r="M111" s="186" t="s">
        <v>25</v>
      </c>
      <c r="N111" s="249" t="n">
        <v>0.2</v>
      </c>
      <c r="O111" s="249"/>
      <c r="P111" s="58" t="n">
        <v>5000</v>
      </c>
      <c r="Q111" s="58"/>
      <c r="R111" s="157"/>
      <c r="S111" s="157"/>
      <c r="T111" s="157"/>
      <c r="U111" s="157"/>
      <c r="V111" s="157"/>
      <c r="W111" s="157"/>
      <c r="X111" s="157"/>
      <c r="Y111" s="157" t="s">
        <v>192</v>
      </c>
      <c r="Z111" s="157"/>
    </row>
    <row r="112" customFormat="false" ht="18.75" hidden="false" customHeight="true" outlineLevel="0" collapsed="false">
      <c r="A112" s="161"/>
      <c r="B112" s="168"/>
      <c r="C112" s="168"/>
      <c r="D112" s="168"/>
      <c r="E112" s="169"/>
      <c r="F112" s="157"/>
      <c r="G112" s="161"/>
      <c r="H112" s="168"/>
      <c r="I112" s="168"/>
      <c r="J112" s="168"/>
      <c r="K112" s="169"/>
      <c r="L112" s="157"/>
      <c r="M112" s="161"/>
      <c r="N112" s="168"/>
      <c r="O112" s="168"/>
      <c r="P112" s="168"/>
      <c r="Q112" s="169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/>
      <c r="B113" s="168"/>
      <c r="C113" s="168"/>
      <c r="D113" s="168"/>
      <c r="E113" s="169"/>
      <c r="F113" s="157"/>
      <c r="G113" s="161"/>
      <c r="H113" s="168"/>
      <c r="I113" s="168"/>
      <c r="J113" s="168"/>
      <c r="K113" s="169"/>
      <c r="L113" s="157"/>
      <c r="M113" s="161"/>
      <c r="N113" s="168" t="s">
        <v>193</v>
      </c>
      <c r="O113" s="186" t="s">
        <v>25</v>
      </c>
      <c r="P113" s="168"/>
      <c r="Q113" s="169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89" t="s">
        <v>194</v>
      </c>
      <c r="B114" s="189"/>
      <c r="C114" s="189"/>
      <c r="D114" s="189"/>
      <c r="E114" s="189"/>
      <c r="F114" s="157"/>
      <c r="G114" s="189" t="s">
        <v>194</v>
      </c>
      <c r="H114" s="189"/>
      <c r="I114" s="189"/>
      <c r="J114" s="189"/>
      <c r="K114" s="189"/>
      <c r="L114" s="157"/>
      <c r="M114" s="189" t="s">
        <v>194</v>
      </c>
      <c r="N114" s="189"/>
      <c r="O114" s="189"/>
      <c r="P114" s="189"/>
      <c r="Q114" s="189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/>
      <c r="B115" s="168"/>
      <c r="C115" s="168"/>
      <c r="D115" s="168"/>
      <c r="E115" s="169"/>
      <c r="F115" s="157"/>
      <c r="G115" s="161"/>
      <c r="H115" s="168"/>
      <c r="I115" s="168"/>
      <c r="J115" s="168"/>
      <c r="K115" s="169"/>
      <c r="L115" s="157"/>
      <c r="M115" s="161"/>
      <c r="N115" s="168"/>
      <c r="O115" s="168"/>
      <c r="P115" s="168"/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 t="s">
        <v>195</v>
      </c>
      <c r="B116" s="186" t="s">
        <v>26</v>
      </c>
      <c r="C116" s="168"/>
      <c r="D116" s="168"/>
      <c r="E116" s="169"/>
      <c r="F116" s="157"/>
      <c r="G116" s="161" t="s">
        <v>195</v>
      </c>
      <c r="H116" s="186" t="s">
        <v>25</v>
      </c>
      <c r="I116" s="168"/>
      <c r="J116" s="168"/>
      <c r="K116" s="169"/>
      <c r="L116" s="157"/>
      <c r="M116" s="161" t="s">
        <v>195</v>
      </c>
      <c r="N116" s="186" t="s">
        <v>25</v>
      </c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161"/>
      <c r="B117" s="168"/>
      <c r="C117" s="168"/>
      <c r="D117" s="168"/>
      <c r="E117" s="169"/>
      <c r="F117" s="157"/>
      <c r="G117" s="161"/>
      <c r="H117" s="168"/>
      <c r="I117" s="168"/>
      <c r="J117" s="168"/>
      <c r="K117" s="169"/>
      <c r="L117" s="157"/>
      <c r="M117" s="161"/>
      <c r="N117" s="168"/>
      <c r="O117" s="168"/>
      <c r="P117" s="168"/>
      <c r="Q117" s="169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133</v>
      </c>
      <c r="B118" s="168"/>
      <c r="C118" s="168"/>
      <c r="D118" s="57" t="n">
        <v>0</v>
      </c>
      <c r="E118" s="58" t="n">
        <v>0</v>
      </c>
      <c r="F118" s="157"/>
      <c r="G118" s="161" t="s">
        <v>133</v>
      </c>
      <c r="H118" s="168"/>
      <c r="I118" s="168"/>
      <c r="J118" s="57" t="n">
        <v>10000</v>
      </c>
      <c r="K118" s="58" t="n">
        <v>5000</v>
      </c>
      <c r="L118" s="157"/>
      <c r="M118" s="161" t="s">
        <v>133</v>
      </c>
      <c r="N118" s="168"/>
      <c r="O118" s="168"/>
      <c r="P118" s="57" t="n">
        <v>10000</v>
      </c>
      <c r="Q118" s="58" t="n">
        <v>5000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161" t="s">
        <v>134</v>
      </c>
      <c r="B119" s="168"/>
      <c r="C119" s="168"/>
      <c r="D119" s="26" t="n">
        <f aca="false">E119</f>
        <v>0</v>
      </c>
      <c r="E119" s="58" t="n">
        <v>0</v>
      </c>
      <c r="F119" s="157"/>
      <c r="G119" s="161" t="s">
        <v>134</v>
      </c>
      <c r="H119" s="168"/>
      <c r="I119" s="168"/>
      <c r="J119" s="26" t="n">
        <f aca="false">K119</f>
        <v>7000</v>
      </c>
      <c r="K119" s="58" t="n">
        <v>7000</v>
      </c>
      <c r="L119" s="157"/>
      <c r="M119" s="161" t="s">
        <v>134</v>
      </c>
      <c r="N119" s="168"/>
      <c r="O119" s="168"/>
      <c r="P119" s="26" t="n">
        <f aca="false">Q119</f>
        <v>7000</v>
      </c>
      <c r="Q119" s="58" t="n">
        <v>7000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 t="s">
        <v>135</v>
      </c>
      <c r="B120" s="168"/>
      <c r="C120" s="168"/>
      <c r="D120" s="26" t="n">
        <f aca="false">D118-D119</f>
        <v>0</v>
      </c>
      <c r="E120" s="141" t="n">
        <f aca="false">E118-E119</f>
        <v>0</v>
      </c>
      <c r="F120" s="157"/>
      <c r="G120" s="161" t="s">
        <v>135</v>
      </c>
      <c r="H120" s="168"/>
      <c r="I120" s="168"/>
      <c r="J120" s="26" t="n">
        <f aca="false">J118-J119</f>
        <v>3000</v>
      </c>
      <c r="K120" s="141" t="n">
        <f aca="false">K118-K119</f>
        <v>-2000</v>
      </c>
      <c r="L120" s="157"/>
      <c r="M120" s="161" t="s">
        <v>135</v>
      </c>
      <c r="N120" s="168"/>
      <c r="O120" s="168"/>
      <c r="P120" s="26" t="n">
        <f aca="false">P118-P119</f>
        <v>3000</v>
      </c>
      <c r="Q120" s="141" t="n">
        <f aca="false">Q118-Q119</f>
        <v>-2000</v>
      </c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 t="s">
        <v>136</v>
      </c>
      <c r="B121" s="168"/>
      <c r="C121" s="168"/>
      <c r="D121" s="26" t="n">
        <f aca="false">D120-E120</f>
        <v>0</v>
      </c>
      <c r="E121" s="169"/>
      <c r="F121" s="157"/>
      <c r="G121" s="161" t="s">
        <v>136</v>
      </c>
      <c r="H121" s="168"/>
      <c r="I121" s="168"/>
      <c r="J121" s="26" t="n">
        <f aca="false">J120-K120</f>
        <v>5000</v>
      </c>
      <c r="K121" s="169"/>
      <c r="L121" s="157"/>
      <c r="M121" s="161" t="s">
        <v>136</v>
      </c>
      <c r="N121" s="168"/>
      <c r="O121" s="168"/>
      <c r="P121" s="26" t="n">
        <f aca="false">P120-Q120</f>
        <v>5000</v>
      </c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61"/>
      <c r="B122" s="168"/>
      <c r="C122" s="168"/>
      <c r="D122" s="168"/>
      <c r="E122" s="169"/>
      <c r="F122" s="157"/>
      <c r="G122" s="161"/>
      <c r="H122" s="168"/>
      <c r="I122" s="168"/>
      <c r="J122" s="168"/>
      <c r="K122" s="169"/>
      <c r="L122" s="157"/>
      <c r="M122" s="161"/>
      <c r="N122" s="168"/>
      <c r="O122" s="168"/>
      <c r="P122" s="168"/>
      <c r="Q122" s="16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204" t="s">
        <v>115</v>
      </c>
      <c r="B123" s="205"/>
      <c r="C123" s="205"/>
      <c r="D123" s="205"/>
      <c r="E123" s="119" t="n">
        <f aca="false">D105</f>
        <v>0</v>
      </c>
      <c r="F123" s="157"/>
      <c r="G123" s="204" t="s">
        <v>115</v>
      </c>
      <c r="H123" s="205"/>
      <c r="I123" s="205"/>
      <c r="J123" s="205"/>
      <c r="K123" s="119" t="n">
        <f aca="false">J105</f>
        <v>5000</v>
      </c>
      <c r="L123" s="157"/>
      <c r="M123" s="204" t="s">
        <v>115</v>
      </c>
      <c r="N123" s="205"/>
      <c r="O123" s="205"/>
      <c r="P123" s="205"/>
      <c r="Q123" s="119" t="n">
        <f aca="false">P105</f>
        <v>0</v>
      </c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139</v>
      </c>
      <c r="B124" s="168"/>
      <c r="C124" s="168"/>
      <c r="D124" s="168"/>
      <c r="E124" s="166" t="n">
        <f aca="false">A108</f>
        <v>199.99</v>
      </c>
      <c r="F124" s="157"/>
      <c r="G124" s="161" t="s">
        <v>139</v>
      </c>
      <c r="H124" s="168"/>
      <c r="I124" s="168"/>
      <c r="J124" s="168"/>
      <c r="K124" s="166" t="n">
        <f aca="false">G108</f>
        <v>239.988</v>
      </c>
      <c r="L124" s="157"/>
      <c r="M124" s="161" t="s">
        <v>139</v>
      </c>
      <c r="N124" s="168"/>
      <c r="O124" s="168"/>
      <c r="P124" s="168"/>
      <c r="Q124" s="166" t="n">
        <f aca="false">M108</f>
        <v>199.99</v>
      </c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250" t="s">
        <v>196</v>
      </c>
      <c r="B125" s="212"/>
      <c r="C125" s="212"/>
      <c r="D125" s="212"/>
      <c r="E125" s="121" t="n">
        <f aca="false">(E124+E123)-E120</f>
        <v>199.99</v>
      </c>
      <c r="F125" s="157"/>
      <c r="G125" s="250" t="s">
        <v>196</v>
      </c>
      <c r="H125" s="212"/>
      <c r="I125" s="212"/>
      <c r="J125" s="212"/>
      <c r="K125" s="121" t="n">
        <f aca="false">(K124+K123)-K120</f>
        <v>7239.988</v>
      </c>
      <c r="L125" s="157"/>
      <c r="M125" s="250" t="s">
        <v>196</v>
      </c>
      <c r="N125" s="212"/>
      <c r="O125" s="212"/>
      <c r="P125" s="212"/>
      <c r="Q125" s="121" t="n">
        <f aca="false">(Q124+Q123)-Q120</f>
        <v>2199.99</v>
      </c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161"/>
      <c r="B126" s="168"/>
      <c r="C126" s="168"/>
      <c r="D126" s="168"/>
      <c r="E126" s="169"/>
      <c r="F126" s="157"/>
      <c r="G126" s="161"/>
      <c r="H126" s="168"/>
      <c r="I126" s="168"/>
      <c r="J126" s="168"/>
      <c r="K126" s="169"/>
      <c r="L126" s="157"/>
      <c r="M126" s="161"/>
      <c r="N126" s="168"/>
      <c r="O126" s="168"/>
      <c r="P126" s="168"/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161"/>
      <c r="B127" s="168"/>
      <c r="C127" s="168"/>
      <c r="D127" s="168"/>
      <c r="E127" s="169"/>
      <c r="F127" s="157"/>
      <c r="G127" s="161"/>
      <c r="H127" s="168"/>
      <c r="I127" s="168"/>
      <c r="J127" s="168"/>
      <c r="K127" s="169"/>
      <c r="L127" s="157"/>
      <c r="M127" s="161"/>
      <c r="N127" s="168"/>
      <c r="O127" s="168"/>
      <c r="P127" s="168"/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89" t="s">
        <v>197</v>
      </c>
      <c r="B128" s="189"/>
      <c r="C128" s="189"/>
      <c r="D128" s="189"/>
      <c r="E128" s="189"/>
      <c r="F128" s="157"/>
      <c r="G128" s="189" t="s">
        <v>197</v>
      </c>
      <c r="H128" s="189"/>
      <c r="I128" s="189"/>
      <c r="J128" s="189"/>
      <c r="K128" s="189"/>
      <c r="L128" s="157"/>
      <c r="M128" s="189" t="s">
        <v>197</v>
      </c>
      <c r="N128" s="189"/>
      <c r="O128" s="189"/>
      <c r="P128" s="189"/>
      <c r="Q128" s="18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/>
      <c r="B129" s="168"/>
      <c r="C129" s="168"/>
      <c r="D129" s="168"/>
      <c r="E129" s="169"/>
      <c r="F129" s="157"/>
      <c r="G129" s="161"/>
      <c r="H129" s="168"/>
      <c r="I129" s="168"/>
      <c r="J129" s="168"/>
      <c r="K129" s="169"/>
      <c r="L129" s="157"/>
      <c r="M129" s="161"/>
      <c r="N129" s="168"/>
      <c r="O129" s="168"/>
      <c r="P129" s="168"/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61" t="s">
        <v>36</v>
      </c>
      <c r="B130" s="146" t="n">
        <v>1200</v>
      </c>
      <c r="C130" s="146"/>
      <c r="D130" s="168"/>
      <c r="E130" s="169"/>
      <c r="F130" s="157"/>
      <c r="G130" s="161" t="s">
        <v>36</v>
      </c>
      <c r="H130" s="146" t="n">
        <v>0</v>
      </c>
      <c r="I130" s="146"/>
      <c r="J130" s="168"/>
      <c r="K130" s="169"/>
      <c r="L130" s="157"/>
      <c r="M130" s="161" t="s">
        <v>36</v>
      </c>
      <c r="N130" s="146" t="n">
        <v>0</v>
      </c>
      <c r="O130" s="146"/>
      <c r="P130" s="168"/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39</v>
      </c>
      <c r="B132" s="168" t="s">
        <v>40</v>
      </c>
      <c r="C132" s="168"/>
      <c r="D132" s="168" t="s">
        <v>67</v>
      </c>
      <c r="E132" s="169"/>
      <c r="F132" s="157"/>
      <c r="G132" s="161" t="s">
        <v>39</v>
      </c>
      <c r="H132" s="168" t="s">
        <v>40</v>
      </c>
      <c r="I132" s="168"/>
      <c r="J132" s="168" t="s">
        <v>67</v>
      </c>
      <c r="K132" s="169"/>
      <c r="L132" s="157"/>
      <c r="M132" s="161" t="s">
        <v>39</v>
      </c>
      <c r="N132" s="168" t="s">
        <v>40</v>
      </c>
      <c r="O132" s="168"/>
      <c r="P132" s="168" t="s">
        <v>67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192" t="n">
        <f aca="false">A158</f>
        <v>33</v>
      </c>
      <c r="B133" s="193" t="n">
        <f aca="false">B157</f>
        <v>11000</v>
      </c>
      <c r="C133" s="194"/>
      <c r="D133" s="193" t="n">
        <f aca="false">B64</f>
        <v>32</v>
      </c>
      <c r="E133" s="169"/>
      <c r="F133" s="157"/>
      <c r="G133" s="192" t="n">
        <f aca="false">G158</f>
        <v>33</v>
      </c>
      <c r="H133" s="193" t="n">
        <f aca="false">B157</f>
        <v>11000</v>
      </c>
      <c r="I133" s="194"/>
      <c r="J133" s="193" t="n">
        <f aca="false">B64</f>
        <v>32</v>
      </c>
      <c r="K133" s="169"/>
      <c r="L133" s="157"/>
      <c r="M133" s="192" t="n">
        <f aca="false">M161</f>
        <v>33</v>
      </c>
      <c r="N133" s="193" t="n">
        <f aca="false">B157</f>
        <v>11000</v>
      </c>
      <c r="O133" s="194"/>
      <c r="P133" s="193" t="n">
        <f aca="false">B64</f>
        <v>32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251" t="s">
        <v>198</v>
      </c>
      <c r="B135" s="252" t="s">
        <v>199</v>
      </c>
      <c r="C135" s="252"/>
      <c r="D135" s="252" t="s">
        <v>100</v>
      </c>
      <c r="E135" s="169"/>
      <c r="F135" s="157"/>
      <c r="G135" s="251" t="s">
        <v>200</v>
      </c>
      <c r="H135" s="252" t="s">
        <v>201</v>
      </c>
      <c r="I135" s="252"/>
      <c r="J135" s="252" t="s">
        <v>202</v>
      </c>
      <c r="K135" s="169"/>
      <c r="L135" s="157"/>
      <c r="M135" s="251" t="s">
        <v>198</v>
      </c>
      <c r="N135" s="252" t="s">
        <v>199</v>
      </c>
      <c r="O135" s="252"/>
      <c r="P135" s="252" t="s">
        <v>100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53" t="n">
        <f aca="false">B96</f>
        <v>606.021133073372</v>
      </c>
      <c r="B136" s="150" t="n">
        <f aca="false">IF(A111="YES", B95*B63, 0)</f>
        <v>27.276</v>
      </c>
      <c r="C136" s="150"/>
      <c r="D136" s="150" t="n">
        <f aca="false">B97</f>
        <v>633.297133073372</v>
      </c>
      <c r="E136" s="169"/>
      <c r="F136" s="157"/>
      <c r="G136" s="253" t="n">
        <f aca="false">H96</f>
        <v>884.681158397203</v>
      </c>
      <c r="H136" s="150" t="n">
        <f aca="false">IF(G111="YES", H95*H63, 0)</f>
        <v>98.1936</v>
      </c>
      <c r="I136" s="150"/>
      <c r="J136" s="254" t="n">
        <f aca="false">H97</f>
        <v>917.412358397203</v>
      </c>
      <c r="K136" s="169"/>
      <c r="L136" s="157"/>
      <c r="M136" s="253" t="n">
        <f aca="false">N96</f>
        <v>541.264233195203</v>
      </c>
      <c r="N136" s="150" t="n">
        <f aca="false">IF(M111="YES", N95*N63, 0)</f>
        <v>245.484</v>
      </c>
      <c r="O136" s="150"/>
      <c r="P136" s="150" t="n">
        <f aca="false">N97</f>
        <v>561.721233195203</v>
      </c>
      <c r="Q136" s="169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203</v>
      </c>
      <c r="B138" s="168" t="s">
        <v>204</v>
      </c>
      <c r="C138" s="168"/>
      <c r="D138" s="168" t="s">
        <v>205</v>
      </c>
      <c r="E138" s="169"/>
      <c r="F138" s="157"/>
      <c r="G138" s="161" t="s">
        <v>206</v>
      </c>
      <c r="H138" s="168" t="s">
        <v>207</v>
      </c>
      <c r="I138" s="168"/>
      <c r="J138" s="168" t="s">
        <v>208</v>
      </c>
      <c r="K138" s="169"/>
      <c r="L138" s="157"/>
      <c r="M138" s="161" t="s">
        <v>203</v>
      </c>
      <c r="N138" s="168" t="s">
        <v>204</v>
      </c>
      <c r="O138" s="168"/>
      <c r="P138" s="168" t="s">
        <v>205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55" t="n">
        <f aca="false">B96*B63</f>
        <v>606.021133073372</v>
      </c>
      <c r="B139" s="23" t="n">
        <f aca="false">IF(A111="YES", B95*B63, 0)</f>
        <v>27.276</v>
      </c>
      <c r="C139" s="199"/>
      <c r="D139" s="200" t="n">
        <f aca="false">B97*B63</f>
        <v>633.297133073372</v>
      </c>
      <c r="E139" s="169"/>
      <c r="F139" s="157"/>
      <c r="G139" s="55" t="n">
        <f aca="false">H96*H63</f>
        <v>2654.04347519161</v>
      </c>
      <c r="H139" s="23" t="n">
        <f aca="false">IF(G111="YES", H95*H63, 0)</f>
        <v>98.1936</v>
      </c>
      <c r="I139" s="199"/>
      <c r="J139" s="23" t="n">
        <f aca="false">H97*H63</f>
        <v>2752.23707519161</v>
      </c>
      <c r="K139" s="169"/>
      <c r="L139" s="157"/>
      <c r="M139" s="55" t="n">
        <f aca="false">N96*N63</f>
        <v>6495.17079834244</v>
      </c>
      <c r="N139" s="23" t="n">
        <f aca="false">IF(M111="YES", N95*N63, 0)</f>
        <v>245.484</v>
      </c>
      <c r="O139" s="199"/>
      <c r="P139" s="200" t="n">
        <f aca="false">N97*N63</f>
        <v>6740.65479834244</v>
      </c>
      <c r="Q139" s="169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209</v>
      </c>
      <c r="B141" s="168" t="s">
        <v>210</v>
      </c>
      <c r="C141" s="168"/>
      <c r="D141" s="168" t="s">
        <v>211</v>
      </c>
      <c r="E141" s="169"/>
      <c r="F141" s="157"/>
      <c r="G141" s="161" t="s">
        <v>212</v>
      </c>
      <c r="H141" s="168" t="s">
        <v>213</v>
      </c>
      <c r="I141" s="168"/>
      <c r="J141" s="168" t="s">
        <v>214</v>
      </c>
      <c r="K141" s="169"/>
      <c r="L141" s="157"/>
      <c r="M141" s="161" t="s">
        <v>209</v>
      </c>
      <c r="N141" s="168" t="s">
        <v>210</v>
      </c>
      <c r="O141" s="168"/>
      <c r="P141" s="168" t="s">
        <v>211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E15*0.000006</f>
        <v>1.011</v>
      </c>
      <c r="B142" s="23" t="n">
        <f aca="false">IF(A111="YES", E15*0.000002, 0)</f>
        <v>0.337</v>
      </c>
      <c r="C142" s="23"/>
      <c r="D142" s="23" t="n">
        <f aca="false">A142+B142</f>
        <v>1.348</v>
      </c>
      <c r="E142" s="153"/>
      <c r="F142" s="157"/>
      <c r="G142" s="22" t="n">
        <f aca="false">E15*0.000006</f>
        <v>1.011</v>
      </c>
      <c r="H142" s="23" t="n">
        <f aca="false">IF(G111="YES", E15*0.000002, 0)</f>
        <v>0.337</v>
      </c>
      <c r="I142" s="23"/>
      <c r="J142" s="23" t="n">
        <f aca="false">G142+H142</f>
        <v>1.348</v>
      </c>
      <c r="K142" s="153"/>
      <c r="L142" s="157"/>
      <c r="M142" s="22" t="n">
        <f aca="false">E15*0.000006</f>
        <v>1.011</v>
      </c>
      <c r="N142" s="23" t="n">
        <f aca="false">IF(M111="YES", E15*0.000002, 0)</f>
        <v>0.337</v>
      </c>
      <c r="O142" s="23"/>
      <c r="P142" s="23" t="n">
        <f aca="false">M142+N142</f>
        <v>1.348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118</v>
      </c>
      <c r="B144" s="168" t="s">
        <v>215</v>
      </c>
      <c r="C144" s="168"/>
      <c r="D144" s="168" t="s">
        <v>216</v>
      </c>
      <c r="E144" s="169"/>
      <c r="F144" s="157"/>
      <c r="G144" s="161" t="s">
        <v>217</v>
      </c>
      <c r="H144" s="168" t="s">
        <v>215</v>
      </c>
      <c r="I144" s="168"/>
      <c r="J144" s="168" t="s">
        <v>216</v>
      </c>
      <c r="K144" s="169"/>
      <c r="L144" s="157"/>
      <c r="M144" s="161" t="s">
        <v>118</v>
      </c>
      <c r="N144" s="168" t="s">
        <v>215</v>
      </c>
      <c r="O144" s="168"/>
      <c r="P144" s="168" t="s">
        <v>216</v>
      </c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f aca="false">A108</f>
        <v>199.99</v>
      </c>
      <c r="B145" s="23" t="n">
        <f aca="false">B73/1.2</f>
        <v>2596.875</v>
      </c>
      <c r="C145" s="23"/>
      <c r="D145" s="23" t="n">
        <f aca="false">B108*0.9</f>
        <v>0</v>
      </c>
      <c r="E145" s="153"/>
      <c r="F145" s="157"/>
      <c r="G145" s="22" t="n">
        <f aca="false">G108</f>
        <v>239.988</v>
      </c>
      <c r="H145" s="23" t="n">
        <f aca="false">H73/1.2</f>
        <v>1298.4375</v>
      </c>
      <c r="I145" s="23"/>
      <c r="J145" s="23" t="n">
        <f aca="false">H108*0.9</f>
        <v>1080</v>
      </c>
      <c r="K145" s="153"/>
      <c r="L145" s="157"/>
      <c r="M145" s="22" t="n">
        <f aca="false">M108</f>
        <v>199.99</v>
      </c>
      <c r="N145" s="23" t="n">
        <f aca="false">N73/1.2</f>
        <v>1298.4375</v>
      </c>
      <c r="O145" s="23"/>
      <c r="P145" s="23" t="n">
        <f aca="false">N108*0.9</f>
        <v>1080</v>
      </c>
      <c r="Q145" s="153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161"/>
      <c r="N146" s="168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 t="s">
        <v>218</v>
      </c>
      <c r="B147" s="168" t="s">
        <v>219</v>
      </c>
      <c r="C147" s="168"/>
      <c r="D147" s="168" t="s">
        <v>220</v>
      </c>
      <c r="E147" s="169"/>
      <c r="F147" s="157"/>
      <c r="G147" s="161" t="s">
        <v>218</v>
      </c>
      <c r="H147" s="168" t="s">
        <v>219</v>
      </c>
      <c r="I147" s="168"/>
      <c r="J147" s="168" t="s">
        <v>220</v>
      </c>
      <c r="K147" s="169"/>
      <c r="L147" s="157"/>
      <c r="M147" s="161" t="s">
        <v>218</v>
      </c>
      <c r="N147" s="168" t="s">
        <v>219</v>
      </c>
      <c r="O147" s="168"/>
      <c r="P147" s="168" t="s">
        <v>220</v>
      </c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2" t="n">
        <f aca="false">IF(A111="YES", ((A41*B111)*0.1)*(A133), 0)</f>
        <v>15.0018</v>
      </c>
      <c r="B148" s="23" t="n">
        <f aca="false">A108-100</f>
        <v>99.99</v>
      </c>
      <c r="C148" s="23"/>
      <c r="D148" s="23" t="n">
        <f aca="false">(B145+D145+A148+B148)-B151</f>
        <v>2711.8668</v>
      </c>
      <c r="E148" s="153"/>
      <c r="F148" s="157"/>
      <c r="G148" s="22" t="n">
        <f aca="false">IF(G111="YES", ((A41*H111)*0.1)*(G133), 0)</f>
        <v>15.0018</v>
      </c>
      <c r="H148" s="23" t="n">
        <f aca="false">G108-100</f>
        <v>139.988</v>
      </c>
      <c r="I148" s="23"/>
      <c r="J148" s="23" t="n">
        <f aca="false">(H145+J145+G148+H148)-H151</f>
        <v>2533.4273</v>
      </c>
      <c r="K148" s="153"/>
      <c r="L148" s="157"/>
      <c r="M148" s="22" t="n">
        <f aca="false">IF(M111="YES", ((A41*N111)*0.1)*(M133), 0)</f>
        <v>15.0018</v>
      </c>
      <c r="N148" s="23" t="n">
        <f aca="false">M108-100</f>
        <v>99.99</v>
      </c>
      <c r="O148" s="23"/>
      <c r="P148" s="23" t="n">
        <f aca="false">(N145+P145+M148+N148)-N151</f>
        <v>2493.4293</v>
      </c>
      <c r="Q148" s="153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168"/>
      <c r="C149" s="168"/>
      <c r="D149" s="168"/>
      <c r="E149" s="169"/>
      <c r="F149" s="157"/>
      <c r="G149" s="161"/>
      <c r="H149" s="168"/>
      <c r="I149" s="16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161" t="s">
        <v>221</v>
      </c>
      <c r="B150" s="168" t="s">
        <v>222</v>
      </c>
      <c r="C150" s="168"/>
      <c r="D150" s="168"/>
      <c r="E150" s="169"/>
      <c r="F150" s="157"/>
      <c r="G150" s="161" t="s">
        <v>221</v>
      </c>
      <c r="H150" s="168" t="s">
        <v>222</v>
      </c>
      <c r="I150" s="168"/>
      <c r="J150" s="168"/>
      <c r="K150" s="169"/>
      <c r="L150" s="157"/>
      <c r="M150" s="161" t="s">
        <v>221</v>
      </c>
      <c r="N150" s="168" t="s">
        <v>222</v>
      </c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" t="n">
        <v>0</v>
      </c>
      <c r="B151" s="23" t="n">
        <f aca="false">(B145+D145+A148+B148)*(A151/B70)</f>
        <v>0</v>
      </c>
      <c r="C151" s="168"/>
      <c r="D151" s="168"/>
      <c r="E151" s="169"/>
      <c r="F151" s="157"/>
      <c r="G151" s="22" t="n">
        <f aca="false">IF((1200-H108) &lt;= 0, 0, (1200-H108))</f>
        <v>0</v>
      </c>
      <c r="H151" s="23" t="n">
        <f aca="false">(H145+J145+G148+H148)*(G151/H70)</f>
        <v>0</v>
      </c>
      <c r="I151" s="168"/>
      <c r="J151" s="168"/>
      <c r="K151" s="169"/>
      <c r="L151" s="157"/>
      <c r="M151" s="22" t="n">
        <f aca="false">IF((1200-N108) &lt;= 0, 0, (1200-N108))</f>
        <v>0</v>
      </c>
      <c r="N151" s="23" t="n">
        <f aca="false">(N145+P145+M148+N148)*(M151/N70)</f>
        <v>0</v>
      </c>
      <c r="O151" s="168"/>
      <c r="P151" s="168"/>
      <c r="Q151" s="169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161"/>
      <c r="B152" s="168"/>
      <c r="C152" s="168"/>
      <c r="D152" s="168"/>
      <c r="E152" s="169"/>
      <c r="F152" s="157"/>
      <c r="G152" s="161"/>
      <c r="H152" s="168"/>
      <c r="I152" s="168"/>
      <c r="J152" s="168"/>
      <c r="K152" s="169"/>
      <c r="L152" s="157"/>
      <c r="M152" s="22"/>
      <c r="N152" s="23"/>
      <c r="O152" s="16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64" t="s">
        <v>223</v>
      </c>
      <c r="N153" s="26" t="s">
        <v>224</v>
      </c>
      <c r="O153" s="168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214" t="s">
        <v>225</v>
      </c>
      <c r="B154" s="168"/>
      <c r="C154" s="168"/>
      <c r="D154" s="215"/>
      <c r="E154" s="216"/>
      <c r="F154" s="157"/>
      <c r="G154" s="214" t="s">
        <v>225</v>
      </c>
      <c r="H154" s="168"/>
      <c r="I154" s="168"/>
      <c r="J154" s="215"/>
      <c r="K154" s="216"/>
      <c r="L154" s="157"/>
      <c r="M154" s="255" t="n">
        <f aca="false">H40</f>
        <v>0</v>
      </c>
      <c r="N154" s="256" t="n">
        <v>0.99</v>
      </c>
      <c r="O154" s="256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218"/>
      <c r="C155" s="218"/>
      <c r="D155" s="168"/>
      <c r="E155" s="169"/>
      <c r="F155" s="157"/>
      <c r="G155" s="161"/>
      <c r="H155" s="218"/>
      <c r="I155" s="218"/>
      <c r="J155" s="168"/>
      <c r="K155" s="169"/>
      <c r="L155" s="157"/>
      <c r="M155" s="161"/>
      <c r="N155" s="168"/>
      <c r="O155" s="16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220" t="s">
        <v>39</v>
      </c>
      <c r="B156" s="221" t="s">
        <v>40</v>
      </c>
      <c r="C156" s="221"/>
      <c r="D156" s="168"/>
      <c r="E156" s="169"/>
      <c r="F156" s="157"/>
      <c r="G156" s="220" t="s">
        <v>39</v>
      </c>
      <c r="H156" s="221" t="s">
        <v>40</v>
      </c>
      <c r="I156" s="221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20"/>
      <c r="B157" s="222" t="n">
        <f aca="false">B57</f>
        <v>11000</v>
      </c>
      <c r="C157" s="222"/>
      <c r="D157" s="168"/>
      <c r="E157" s="169"/>
      <c r="F157" s="157"/>
      <c r="G157" s="220"/>
      <c r="H157" s="222" t="n">
        <f aca="false">B57</f>
        <v>11000</v>
      </c>
      <c r="I157" s="222"/>
      <c r="J157" s="168"/>
      <c r="K157" s="169"/>
      <c r="L157" s="157"/>
      <c r="M157" s="214" t="s">
        <v>225</v>
      </c>
      <c r="N157" s="168"/>
      <c r="O157" s="168"/>
      <c r="P157" s="215"/>
      <c r="Q157" s="216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223" t="n">
        <f aca="false">A58</f>
        <v>33</v>
      </c>
      <c r="B158" s="78" t="n">
        <f aca="false">B97</f>
        <v>633.297133073372</v>
      </c>
      <c r="C158" s="78"/>
      <c r="D158" s="168"/>
      <c r="E158" s="169"/>
      <c r="F158" s="157"/>
      <c r="G158" s="223" t="n">
        <f aca="false">A58</f>
        <v>33</v>
      </c>
      <c r="H158" s="78" t="n">
        <f aca="false">H97</f>
        <v>917.412358397203</v>
      </c>
      <c r="I158" s="78"/>
      <c r="J158" s="168"/>
      <c r="K158" s="169"/>
      <c r="L158" s="157"/>
      <c r="M158" s="161"/>
      <c r="N158" s="218"/>
      <c r="O158" s="21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61"/>
      <c r="B159" s="168"/>
      <c r="C159" s="168"/>
      <c r="D159" s="168"/>
      <c r="E159" s="169"/>
      <c r="F159" s="157"/>
      <c r="G159" s="161"/>
      <c r="H159" s="168"/>
      <c r="I159" s="168"/>
      <c r="J159" s="168"/>
      <c r="K159" s="169"/>
      <c r="L159" s="157"/>
      <c r="M159" s="220" t="s">
        <v>39</v>
      </c>
      <c r="N159" s="221" t="s">
        <v>40</v>
      </c>
      <c r="O159" s="221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61"/>
      <c r="B160" s="168"/>
      <c r="C160" s="168"/>
      <c r="D160" s="168"/>
      <c r="E160" s="169"/>
      <c r="F160" s="157"/>
      <c r="G160" s="161"/>
      <c r="H160" s="168"/>
      <c r="I160" s="168"/>
      <c r="J160" s="168"/>
      <c r="K160" s="169"/>
      <c r="L160" s="157"/>
      <c r="M160" s="220"/>
      <c r="N160" s="222" t="n">
        <f aca="false">B57</f>
        <v>11000</v>
      </c>
      <c r="O160" s="222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61"/>
      <c r="B161" s="168"/>
      <c r="C161" s="168"/>
      <c r="D161" s="168"/>
      <c r="E161" s="169"/>
      <c r="F161" s="157"/>
      <c r="G161" s="161"/>
      <c r="H161" s="168"/>
      <c r="I161" s="168"/>
      <c r="J161" s="168"/>
      <c r="K161" s="169"/>
      <c r="L161" s="157"/>
      <c r="M161" s="223" t="n">
        <f aca="false">A58</f>
        <v>33</v>
      </c>
      <c r="N161" s="78" t="n">
        <f aca="false">N97</f>
        <v>561.721233195203</v>
      </c>
      <c r="O161" s="7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61"/>
      <c r="B162" s="168"/>
      <c r="C162" s="168"/>
      <c r="D162" s="168"/>
      <c r="E162" s="169"/>
      <c r="F162" s="157"/>
      <c r="G162" s="161"/>
      <c r="H162" s="168"/>
      <c r="I162" s="168"/>
      <c r="J162" s="168"/>
      <c r="K162" s="169"/>
      <c r="L162" s="157"/>
      <c r="M162" s="161"/>
      <c r="N162" s="168"/>
      <c r="O162" s="168"/>
      <c r="P162" s="168"/>
      <c r="Q162" s="169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211"/>
      <c r="B163" s="212"/>
      <c r="C163" s="212"/>
      <c r="D163" s="212"/>
      <c r="E163" s="213"/>
      <c r="F163" s="157"/>
      <c r="G163" s="211"/>
      <c r="H163" s="212"/>
      <c r="I163" s="212"/>
      <c r="J163" s="212"/>
      <c r="K163" s="213"/>
      <c r="L163" s="157"/>
      <c r="M163" s="161"/>
      <c r="N163" s="168"/>
      <c r="O163" s="168"/>
      <c r="P163" s="168"/>
      <c r="Q163" s="169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61"/>
      <c r="N164" s="168"/>
      <c r="O164" s="168"/>
      <c r="P164" s="168"/>
      <c r="Q164" s="169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61"/>
      <c r="N165" s="168"/>
      <c r="O165" s="168"/>
      <c r="P165" s="168"/>
      <c r="Q165" s="169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61"/>
      <c r="N166" s="168"/>
      <c r="O166" s="168"/>
      <c r="P166" s="168"/>
      <c r="Q166" s="169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61"/>
      <c r="N167" s="168"/>
      <c r="O167" s="168"/>
      <c r="P167" s="168"/>
      <c r="Q167" s="169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211"/>
      <c r="N168" s="212"/>
      <c r="O168" s="212"/>
      <c r="P168" s="212"/>
      <c r="Q168" s="213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8.75" hidden="false" customHeight="true" outlineLevel="0" collapsed="false">
      <c r="A356" s="157"/>
      <c r="B356" s="157"/>
      <c r="C356" s="157"/>
      <c r="D356" s="157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  <c r="V356" s="157"/>
      <c r="W356" s="157"/>
      <c r="X356" s="157"/>
      <c r="Y356" s="157"/>
      <c r="Z356" s="157"/>
    </row>
    <row r="357" customFormat="false" ht="18.75" hidden="false" customHeight="true" outlineLevel="0" collapsed="false">
      <c r="A357" s="157"/>
      <c r="B357" s="157"/>
      <c r="C357" s="157"/>
      <c r="D357" s="157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  <c r="V357" s="157"/>
      <c r="W357" s="157"/>
      <c r="X357" s="157"/>
      <c r="Y357" s="157"/>
      <c r="Z357" s="157"/>
    </row>
    <row r="358" customFormat="false" ht="18.75" hidden="false" customHeight="true" outlineLevel="0" collapsed="false">
      <c r="A358" s="157"/>
      <c r="B358" s="157"/>
      <c r="C358" s="157"/>
      <c r="D358" s="157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  <c r="V358" s="157"/>
      <c r="W358" s="157"/>
      <c r="X358" s="157"/>
      <c r="Y358" s="157"/>
      <c r="Z358" s="157"/>
    </row>
    <row r="359" customFormat="false" ht="18.75" hidden="false" customHeight="true" outlineLevel="0" collapsed="false">
      <c r="A359" s="157"/>
      <c r="B359" s="157"/>
      <c r="C359" s="157"/>
      <c r="D359" s="157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  <c r="X359" s="157"/>
      <c r="Y359" s="157"/>
      <c r="Z359" s="157"/>
    </row>
    <row r="360" customFormat="false" ht="18.75" hidden="false" customHeight="true" outlineLevel="0" collapsed="false">
      <c r="A360" s="157"/>
      <c r="B360" s="157"/>
      <c r="C360" s="157"/>
      <c r="D360" s="157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  <c r="V360" s="157"/>
      <c r="W360" s="157"/>
      <c r="X360" s="157"/>
      <c r="Y360" s="157"/>
      <c r="Z360" s="157"/>
    </row>
    <row r="361" customFormat="false" ht="18.75" hidden="false" customHeight="true" outlineLevel="0" collapsed="false">
      <c r="A361" s="157"/>
      <c r="B361" s="157"/>
      <c r="C361" s="157"/>
      <c r="D361" s="157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  <c r="V361" s="157"/>
      <c r="W361" s="157"/>
      <c r="X361" s="157"/>
      <c r="Y361" s="157"/>
      <c r="Z361" s="157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 B105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G21" activeCellId="0" sqref="G21"/>
    </sheetView>
  </sheetViews>
  <sheetFormatPr defaultColWidth="11.71484375" defaultRowHeight="14.25" zeroHeight="false" outlineLevelRow="0" outlineLevelCol="0"/>
  <cols>
    <col min="1" max="1" customWidth="true" hidden="false" style="54" width="40.0" collapsed="false" outlineLevel="0"/>
    <col min="2" max="5" customWidth="true" hidden="false" style="54" width="18.12" collapsed="false" outlineLevel="0"/>
    <col min="7" max="7" customWidth="true" hidden="false" style="54" width="40.0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18.7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3" t="n">
        <v>135750</v>
      </c>
      <c r="C3" s="163" t="n">
        <v>0</v>
      </c>
      <c r="D3" s="163" t="n">
        <v>0</v>
      </c>
      <c r="E3" s="164" t="n">
        <v>0</v>
      </c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275" t="n">
        <v>0</v>
      </c>
      <c r="C4" s="275" t="n">
        <v>0</v>
      </c>
      <c r="D4" s="275" t="n">
        <v>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</v>
      </c>
      <c r="C5" s="163" t="n">
        <v>0</v>
      </c>
      <c r="D5" s="163" t="n">
        <v>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(B3*B4)+B5</f>
        <v>0</v>
      </c>
      <c r="C6" s="65" t="n">
        <f aca="false">(C3*C4)+C5</f>
        <v>0</v>
      </c>
      <c r="D6" s="65" t="n">
        <f aca="false">(D3*D4)+D5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135750</v>
      </c>
      <c r="C7" s="65" t="n">
        <f aca="false">C3-C6</f>
        <v>0</v>
      </c>
      <c r="D7" s="65" t="n">
        <f aca="false">D3-D6</f>
        <v>0</v>
      </c>
      <c r="E7" s="166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276" t="n">
        <f aca="false">B7+C7+D7+E3</f>
        <v>135750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0</v>
      </c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(E9+E10)*20%</f>
        <v>27150</v>
      </c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580</v>
      </c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277" t="n">
        <f aca="false">(E9+E10+E13+E14+E11)-E12</f>
        <v>163535</v>
      </c>
      <c r="F15" s="157"/>
      <c r="G15" s="175" t="n">
        <f aca="false">E15</f>
        <v>163535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</v>
      </c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/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(B3+C3+E10+D3+E3)*1.2</f>
        <v>162900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163535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229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9" t="s">
        <v>230</v>
      </c>
      <c r="B26" s="189"/>
      <c r="C26" s="189"/>
      <c r="D26" s="189"/>
      <c r="E26" s="189"/>
      <c r="F26" s="157"/>
      <c r="G26" s="187"/>
      <c r="H26" s="18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53</v>
      </c>
      <c r="H27" s="188" t="n">
        <f aca="false">IF(A32=Y103,1,IF(A32=Y104,1,IF(A32=Y105,3,IF(A32=Y106,6,IF(A32=Y107,9,IF(A32=Y108,12,IF(A32=Y109,3,IF(A32=Y110,6,IF(A32=Y111,9,0)))))))))</f>
        <v>9</v>
      </c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5" t="s">
        <v>231</v>
      </c>
      <c r="B28" s="199" t="s">
        <v>232</v>
      </c>
      <c r="C28" s="168"/>
      <c r="D28" s="199" t="s">
        <v>233</v>
      </c>
      <c r="E28" s="169"/>
      <c r="F28" s="157"/>
      <c r="G28" s="188" t="s">
        <v>67</v>
      </c>
      <c r="H28" s="188" t="n">
        <f aca="false">IF(A32=Y103,H29-H27,IF(A32=Y104,H29-H27,IF(A32=Y105,H29-1,IF(A32=Y106,H29-1,IF(A32=Y107,H29-1,IF(A32=Y108,H29-1,IF(A32=Y109,H29-H27,IF(A32=Y110,H29-H27,IF(A32=Y111,H29-H27,0)))))))))</f>
        <v>35</v>
      </c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86" t="s">
        <v>234</v>
      </c>
      <c r="B29" s="278" t="n">
        <v>12345</v>
      </c>
      <c r="C29" s="278"/>
      <c r="D29" s="279" t="n">
        <f aca="true">TODAY()+1</f>
        <v>44884</v>
      </c>
      <c r="E29" s="279"/>
      <c r="F29" s="157"/>
      <c r="G29" s="187" t="s">
        <v>35</v>
      </c>
      <c r="H29" s="187" t="n">
        <f aca="false">B35</f>
        <v>36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/>
      <c r="B30" s="13"/>
      <c r="C30" s="13"/>
      <c r="D30" s="168"/>
      <c r="E30" s="169"/>
      <c r="F30" s="157"/>
      <c r="G30" s="187" t="s">
        <v>37</v>
      </c>
      <c r="H30" s="187" t="n">
        <f aca="false">D35</f>
        <v>10000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85" t="s">
        <v>30</v>
      </c>
      <c r="B31" s="199" t="s">
        <v>235</v>
      </c>
      <c r="C31" s="168"/>
      <c r="D31" s="199" t="s">
        <v>204</v>
      </c>
      <c r="E31" s="169"/>
      <c r="F31" s="157"/>
      <c r="G31" s="187" t="s">
        <v>236</v>
      </c>
      <c r="H31" s="280" t="n">
        <f aca="false">D38</f>
        <v>2845.38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86" t="s">
        <v>187</v>
      </c>
      <c r="B32" s="281" t="n">
        <f aca="false">IF(A32=Y103,D38,IF(A32=Y104,D38,IF(A32=Y105,(D38*3),IF(A32=Y106,(D38*6),IF(A32=Y107,(D38*9),IF(A32=Y108,(D38*12),IF(A32=Y109,D38,IF(A32=Y110,D38,IF(A32=Y111,D38,0)))))))))</f>
        <v>25608.42</v>
      </c>
      <c r="C32" s="281"/>
      <c r="D32" s="281" t="n">
        <f aca="false">IF(A32=Y103,A41,IF(A32=Y104,A41,IF(A32=Y105,(A41*3),IF(A32=Y106,(A41*6),IF(A32=Y107,(A41*9),IF(A32=Y108,(A41*12),IF(A32=Y109,A41,IF(A32=Y110,A41,IF(A32=Y111,A41,0)))))))))</f>
        <v>1035.81</v>
      </c>
      <c r="E32" s="281"/>
      <c r="F32" s="157"/>
      <c r="G32" s="282" t="s">
        <v>237</v>
      </c>
      <c r="H32" s="280" t="n">
        <f aca="false">A41</f>
        <v>115.09</v>
      </c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18.75" hidden="false" customHeight="true" outlineLevel="0" collapsed="false">
      <c r="A33" s="192"/>
      <c r="B33" s="193"/>
      <c r="C33" s="194"/>
      <c r="D33" s="151"/>
      <c r="E33" s="169"/>
      <c r="F33" s="157"/>
      <c r="G33" s="282"/>
      <c r="H33" s="18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92" t="s">
        <v>205</v>
      </c>
      <c r="B34" s="283" t="s">
        <v>239</v>
      </c>
      <c r="C34" s="194"/>
      <c r="D34" s="49" t="s">
        <v>240</v>
      </c>
      <c r="E34" s="169"/>
      <c r="F34" s="157"/>
      <c r="G34" s="282" t="s">
        <v>241</v>
      </c>
      <c r="H34" s="280" t="n">
        <f aca="false">D41</f>
        <v>100</v>
      </c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281" t="n">
        <f aca="false">B32+D32</f>
        <v>26644.23</v>
      </c>
      <c r="B35" s="278" t="n">
        <v>36</v>
      </c>
      <c r="C35" s="278"/>
      <c r="D35" s="278" t="n">
        <v>10000</v>
      </c>
      <c r="E35" s="278"/>
      <c r="F35" s="157"/>
      <c r="G35" s="197"/>
      <c r="H35" s="198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161"/>
      <c r="B36" s="168"/>
      <c r="C36" s="168"/>
      <c r="D36" s="168"/>
      <c r="E36" s="169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185" t="s">
        <v>242</v>
      </c>
      <c r="B37" s="199" t="s">
        <v>243</v>
      </c>
      <c r="C37" s="168"/>
      <c r="D37" s="199" t="s">
        <v>244</v>
      </c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284" t="n">
        <f aca="false">(B35/12)*D35</f>
        <v>30000</v>
      </c>
      <c r="B38" s="278" t="s">
        <v>25</v>
      </c>
      <c r="C38" s="278"/>
      <c r="D38" s="45" t="n">
        <v>2845.38</v>
      </c>
      <c r="E38" s="45"/>
      <c r="F38" s="157"/>
      <c r="G38" s="157"/>
      <c r="H38" s="157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285"/>
      <c r="B39" s="194"/>
      <c r="C39" s="194"/>
      <c r="D39" s="168"/>
      <c r="E39" s="169"/>
      <c r="F39" s="157"/>
      <c r="G39" s="157"/>
      <c r="H39" s="202"/>
      <c r="I39" s="202"/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286" t="s">
        <v>199</v>
      </c>
      <c r="B40" s="287" t="s">
        <v>100</v>
      </c>
      <c r="C40" s="194"/>
      <c r="D40" s="200" t="s">
        <v>118</v>
      </c>
      <c r="E40" s="169"/>
      <c r="F40" s="157"/>
      <c r="G40" s="157"/>
      <c r="H40" s="202"/>
      <c r="I40" s="202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45" t="n">
        <v>115.09</v>
      </c>
      <c r="B41" s="288" t="n">
        <f aca="false">IF(B38="YES", D38+A41, D38)</f>
        <v>2960.47</v>
      </c>
      <c r="C41" s="288"/>
      <c r="D41" s="45" t="n">
        <v>100</v>
      </c>
      <c r="E41" s="45"/>
      <c r="F41" s="157"/>
      <c r="G41" s="157"/>
      <c r="H41" s="203"/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285"/>
      <c r="B42" s="194"/>
      <c r="C42" s="194"/>
      <c r="D42" s="194"/>
      <c r="E42" s="289"/>
      <c r="F42" s="157"/>
      <c r="G42" s="201" t="s">
        <v>49</v>
      </c>
      <c r="H42" s="201"/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86" t="s">
        <v>209</v>
      </c>
      <c r="B43" s="287" t="s">
        <v>210</v>
      </c>
      <c r="C43" s="194"/>
      <c r="D43" s="287" t="s">
        <v>211</v>
      </c>
      <c r="E43" s="289"/>
      <c r="F43" s="157"/>
      <c r="G43" s="157" t="s">
        <v>246</v>
      </c>
      <c r="H43" s="202" t="n">
        <f aca="false">(((D38*(B35-1))+B32)/B35) + (D41/B35)</f>
        <v>3480.46444444444</v>
      </c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45" t="n">
        <v>500</v>
      </c>
      <c r="B44" s="45" t="n">
        <v>500</v>
      </c>
      <c r="C44" s="45"/>
      <c r="D44" s="298" t="n">
        <f aca="false">A44+B44</f>
        <v>1000</v>
      </c>
      <c r="E44" s="298"/>
      <c r="F44" s="157"/>
      <c r="G44" s="157" t="s">
        <v>247</v>
      </c>
      <c r="H44" s="202" t="n">
        <f aca="false">((A41*(B35-1))+D32)/B35</f>
        <v>140.665555555556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85"/>
      <c r="B45" s="194"/>
      <c r="C45" s="194"/>
      <c r="D45" s="194"/>
      <c r="E45" s="289"/>
      <c r="F45" s="157"/>
      <c r="G45" s="157" t="s">
        <v>248</v>
      </c>
      <c r="H45" s="291" t="n">
        <f aca="false">H43+H44</f>
        <v>3621.13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94" t="s">
        <v>253</v>
      </c>
      <c r="B46" s="194"/>
      <c r="C46" s="194"/>
      <c r="D46" s="194"/>
      <c r="E46" s="289"/>
      <c r="F46" s="157"/>
      <c r="G46" s="157" t="s">
        <v>251</v>
      </c>
      <c r="H46" s="202" t="n">
        <f aca="false">H43</f>
        <v>3480.46444444444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285"/>
      <c r="B47" s="194"/>
      <c r="C47" s="194"/>
      <c r="D47" s="194"/>
      <c r="E47" s="289"/>
      <c r="F47" s="157"/>
      <c r="G47" s="157"/>
      <c r="H47" s="202"/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64</v>
      </c>
      <c r="B48" s="168"/>
      <c r="C48" s="168"/>
      <c r="D48" s="215"/>
      <c r="E48" s="216"/>
      <c r="F48" s="157"/>
      <c r="G48" s="157"/>
      <c r="H48" s="202"/>
      <c r="I48" s="202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/>
      <c r="H49" s="219"/>
      <c r="I49" s="202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39</v>
      </c>
      <c r="B50" s="221" t="s">
        <v>40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H45</f>
        <v>3621.13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53</v>
      </c>
      <c r="B57" s="168" t="n">
        <f aca="false">IF(B99=Y103,1,IF(B99=Y104,1,IF(B99=Y105,3,IF(B99=Y106,6,IF(B99=Y107,9,IF(B99=Y108,12,IF(B99=Y109,3,IF(B99=Y110,6,IF(B99=Y111,9,0)))))))))</f>
        <v>1</v>
      </c>
      <c r="C57" s="168"/>
      <c r="D57" s="168"/>
      <c r="E57" s="169"/>
      <c r="F57" s="157"/>
      <c r="G57" s="161" t="s">
        <v>53</v>
      </c>
      <c r="H57" s="168" t="n">
        <f aca="false">IF(H99=Y103,1,IF(H99=Y104,1,IF(H99=Y105,3,IF(H99=Y106,6,IF(H99=Y107,9,IF(H99=Y108,12,IF(H99=Y109,3,IF(H99=Y110,6,IF(H99=Y111,9,0)))))))))</f>
        <v>1</v>
      </c>
      <c r="I57" s="168"/>
      <c r="J57" s="168"/>
      <c r="K57" s="169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67</v>
      </c>
      <c r="B58" s="168" t="n">
        <f aca="false">IF(B99=Y103,H29-B57,IF(B99=Y104,H29-B57,IF(B99=Y105,H29-1,IF(B99=Y106,H29-1,IF(B99=Y107,H29-1,IF(B99=Y108,H29-1,IF(B99=Y109,H29-B57,IF(B99=Y110,H29-B57,IF(B99=Y111,H29-B57,0)))))))))</f>
        <v>35</v>
      </c>
      <c r="C58" s="168" t="s">
        <v>255</v>
      </c>
      <c r="D58" s="168"/>
      <c r="E58" s="169"/>
      <c r="F58" s="157"/>
      <c r="G58" s="161" t="s">
        <v>67</v>
      </c>
      <c r="H58" s="168" t="n">
        <f aca="false">IF(H99=Y103,H29-H57,IF(H99=Y104,H29-H57,IF(H99=Y105,H29-1,IF(H99=Y106,H29-1,IF(H99=Y107,H29-1,IF(H99=Y108,H29-1,IF(H99=Y109,H29-H57,IF(H99=Y110,H29-H57,IF(H99=Y111,H29-H57,0)))))))))</f>
        <v>35</v>
      </c>
      <c r="I58" s="168"/>
      <c r="J58" s="168"/>
      <c r="K58" s="169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162900</v>
      </c>
      <c r="C61" s="168"/>
      <c r="D61" s="168"/>
      <c r="E61" s="169"/>
      <c r="F61" s="157"/>
      <c r="G61" s="161" t="s">
        <v>21</v>
      </c>
      <c r="H61" s="65" t="n">
        <f aca="false">G18</f>
        <v>162900</v>
      </c>
      <c r="I61" s="168"/>
      <c r="J61" s="168"/>
      <c r="K61" s="169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72</v>
      </c>
      <c r="B64" s="121" t="n">
        <f aca="false">B61*B63</f>
        <v>17104.5</v>
      </c>
      <c r="C64" s="168"/>
      <c r="D64" s="65" t="n">
        <f aca="false">B64</f>
        <v>17104.5</v>
      </c>
      <c r="E64" s="169"/>
      <c r="F64" s="157"/>
      <c r="G64" s="211" t="s">
        <v>72</v>
      </c>
      <c r="H64" s="121" t="n">
        <f aca="false">H61*H63</f>
        <v>17104.5</v>
      </c>
      <c r="I64" s="168"/>
      <c r="J64" s="65" t="n">
        <f aca="false">H64</f>
        <v>17104.5</v>
      </c>
      <c r="K64" s="169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73</v>
      </c>
      <c r="B65" s="225" t="n">
        <v>0.005</v>
      </c>
      <c r="C65" s="168"/>
      <c r="D65" s="168"/>
      <c r="E65" s="169"/>
      <c r="F65" s="157"/>
      <c r="G65" s="224" t="s">
        <v>73</v>
      </c>
      <c r="H65" s="225" t="n">
        <v>0.005</v>
      </c>
      <c r="I65" s="168"/>
      <c r="J65" s="168"/>
      <c r="K65" s="169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74</v>
      </c>
      <c r="B66" s="165" t="n">
        <f aca="false">B65+(B65*0.5*(H29/12-1))</f>
        <v>0.01</v>
      </c>
      <c r="C66" s="168"/>
      <c r="D66" s="168"/>
      <c r="E66" s="169"/>
      <c r="F66" s="157"/>
      <c r="G66" s="161" t="s">
        <v>74</v>
      </c>
      <c r="H66" s="165" t="n">
        <f aca="false">H65+(H65*0.5*(H29/12-1))</f>
        <v>0.01</v>
      </c>
      <c r="I66" s="168"/>
      <c r="J66" s="168"/>
      <c r="K66" s="169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75</v>
      </c>
      <c r="B67" s="121" t="n">
        <f aca="false">B61*B66</f>
        <v>1629</v>
      </c>
      <c r="C67" s="168"/>
      <c r="D67" s="65"/>
      <c r="E67" s="169"/>
      <c r="F67" s="157"/>
      <c r="G67" s="211" t="s">
        <v>75</v>
      </c>
      <c r="H67" s="121" t="n">
        <f aca="false">H61*H66</f>
        <v>1629</v>
      </c>
      <c r="I67" s="168"/>
      <c r="J67" s="65"/>
      <c r="K67" s="169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76</v>
      </c>
      <c r="B68" s="225" t="n">
        <v>0.0075</v>
      </c>
      <c r="C68" s="168"/>
      <c r="D68" s="168"/>
      <c r="E68" s="169"/>
      <c r="F68" s="157"/>
      <c r="G68" s="224" t="s">
        <v>76</v>
      </c>
      <c r="H68" s="225" t="n">
        <v>0.0075</v>
      </c>
      <c r="I68" s="168"/>
      <c r="J68" s="168"/>
      <c r="K68" s="169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77</v>
      </c>
      <c r="B69" s="226" t="n">
        <v>0.12</v>
      </c>
      <c r="C69" s="168"/>
      <c r="D69" s="168"/>
      <c r="E69" s="169"/>
      <c r="F69" s="157"/>
      <c r="G69" s="158" t="s">
        <v>77</v>
      </c>
      <c r="H69" s="226" t="n">
        <v>0.12</v>
      </c>
      <c r="I69" s="168"/>
      <c r="J69" s="168"/>
      <c r="K69" s="169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78</v>
      </c>
      <c r="B70" s="228" t="n">
        <f aca="false">B68*(1+B69)</f>
        <v>0.0084</v>
      </c>
      <c r="C70" s="168"/>
      <c r="D70" s="168"/>
      <c r="E70" s="169"/>
      <c r="F70" s="157"/>
      <c r="G70" s="211" t="s">
        <v>78</v>
      </c>
      <c r="H70" s="228" t="n">
        <f aca="false">H68*(1+H69)</f>
        <v>0.0084</v>
      </c>
      <c r="I70" s="168"/>
      <c r="J70" s="168"/>
      <c r="K70" s="169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79</v>
      </c>
      <c r="B71" s="229" t="n">
        <v>160</v>
      </c>
      <c r="C71" s="168"/>
      <c r="D71" s="168"/>
      <c r="E71" s="169"/>
      <c r="F71" s="157"/>
      <c r="G71" s="224" t="s">
        <v>79</v>
      </c>
      <c r="H71" s="229" t="n">
        <v>160</v>
      </c>
      <c r="I71" s="168"/>
      <c r="J71" s="168"/>
      <c r="K71" s="169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80</v>
      </c>
      <c r="B72" s="230" t="n">
        <v>4.5</v>
      </c>
      <c r="C72" s="168"/>
      <c r="D72" s="168"/>
      <c r="E72" s="169"/>
      <c r="F72" s="157"/>
      <c r="G72" s="158" t="s">
        <v>80</v>
      </c>
      <c r="H72" s="230" t="n">
        <v>4.5</v>
      </c>
      <c r="I72" s="168"/>
      <c r="J72" s="168"/>
      <c r="K72" s="169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81</v>
      </c>
      <c r="B73" s="121" t="n">
        <f aca="false">B72*H29</f>
        <v>162</v>
      </c>
      <c r="C73" s="168"/>
      <c r="D73" s="65" t="n">
        <f aca="false">B73+B71</f>
        <v>322</v>
      </c>
      <c r="E73" s="169"/>
      <c r="F73" s="157"/>
      <c r="G73" s="211" t="s">
        <v>81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150</v>
      </c>
      <c r="C74" s="168"/>
      <c r="D74" s="168"/>
      <c r="E74" s="169"/>
      <c r="F74" s="157"/>
      <c r="G74" s="224" t="s">
        <v>171</v>
      </c>
      <c r="H74" s="229" t="n">
        <v>150</v>
      </c>
      <c r="I74" s="168"/>
      <c r="J74" s="168"/>
      <c r="K74" s="169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f aca="false">IF(G18&gt;40000, 325, 0)</f>
        <v>325</v>
      </c>
      <c r="C75" s="168"/>
      <c r="D75" s="168"/>
      <c r="E75" s="169"/>
      <c r="F75" s="157"/>
      <c r="G75" s="158" t="s">
        <v>172</v>
      </c>
      <c r="H75" s="230" t="n">
        <f aca="false">IF(G18&gt;40000, 325, 0)</f>
        <v>325</v>
      </c>
      <c r="I75" s="168"/>
      <c r="J75" s="168"/>
      <c r="K75" s="169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989.583333333333</v>
      </c>
      <c r="C76" s="168"/>
      <c r="D76" s="65" t="n">
        <f aca="false">B76</f>
        <v>989.583333333333</v>
      </c>
      <c r="E76" s="169"/>
      <c r="F76" s="157"/>
      <c r="G76" s="211" t="s">
        <v>173</v>
      </c>
      <c r="H76" s="121" t="n">
        <f aca="false">((H74+H75)/12)*(H29-11)</f>
        <v>989.583333333333</v>
      </c>
      <c r="I76" s="168"/>
      <c r="J76" s="65" t="n">
        <f aca="false">H76</f>
        <v>989.583333333333</v>
      </c>
      <c r="K76" s="169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229" t="n">
        <f aca="false">B102</f>
        <v>1200</v>
      </c>
      <c r="C77" s="168"/>
      <c r="D77" s="65" t="n">
        <f aca="false">B77</f>
        <v>1200</v>
      </c>
      <c r="E77" s="169"/>
      <c r="F77" s="157"/>
      <c r="G77" s="224" t="s">
        <v>174</v>
      </c>
      <c r="H77" s="229" t="n">
        <f aca="false">H102</f>
        <v>1200</v>
      </c>
      <c r="I77" s="168"/>
      <c r="J77" s="65" t="n">
        <f aca="false">H77</f>
        <v>1200</v>
      </c>
      <c r="K77" s="169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f aca="false">D102</f>
        <v>0</v>
      </c>
      <c r="C78" s="168"/>
      <c r="D78" s="65" t="n">
        <f aca="false">B78</f>
        <v>0</v>
      </c>
      <c r="E78" s="169"/>
      <c r="F78" s="157"/>
      <c r="G78" s="161" t="s">
        <v>175</v>
      </c>
      <c r="H78" s="166" t="n">
        <f aca="false">J102</f>
        <v>0</v>
      </c>
      <c r="I78" s="168"/>
      <c r="J78" s="65" t="n">
        <f aca="false">H78</f>
        <v>0</v>
      </c>
      <c r="K78" s="169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82</v>
      </c>
      <c r="B79" s="230" t="n">
        <v>100</v>
      </c>
      <c r="C79" s="168"/>
      <c r="D79" s="65" t="n">
        <f aca="false">B79</f>
        <v>100</v>
      </c>
      <c r="E79" s="169"/>
      <c r="F79" s="157"/>
      <c r="G79" s="158" t="s">
        <v>82</v>
      </c>
      <c r="H79" s="230" t="n">
        <v>100</v>
      </c>
      <c r="I79" s="168"/>
      <c r="J79" s="65" t="n">
        <f aca="false">H79</f>
        <v>100</v>
      </c>
      <c r="K79" s="169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83</v>
      </c>
      <c r="B80" s="238" t="n">
        <v>100</v>
      </c>
      <c r="C80" s="168"/>
      <c r="D80" s="65" t="n">
        <f aca="false">B80</f>
        <v>100</v>
      </c>
      <c r="E80" s="169"/>
      <c r="F80" s="157"/>
      <c r="G80" s="237" t="s">
        <v>83</v>
      </c>
      <c r="H80" s="238" t="n">
        <v>100</v>
      </c>
      <c r="I80" s="168"/>
      <c r="J80" s="65" t="n">
        <f aca="false">H80</f>
        <v>100</v>
      </c>
      <c r="K80" s="169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84</v>
      </c>
      <c r="B81" s="240" t="n">
        <f aca="false">SUM(D64:D80)</f>
        <v>19816.0833333333</v>
      </c>
      <c r="C81" s="168"/>
      <c r="D81" s="168"/>
      <c r="E81" s="169"/>
      <c r="F81" s="157"/>
      <c r="G81" s="239" t="s">
        <v>84</v>
      </c>
      <c r="H81" s="240" t="n">
        <f aca="false">SUM(J64:J80)</f>
        <v>19816.0833333333</v>
      </c>
      <c r="I81" s="168"/>
      <c r="J81" s="168"/>
      <c r="K81" s="169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85</v>
      </c>
      <c r="B82" s="166" t="n">
        <f aca="false">B81/H29</f>
        <v>550.446759259259</v>
      </c>
      <c r="C82" s="168"/>
      <c r="D82" s="168"/>
      <c r="E82" s="169"/>
      <c r="F82" s="157"/>
      <c r="G82" s="161" t="s">
        <v>85</v>
      </c>
      <c r="H82" s="166" t="n">
        <f aca="false">H81/H29</f>
        <v>550.446759259259</v>
      </c>
      <c r="I82" s="168"/>
      <c r="J82" s="168"/>
      <c r="K82" s="169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86</v>
      </c>
      <c r="B83" s="242" t="n">
        <f aca="false">H46</f>
        <v>3480.46444444444</v>
      </c>
      <c r="C83" s="168"/>
      <c r="D83" s="168"/>
      <c r="E83" s="169"/>
      <c r="F83" s="157"/>
      <c r="G83" s="241" t="s">
        <v>86</v>
      </c>
      <c r="H83" s="242" t="n">
        <f aca="false">H46</f>
        <v>3480.46444444444</v>
      </c>
      <c r="I83" s="168"/>
      <c r="J83" s="168"/>
      <c r="K83" s="169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169"/>
      <c r="F84" s="157"/>
      <c r="G84" s="161"/>
      <c r="H84" s="65"/>
      <c r="I84" s="168"/>
      <c r="J84" s="168"/>
      <c r="K84" s="169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95</v>
      </c>
      <c r="B85" s="119" t="n">
        <f aca="false">((B83*(H27+H28)+B81))</f>
        <v>172956.518888889</v>
      </c>
      <c r="C85" s="168"/>
      <c r="D85" s="168"/>
      <c r="E85" s="169"/>
      <c r="F85" s="157"/>
      <c r="G85" s="204" t="s">
        <v>95</v>
      </c>
      <c r="H85" s="119" t="n">
        <f aca="false">((H83*(H27+H28))+H81)*1.2</f>
        <v>207547.822666667</v>
      </c>
      <c r="I85" s="168"/>
      <c r="J85" s="168"/>
      <c r="K85" s="169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96</v>
      </c>
      <c r="B86" s="166" t="n">
        <f aca="false">(B85/(1-B70))*B70</f>
        <v>1465.14195105553</v>
      </c>
      <c r="C86" s="168"/>
      <c r="D86" s="168"/>
      <c r="E86" s="169"/>
      <c r="F86" s="157"/>
      <c r="G86" s="161" t="s">
        <v>96</v>
      </c>
      <c r="H86" s="166" t="n">
        <f aca="false">(((H83*(H27+H28))+H81)/(1-H70))*H70</f>
        <v>1465.14195105553</v>
      </c>
      <c r="I86" s="168"/>
      <c r="J86" s="168"/>
      <c r="K86" s="169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97</v>
      </c>
      <c r="B87" s="121" t="n">
        <f aca="false">IF(B110="YES",((B85+B86)-A151-E114),((B85+B86)-A151))</f>
        <v>174421.660839944</v>
      </c>
      <c r="C87" s="168"/>
      <c r="D87" s="168"/>
      <c r="E87" s="169"/>
      <c r="F87" s="157"/>
      <c r="G87" s="211" t="s">
        <v>97</v>
      </c>
      <c r="H87" s="121" t="n">
        <f aca="false">IF(H110="YES",((H85+H86)-A151-K114),((H85+H86)-A151))</f>
        <v>209012.964617722</v>
      </c>
      <c r="I87" s="168"/>
      <c r="J87" s="168"/>
      <c r="K87" s="169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98</v>
      </c>
      <c r="B89" s="240" t="n">
        <f aca="false">(A41+(A41*B105))</f>
        <v>138.108</v>
      </c>
      <c r="C89" s="168"/>
      <c r="D89" s="168"/>
      <c r="E89" s="169"/>
      <c r="F89" s="157"/>
      <c r="G89" s="239" t="s">
        <v>98</v>
      </c>
      <c r="H89" s="240" t="n">
        <f aca="false">(A41+(A41*H105))*1.2</f>
        <v>165.7296</v>
      </c>
      <c r="I89" s="168"/>
      <c r="J89" s="168"/>
      <c r="K89" s="169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99</v>
      </c>
      <c r="B90" s="244" t="n">
        <f aca="false">IF(B99=Z102, (B87-D105)/(B58), B87/(B57+B58))</f>
        <v>4845.0461344429</v>
      </c>
      <c r="C90" s="168"/>
      <c r="D90" s="168"/>
      <c r="E90" s="169"/>
      <c r="F90" s="157"/>
      <c r="G90" s="243" t="s">
        <v>99</v>
      </c>
      <c r="H90" s="244" t="n">
        <f aca="false">IF(H99=AE98, (H87-J105)/(H58), H87/(H57+H58))</f>
        <v>5805.91568382562</v>
      </c>
      <c r="I90" s="168"/>
      <c r="J90" s="168"/>
      <c r="K90" s="169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100</v>
      </c>
      <c r="B91" s="246" t="n">
        <f aca="false">IF(A105="YES", B90+B89, B90)</f>
        <v>4983.1541344429</v>
      </c>
      <c r="C91" s="168"/>
      <c r="D91" s="168"/>
      <c r="E91" s="169"/>
      <c r="F91" s="157"/>
      <c r="G91" s="245" t="s">
        <v>100</v>
      </c>
      <c r="H91" s="246" t="n">
        <f aca="false">IF(G105="YES", H90+H89, H90)</f>
        <v>5971.64528382562</v>
      </c>
      <c r="I91" s="168"/>
      <c r="J91" s="168"/>
      <c r="K91" s="169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46.5" hidden="false" customHeight="true" outlineLevel="0" collapsed="false">
      <c r="A94" s="184" t="s">
        <v>226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</row>
    <row r="98" customFormat="false" ht="18.75" hidden="false" customHeight="true" outlineLevel="0" collapsed="false">
      <c r="A98" s="161" t="s">
        <v>104</v>
      </c>
      <c r="B98" s="168" t="s">
        <v>30</v>
      </c>
      <c r="C98" s="168"/>
      <c r="D98" s="168" t="s">
        <v>178</v>
      </c>
      <c r="E98" s="169"/>
      <c r="F98" s="157"/>
      <c r="G98" s="161" t="s">
        <v>104</v>
      </c>
      <c r="H98" s="168" t="s">
        <v>30</v>
      </c>
      <c r="I98" s="168"/>
      <c r="J98" s="168" t="s">
        <v>178</v>
      </c>
      <c r="K98" s="169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</row>
    <row r="99" customFormat="false" ht="18.75" hidden="false" customHeight="true" outlineLevel="0" collapsed="false">
      <c r="A99" s="185" t="s">
        <v>180</v>
      </c>
      <c r="B99" s="248" t="s">
        <v>106</v>
      </c>
      <c r="C99" s="248"/>
      <c r="D99" s="58" t="n">
        <v>0</v>
      </c>
      <c r="E99" s="58"/>
      <c r="F99" s="157"/>
      <c r="G99" s="185" t="s">
        <v>180</v>
      </c>
      <c r="H99" s="248" t="s">
        <v>106</v>
      </c>
      <c r="I99" s="248"/>
      <c r="J99" s="58" t="n">
        <v>0</v>
      </c>
      <c r="K99" s="58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</row>
    <row r="101" customFormat="false" ht="18.75" hidden="false" customHeight="true" outlineLevel="0" collapsed="false">
      <c r="A101" s="161" t="s">
        <v>184</v>
      </c>
      <c r="B101" s="168" t="s">
        <v>185</v>
      </c>
      <c r="C101" s="168"/>
      <c r="D101" s="168" t="s">
        <v>186</v>
      </c>
      <c r="E101" s="169"/>
      <c r="F101" s="157"/>
      <c r="G101" s="161" t="s">
        <v>184</v>
      </c>
      <c r="H101" s="168" t="s">
        <v>185</v>
      </c>
      <c r="I101" s="168"/>
      <c r="J101" s="168" t="s">
        <v>186</v>
      </c>
      <c r="K101" s="169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</row>
    <row r="102" customFormat="false" ht="18.75" hidden="false" customHeight="true" outlineLevel="0" collapsed="false">
      <c r="A102" s="57" t="n">
        <v>199.99</v>
      </c>
      <c r="B102" s="58" t="n">
        <v>1200</v>
      </c>
      <c r="C102" s="58"/>
      <c r="D102" s="58" t="n">
        <v>0</v>
      </c>
      <c r="E102" s="58"/>
      <c r="F102" s="157"/>
      <c r="G102" s="57" t="n">
        <f aca="false">199.99*1.2</f>
        <v>239.988</v>
      </c>
      <c r="H102" s="58" t="n">
        <v>1200</v>
      </c>
      <c r="I102" s="58"/>
      <c r="J102" s="58" t="n">
        <v>0</v>
      </c>
      <c r="K102" s="58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 t="s">
        <v>106</v>
      </c>
      <c r="Z103" s="157"/>
      <c r="AA103" s="157"/>
    </row>
    <row r="104" customFormat="false" ht="18.75" hidden="false" customHeight="true" outlineLevel="0" collapsed="false">
      <c r="A104" s="185" t="s">
        <v>29</v>
      </c>
      <c r="B104" s="157" t="s">
        <v>107</v>
      </c>
      <c r="C104" s="168"/>
      <c r="D104" s="168" t="s">
        <v>119</v>
      </c>
      <c r="E104" s="169"/>
      <c r="F104" s="157"/>
      <c r="G104" s="185" t="s">
        <v>29</v>
      </c>
      <c r="H104" s="157" t="s">
        <v>107</v>
      </c>
      <c r="I104" s="168"/>
      <c r="J104" s="168" t="s">
        <v>119</v>
      </c>
      <c r="K104" s="169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 t="s">
        <v>179</v>
      </c>
      <c r="Z104" s="157"/>
      <c r="AA104" s="157"/>
    </row>
    <row r="105" customFormat="false" ht="18.75" hidden="false" customHeight="true" outlineLevel="0" collapsed="false">
      <c r="A105" s="186" t="s">
        <v>25</v>
      </c>
      <c r="B105" s="249" t="n">
        <v>0.2</v>
      </c>
      <c r="C105" s="249"/>
      <c r="D105" s="58" t="n">
        <v>0</v>
      </c>
      <c r="E105" s="58"/>
      <c r="F105" s="157"/>
      <c r="G105" s="186" t="s">
        <v>25</v>
      </c>
      <c r="H105" s="249" t="n">
        <v>0.2</v>
      </c>
      <c r="I105" s="249"/>
      <c r="J105" s="58" t="n">
        <v>0</v>
      </c>
      <c r="K105" s="58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 t="s">
        <v>183</v>
      </c>
      <c r="Z105" s="157"/>
      <c r="AA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 t="s">
        <v>182</v>
      </c>
      <c r="Z106" s="157"/>
      <c r="AA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 t="s">
        <v>187</v>
      </c>
      <c r="Z107" s="157"/>
      <c r="AA107" s="157"/>
    </row>
    <row r="108" customFormat="false" ht="18.75" hidden="false" customHeight="true" outlineLevel="0" collapsed="false">
      <c r="A108" s="189" t="s">
        <v>194</v>
      </c>
      <c r="B108" s="189"/>
      <c r="C108" s="189"/>
      <c r="D108" s="189"/>
      <c r="E108" s="189"/>
      <c r="F108" s="157"/>
      <c r="G108" s="189" t="s">
        <v>194</v>
      </c>
      <c r="H108" s="189"/>
      <c r="I108" s="189"/>
      <c r="J108" s="189"/>
      <c r="K108" s="189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 t="s">
        <v>188</v>
      </c>
      <c r="Z108" s="157"/>
      <c r="AA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 t="s">
        <v>189</v>
      </c>
      <c r="Z109" s="157"/>
    </row>
    <row r="110" customFormat="false" ht="18.75" hidden="false" customHeight="true" outlineLevel="0" collapsed="false">
      <c r="A110" s="161" t="s">
        <v>195</v>
      </c>
      <c r="B110" s="186" t="s">
        <v>26</v>
      </c>
      <c r="C110" s="168"/>
      <c r="D110" s="168"/>
      <c r="E110" s="169"/>
      <c r="F110" s="157"/>
      <c r="G110" s="161" t="s">
        <v>195</v>
      </c>
      <c r="H110" s="186" t="s">
        <v>26</v>
      </c>
      <c r="I110" s="168"/>
      <c r="J110" s="168"/>
      <c r="K110" s="169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 t="s">
        <v>190</v>
      </c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 t="s">
        <v>192</v>
      </c>
      <c r="Z111" s="157"/>
    </row>
    <row r="112" customFormat="false" ht="18.75" hidden="false" customHeight="true" outlineLevel="0" collapsed="false">
      <c r="A112" s="161" t="s">
        <v>133</v>
      </c>
      <c r="B112" s="168"/>
      <c r="C112" s="168"/>
      <c r="D112" s="57" t="n">
        <v>10000</v>
      </c>
      <c r="E112" s="58" t="n">
        <v>5000</v>
      </c>
      <c r="F112" s="157"/>
      <c r="G112" s="161" t="s">
        <v>133</v>
      </c>
      <c r="H112" s="168"/>
      <c r="I112" s="168"/>
      <c r="J112" s="57" t="n">
        <v>10000</v>
      </c>
      <c r="K112" s="58" t="n">
        <v>5000</v>
      </c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134</v>
      </c>
      <c r="B113" s="168"/>
      <c r="C113" s="168"/>
      <c r="D113" s="26" t="n">
        <f aca="false">E113</f>
        <v>7000</v>
      </c>
      <c r="E113" s="58" t="n">
        <v>7000</v>
      </c>
      <c r="F113" s="157"/>
      <c r="G113" s="161" t="s">
        <v>134</v>
      </c>
      <c r="H113" s="168"/>
      <c r="I113" s="168"/>
      <c r="J113" s="26" t="n">
        <f aca="false">K113</f>
        <v>7000</v>
      </c>
      <c r="K113" s="58" t="n">
        <v>7000</v>
      </c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135</v>
      </c>
      <c r="B114" s="168"/>
      <c r="C114" s="168"/>
      <c r="D114" s="26" t="n">
        <f aca="false">D112-D113</f>
        <v>3000</v>
      </c>
      <c r="E114" s="141" t="n">
        <f aca="false">E112-E113</f>
        <v>-2000</v>
      </c>
      <c r="F114" s="157"/>
      <c r="G114" s="161" t="s">
        <v>135</v>
      </c>
      <c r="H114" s="168"/>
      <c r="I114" s="168"/>
      <c r="J114" s="26" t="n">
        <f aca="false">J112-J113</f>
        <v>3000</v>
      </c>
      <c r="K114" s="141" t="n">
        <f aca="false">K112-K113</f>
        <v>-2000</v>
      </c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136</v>
      </c>
      <c r="B115" s="168"/>
      <c r="C115" s="168"/>
      <c r="D115" s="26" t="n">
        <f aca="false">D114-E114</f>
        <v>5000</v>
      </c>
      <c r="E115" s="169"/>
      <c r="F115" s="157"/>
      <c r="G115" s="161" t="s">
        <v>136</v>
      </c>
      <c r="H115" s="168"/>
      <c r="I115" s="168"/>
      <c r="J115" s="26" t="n">
        <f aca="false">J114-K114</f>
        <v>5000</v>
      </c>
      <c r="K115" s="169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115</v>
      </c>
      <c r="B117" s="205"/>
      <c r="C117" s="205"/>
      <c r="D117" s="205"/>
      <c r="E117" s="119" t="n">
        <f aca="false">D99</f>
        <v>0</v>
      </c>
      <c r="F117" s="157"/>
      <c r="G117" s="204" t="s">
        <v>115</v>
      </c>
      <c r="H117" s="205"/>
      <c r="I117" s="205"/>
      <c r="J117" s="205"/>
      <c r="K117" s="119" t="n">
        <f aca="false">J99</f>
        <v>0</v>
      </c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139</v>
      </c>
      <c r="B118" s="168"/>
      <c r="C118" s="168"/>
      <c r="D118" s="168"/>
      <c r="E118" s="166" t="n">
        <f aca="false">A102</f>
        <v>199.99</v>
      </c>
      <c r="F118" s="157"/>
      <c r="G118" s="161" t="s">
        <v>139</v>
      </c>
      <c r="H118" s="168"/>
      <c r="I118" s="168"/>
      <c r="J118" s="168"/>
      <c r="K118" s="166" t="n">
        <f aca="false">G102</f>
        <v>239.988</v>
      </c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196</v>
      </c>
      <c r="B119" s="212"/>
      <c r="C119" s="212"/>
      <c r="D119" s="212"/>
      <c r="E119" s="121" t="n">
        <f aca="false">(E118+E117)-D115</f>
        <v>-4800.01</v>
      </c>
      <c r="F119" s="157"/>
      <c r="G119" s="250" t="s">
        <v>196</v>
      </c>
      <c r="H119" s="212"/>
      <c r="I119" s="212"/>
      <c r="J119" s="212"/>
      <c r="K119" s="121" t="n">
        <f aca="false">(K118+K117)-J115</f>
        <v>-4760.012</v>
      </c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197</v>
      </c>
      <c r="B122" s="189"/>
      <c r="C122" s="189"/>
      <c r="D122" s="189"/>
      <c r="E122" s="189"/>
      <c r="F122" s="157"/>
      <c r="G122" s="189" t="s">
        <v>197</v>
      </c>
      <c r="H122" s="189"/>
      <c r="I122" s="189"/>
      <c r="J122" s="189"/>
      <c r="K122" s="189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1300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161" t="s">
        <v>39</v>
      </c>
      <c r="B126" s="168" t="s">
        <v>40</v>
      </c>
      <c r="C126" s="168"/>
      <c r="D126" s="168" t="s">
        <v>67</v>
      </c>
      <c r="E126" s="169"/>
      <c r="F126" s="157"/>
      <c r="G126" s="161" t="s">
        <v>39</v>
      </c>
      <c r="H126" s="168" t="s">
        <v>40</v>
      </c>
      <c r="I126" s="168"/>
      <c r="J126" s="168" t="s">
        <v>67</v>
      </c>
      <c r="K126" s="169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192" t="n">
        <f aca="false">A152</f>
        <v>36</v>
      </c>
      <c r="B127" s="193" t="n">
        <f aca="false">B151</f>
        <v>10000</v>
      </c>
      <c r="C127" s="194"/>
      <c r="D127" s="193" t="n">
        <f aca="false">B58</f>
        <v>35</v>
      </c>
      <c r="E127" s="169"/>
      <c r="F127" s="157"/>
      <c r="G127" s="192" t="n">
        <f aca="false">G152</f>
        <v>36</v>
      </c>
      <c r="H127" s="193" t="n">
        <f aca="false">A152</f>
        <v>36</v>
      </c>
      <c r="I127" s="194"/>
      <c r="J127" s="193" t="n">
        <f aca="false">B151</f>
        <v>10000</v>
      </c>
      <c r="K127" s="169"/>
      <c r="L127" s="157"/>
      <c r="M127" s="157"/>
      <c r="N127" s="157"/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57"/>
      <c r="N128" s="157"/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251" t="s">
        <v>198</v>
      </c>
      <c r="B129" s="252" t="s">
        <v>199</v>
      </c>
      <c r="C129" s="252"/>
      <c r="D129" s="252" t="s">
        <v>100</v>
      </c>
      <c r="E129" s="169"/>
      <c r="F129" s="157"/>
      <c r="G129" s="251" t="s">
        <v>200</v>
      </c>
      <c r="H129" s="252" t="s">
        <v>201</v>
      </c>
      <c r="I129" s="252"/>
      <c r="J129" s="252" t="s">
        <v>202</v>
      </c>
      <c r="K129" s="169"/>
      <c r="L129" s="157"/>
      <c r="M129" s="157"/>
      <c r="N129" s="157"/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299"/>
    </row>
    <row r="130" customFormat="false" ht="18.75" hidden="false" customHeight="true" outlineLevel="0" collapsed="false">
      <c r="A130" s="253" t="n">
        <f aca="false">B90</f>
        <v>4845.0461344429</v>
      </c>
      <c r="B130" s="150" t="n">
        <f aca="false">IF(A105="YES", B89*B57, 0)</f>
        <v>138.108</v>
      </c>
      <c r="C130" s="150"/>
      <c r="D130" s="150" t="n">
        <f aca="false">B91</f>
        <v>4983.1541344429</v>
      </c>
      <c r="E130" s="153"/>
      <c r="F130" s="157"/>
      <c r="G130" s="253" t="n">
        <f aca="false">H90</f>
        <v>5805.91568382562</v>
      </c>
      <c r="H130" s="150" t="n">
        <f aca="false">IF(G105="YES", H89*H57, 0)</f>
        <v>165.7296</v>
      </c>
      <c r="I130" s="150"/>
      <c r="J130" s="254" t="n">
        <f aca="false">H91</f>
        <v>5971.64528382562</v>
      </c>
      <c r="K130" s="153"/>
      <c r="L130" s="157"/>
      <c r="M130" s="157"/>
      <c r="N130" s="157"/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299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299"/>
    </row>
    <row r="132" customFormat="false" ht="18.75" hidden="false" customHeight="true" outlineLevel="0" collapsed="false">
      <c r="A132" s="161" t="s">
        <v>203</v>
      </c>
      <c r="B132" s="168" t="s">
        <v>204</v>
      </c>
      <c r="C132" s="168"/>
      <c r="D132" s="168" t="s">
        <v>205</v>
      </c>
      <c r="E132" s="169"/>
      <c r="F132" s="157"/>
      <c r="G132" s="161" t="s">
        <v>206</v>
      </c>
      <c r="H132" s="168" t="s">
        <v>207</v>
      </c>
      <c r="I132" s="168"/>
      <c r="J132" s="168" t="s">
        <v>208</v>
      </c>
      <c r="K132" s="169"/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4845.0461344429</v>
      </c>
      <c r="B133" s="23" t="n">
        <f aca="false">IF(A105="YES", B89*B57, 0)</f>
        <v>138.108</v>
      </c>
      <c r="C133" s="199"/>
      <c r="D133" s="200" t="n">
        <f aca="false">B91*B57</f>
        <v>4983.1541344429</v>
      </c>
      <c r="E133" s="169"/>
      <c r="F133" s="157"/>
      <c r="G133" s="55" t="n">
        <f aca="false">H90*H57</f>
        <v>5805.91568382562</v>
      </c>
      <c r="H133" s="23" t="n">
        <f aca="false">IF(G105="YES", H89*H57, 0)</f>
        <v>165.7296</v>
      </c>
      <c r="I133" s="199"/>
      <c r="J133" s="200" t="n">
        <f aca="false">H91*H57</f>
        <v>5971.64528382562</v>
      </c>
      <c r="K133" s="169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209</v>
      </c>
      <c r="B135" s="168" t="s">
        <v>210</v>
      </c>
      <c r="C135" s="168"/>
      <c r="D135" s="168" t="s">
        <v>211</v>
      </c>
      <c r="E135" s="169"/>
      <c r="F135" s="157"/>
      <c r="G135" s="161" t="s">
        <v>212</v>
      </c>
      <c r="H135" s="168" t="s">
        <v>213</v>
      </c>
      <c r="I135" s="168"/>
      <c r="J135" s="168" t="s">
        <v>214</v>
      </c>
      <c r="K135" s="169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0.98121</v>
      </c>
      <c r="B136" s="23" t="n">
        <f aca="false">IF(A105="YES", E15*0.000002, 0)</f>
        <v>0.32707</v>
      </c>
      <c r="C136" s="23"/>
      <c r="D136" s="23" t="n">
        <f aca="false">A136+B136</f>
        <v>1.30828</v>
      </c>
      <c r="E136" s="153"/>
      <c r="F136" s="157"/>
      <c r="G136" s="22" t="n">
        <f aca="false">E15*0.000006</f>
        <v>0.98121</v>
      </c>
      <c r="H136" s="23" t="n">
        <f aca="false">IF(G105="YES", E15*0.000002, 0)</f>
        <v>0.32707</v>
      </c>
      <c r="I136" s="23"/>
      <c r="J136" s="23" t="n">
        <f aca="false">G136+H136</f>
        <v>1.30828</v>
      </c>
      <c r="K136" s="153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118</v>
      </c>
      <c r="B138" s="168" t="s">
        <v>215</v>
      </c>
      <c r="C138" s="168"/>
      <c r="D138" s="168" t="s">
        <v>216</v>
      </c>
      <c r="E138" s="169"/>
      <c r="F138" s="157"/>
      <c r="G138" s="161" t="s">
        <v>217</v>
      </c>
      <c r="H138" s="168" t="s">
        <v>215</v>
      </c>
      <c r="I138" s="168"/>
      <c r="J138" s="168" t="s">
        <v>216</v>
      </c>
      <c r="K138" s="169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1629</v>
      </c>
      <c r="C139" s="23"/>
      <c r="D139" s="23" t="n">
        <f aca="false">B102*0.9</f>
        <v>1080</v>
      </c>
      <c r="E139" s="153"/>
      <c r="F139" s="157"/>
      <c r="G139" s="22" t="n">
        <f aca="false">G102</f>
        <v>239.988</v>
      </c>
      <c r="H139" s="23" t="n">
        <f aca="false">H67</f>
        <v>1629</v>
      </c>
      <c r="I139" s="23"/>
      <c r="J139" s="23" t="n">
        <f aca="false">H102*0.9</f>
        <v>1080</v>
      </c>
      <c r="K139" s="153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218</v>
      </c>
      <c r="B141" s="168" t="s">
        <v>219</v>
      </c>
      <c r="C141" s="168"/>
      <c r="D141" s="168" t="s">
        <v>220</v>
      </c>
      <c r="E141" s="169"/>
      <c r="F141" s="157"/>
      <c r="G141" s="161" t="s">
        <v>218</v>
      </c>
      <c r="H141" s="168" t="s">
        <v>219</v>
      </c>
      <c r="I141" s="168"/>
      <c r="J141" s="168" t="s">
        <v>220</v>
      </c>
      <c r="K141" s="169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B89*0.1, 0)</f>
        <v>13.8108</v>
      </c>
      <c r="B142" s="23" t="n">
        <f aca="false">A102-100</f>
        <v>99.99</v>
      </c>
      <c r="C142" s="23"/>
      <c r="D142" s="23" t="n">
        <f aca="false">(B139+D139+A142+B142)-B145</f>
        <v>2822.8008</v>
      </c>
      <c r="E142" s="153"/>
      <c r="F142" s="157"/>
      <c r="G142" s="22" t="n">
        <f aca="false">IF(G105="YES", H89*0.1, 0)</f>
        <v>16.57296</v>
      </c>
      <c r="H142" s="23" t="n">
        <f aca="false">G102-100</f>
        <v>139.988</v>
      </c>
      <c r="I142" s="23"/>
      <c r="J142" s="23" t="n">
        <f aca="false">(H139+J139+G142+H142)-H145</f>
        <v>2865.56096</v>
      </c>
      <c r="K142" s="153"/>
      <c r="L142" s="157"/>
      <c r="M142" s="157"/>
      <c r="N142" s="157"/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57"/>
      <c r="N143" s="157"/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221</v>
      </c>
      <c r="B144" s="168" t="s">
        <v>222</v>
      </c>
      <c r="C144" s="168"/>
      <c r="D144" s="168"/>
      <c r="E144" s="169"/>
      <c r="F144" s="157"/>
      <c r="G144" s="161" t="s">
        <v>221</v>
      </c>
      <c r="H144" s="168" t="s">
        <v>222</v>
      </c>
      <c r="I144" s="168"/>
      <c r="J144" s="168"/>
      <c r="K144" s="169"/>
      <c r="L144" s="157"/>
      <c r="M144" s="157"/>
      <c r="N144" s="157"/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f aca="false">IF((1200-B102) &lt;= 0, 0, (1200-B102))</f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f aca="false">IF((1200-H102) &lt;= 0, 0, (1200-H102))</f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157"/>
      <c r="N147" s="157"/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225</v>
      </c>
      <c r="B148" s="168"/>
      <c r="C148" s="168"/>
      <c r="D148" s="215"/>
      <c r="E148" s="216"/>
      <c r="F148" s="157"/>
      <c r="G148" s="214" t="s">
        <v>225</v>
      </c>
      <c r="H148" s="168"/>
      <c r="I148" s="168"/>
      <c r="J148" s="215"/>
      <c r="K148" s="216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39</v>
      </c>
      <c r="B150" s="221" t="s">
        <v>40</v>
      </c>
      <c r="C150" s="221"/>
      <c r="D150" s="168"/>
      <c r="E150" s="169"/>
      <c r="F150" s="157"/>
      <c r="G150" s="220" t="s">
        <v>39</v>
      </c>
      <c r="H150" s="221" t="s">
        <v>40</v>
      </c>
      <c r="I150" s="221"/>
      <c r="J150" s="168"/>
      <c r="K150" s="169"/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4983.1541344429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5971.64528382562</v>
      </c>
      <c r="I152" s="78"/>
      <c r="J152" s="168"/>
      <c r="K152" s="169"/>
      <c r="L152" s="157"/>
      <c r="M152" s="157"/>
      <c r="N152" s="157"/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9.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157"/>
      <c r="N154" s="157"/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$Y$104:$Y$113</formula1>
      <formula2>0</formula2>
    </dataValidation>
    <dataValidation allowBlank="true" errorStyle="stop" operator="between" showDropDown="false" showErrorMessage="true" showInputMessage="false" sqref="B99 H99" type="list">
      <formula1>$Y$103:$Y$112</formula1>
      <formula2>0</formula2>
    </dataValidation>
    <dataValidation allowBlank="true" errorStyle="stop" operator="between" showDropDown="false" showErrorMessage="true" showInputMessage="false" sqref="N99:O99" type="list">
      <formula1>$N$60:$N$69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2" colorId="64" zoomScale="75" zoomScaleNormal="75" zoomScalePageLayoutView="100" workbookViewId="0">
      <selection pane="topLeft" activeCell="E111" activeCellId="0" sqref="E111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15</v>
      </c>
      <c r="C4" s="10" t="n">
        <v>0</v>
      </c>
      <c r="D4" s="10" t="n">
        <v>0</v>
      </c>
      <c r="E4" s="10"/>
      <c r="F4" s="10" t="n">
        <v>9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52</v>
      </c>
      <c r="C5" s="8" t="n">
        <v>0</v>
      </c>
      <c r="D5" s="8" t="n">
        <v>0</v>
      </c>
      <c r="E5" s="8"/>
      <c r="F5" s="8" t="n">
        <v>15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7080.1255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89.9997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39774.0445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743.3303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39774.0445</v>
      </c>
      <c r="F9" s="15"/>
      <c r="G9" s="16"/>
      <c r="H9" s="17" t="n">
        <f aca="false">B7+D7+F7+H3</f>
        <v>40517.3748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8113.47496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49320.84976</v>
      </c>
      <c r="I15" s="2"/>
      <c r="J15" s="20" t="n">
        <f aca="false">H15</f>
        <v>49320.84976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120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49176.84976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25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39" t="s">
        <v>35</v>
      </c>
      <c r="K29" s="44" t="n">
        <v>36</v>
      </c>
      <c r="P29" s="32"/>
    </row>
    <row r="30" customFormat="false" ht="17.9" hidden="false" customHeight="false" outlineLevel="0" collapsed="false">
      <c r="A30" s="7" t="s">
        <v>36</v>
      </c>
      <c r="B30" s="45" t="s">
        <v>161</v>
      </c>
      <c r="C30" s="45"/>
      <c r="D30" s="45"/>
      <c r="E30" s="14"/>
      <c r="F30" s="14"/>
      <c r="G30" s="14"/>
      <c r="H30" s="12" t="n">
        <v>10000</v>
      </c>
      <c r="I30" s="14"/>
      <c r="J30" s="39" t="s">
        <v>37</v>
      </c>
      <c r="K30" s="46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39" t="s">
        <v>38</v>
      </c>
      <c r="K31" s="47" t="n">
        <v>27500</v>
      </c>
      <c r="P31" s="32"/>
    </row>
    <row r="32" customFormat="false" ht="34.8" hidden="false" customHeight="false" outlineLevel="0" collapsed="false">
      <c r="A32" s="7" t="s">
        <v>39</v>
      </c>
      <c r="B32" s="14" t="s">
        <v>40</v>
      </c>
      <c r="C32" s="14"/>
      <c r="D32" s="14"/>
      <c r="E32" s="14" t="s">
        <v>41</v>
      </c>
      <c r="F32" s="14"/>
      <c r="G32" s="14"/>
      <c r="H32" s="12"/>
      <c r="I32" s="2"/>
      <c r="J32" s="39" t="s">
        <v>42</v>
      </c>
      <c r="K32" s="47" t="n">
        <v>1030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712.772406008963</v>
      </c>
      <c r="F33" s="49"/>
      <c r="G33" s="49"/>
      <c r="H33" s="50"/>
      <c r="I33" s="2"/>
      <c r="J33" s="41" t="s">
        <v>43</v>
      </c>
      <c r="K33" s="51" t="n">
        <f aca="false">H21-H11+(H16*20%)</f>
        <v>41087.3748</v>
      </c>
      <c r="L33" s="1" t="n">
        <f aca="false">H21-H11+(H16*20%)</f>
        <v>41087.3748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44</v>
      </c>
      <c r="B35" s="14" t="s">
        <v>45</v>
      </c>
      <c r="C35" s="14"/>
      <c r="D35" s="32"/>
      <c r="E35" s="14" t="s">
        <v>46</v>
      </c>
      <c r="F35" s="52"/>
      <c r="G35" s="52"/>
      <c r="H35" s="50"/>
      <c r="I35" s="2"/>
      <c r="J35" s="53" t="s">
        <v>47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684.161294897852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48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49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50</v>
      </c>
      <c r="B39" s="14" t="s">
        <v>51</v>
      </c>
      <c r="C39" s="14"/>
      <c r="D39" s="32"/>
      <c r="E39" s="14" t="s">
        <v>52</v>
      </c>
      <c r="F39" s="52"/>
      <c r="G39" s="52"/>
      <c r="H39" s="50"/>
      <c r="J39" s="2" t="s">
        <v>53</v>
      </c>
      <c r="K39" s="2" t="n">
        <f aca="false">K33</f>
        <v>41087.3748</v>
      </c>
      <c r="L39" s="2" t="n">
        <f aca="false">(L47*K46)+K44</f>
        <v>43933.392151445</v>
      </c>
      <c r="N39" s="1" t="n">
        <f aca="false">K39-L39</f>
        <v>-2846.01735144504</v>
      </c>
      <c r="P39" s="32"/>
    </row>
    <row r="40" customFormat="false" ht="17.35" hidden="false" customHeight="false" outlineLevel="0" collapsed="false">
      <c r="A40" s="58" t="n">
        <f aca="false">E36*A45/100</f>
        <v>27500</v>
      </c>
      <c r="B40" s="58" t="n">
        <f aca="false">IF(B26="YES",K42,"0")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54</v>
      </c>
      <c r="K40" s="2" t="n">
        <f aca="false">(A40)/1.2</f>
        <v>22916.6666666667</v>
      </c>
      <c r="L40" s="2" t="n">
        <f aca="false">K39-L39</f>
        <v>-2846.01735144504</v>
      </c>
      <c r="N40" s="1" t="n">
        <f aca="false">N38-N39</f>
        <v>5757.69735144504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55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56</v>
      </c>
      <c r="K42" s="2" t="n">
        <f aca="false">(K32/K36)*C45/100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57</v>
      </c>
      <c r="K43" s="2"/>
      <c r="L43" s="2"/>
      <c r="P43" s="32"/>
    </row>
    <row r="44" customFormat="false" ht="17.35" hidden="false" customHeight="false" outlineLevel="0" collapsed="false">
      <c r="A44" s="64" t="s">
        <v>58</v>
      </c>
      <c r="B44" s="14"/>
      <c r="C44" s="65" t="s">
        <v>59</v>
      </c>
      <c r="D44" s="65"/>
      <c r="E44" s="14"/>
      <c r="F44" s="14"/>
      <c r="G44" s="14"/>
      <c r="H44" s="12"/>
      <c r="J44" s="2" t="s">
        <v>60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300" t="s">
        <v>162</v>
      </c>
      <c r="B45" s="14"/>
      <c r="C45" s="301" t="s">
        <v>162</v>
      </c>
      <c r="D45" s="301"/>
      <c r="E45" s="301"/>
      <c r="F45" s="14"/>
      <c r="G45" s="14"/>
      <c r="H45" s="12"/>
      <c r="J45" s="2" t="s">
        <v>61</v>
      </c>
      <c r="K45" s="2" t="n">
        <f aca="false">(K39-K44)</f>
        <v>22322.4650294319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62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63</v>
      </c>
      <c r="K47" s="2" t="n">
        <f aca="false">K45/K46</f>
        <v>684.161294897852</v>
      </c>
      <c r="L47" s="2" t="n">
        <f aca="false">L49-K42</f>
        <v>771.388888888889</v>
      </c>
      <c r="M47" s="1" t="n">
        <f aca="false">K47-L47</f>
        <v>-87.2275939910366</v>
      </c>
      <c r="P47" s="32"/>
    </row>
    <row r="48" customFormat="false" ht="31.8" hidden="false" customHeight="false" outlineLevel="0" collapsed="false">
      <c r="A48" s="69" t="s">
        <v>64</v>
      </c>
      <c r="B48" s="14"/>
      <c r="C48" s="14"/>
      <c r="D48" s="70"/>
      <c r="E48" s="70"/>
      <c r="F48" s="70"/>
      <c r="G48" s="70"/>
      <c r="H48" s="71"/>
      <c r="J48" s="72" t="s">
        <v>65</v>
      </c>
      <c r="K48" s="2" t="n">
        <f aca="false">IF(B26="YES", K47+K42, K47)</f>
        <v>712.772406008963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66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39</v>
      </c>
      <c r="B50" s="75" t="s">
        <v>40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712.772406008963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53</v>
      </c>
      <c r="B58" s="14" t="n">
        <v>1</v>
      </c>
      <c r="C58" s="14"/>
      <c r="D58" s="14"/>
      <c r="E58" s="80"/>
      <c r="F58" s="80"/>
      <c r="G58" s="80"/>
      <c r="H58" s="12"/>
      <c r="J58" s="7" t="s">
        <v>53</v>
      </c>
      <c r="K58" s="14" t="n">
        <v>1</v>
      </c>
      <c r="L58" s="14"/>
      <c r="M58" s="14"/>
      <c r="N58" s="80"/>
      <c r="O58" s="80"/>
      <c r="P58" s="80"/>
      <c r="Q58" s="12"/>
      <c r="S58" s="7" t="s">
        <v>53</v>
      </c>
      <c r="T58" s="14" t="n">
        <v>1</v>
      </c>
      <c r="U58" s="14"/>
      <c r="V58" s="14"/>
      <c r="W58" s="80"/>
      <c r="X58" s="80"/>
      <c r="Y58" s="80"/>
      <c r="Z58" s="12"/>
      <c r="AB58" s="7" t="s">
        <v>53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67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67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67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67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68</v>
      </c>
      <c r="B60" s="82" t="n">
        <v>10</v>
      </c>
      <c r="C60" s="14"/>
      <c r="D60" s="14"/>
      <c r="E60" s="80"/>
      <c r="F60" s="80"/>
      <c r="G60" s="80"/>
      <c r="H60" s="12"/>
      <c r="J60" s="81" t="s">
        <v>68</v>
      </c>
      <c r="K60" s="82" t="n">
        <v>20</v>
      </c>
      <c r="L60" s="14"/>
      <c r="M60" s="14"/>
      <c r="N60" s="80"/>
      <c r="O60" s="80"/>
      <c r="P60" s="80"/>
      <c r="Q60" s="12"/>
      <c r="S60" s="81" t="s">
        <v>68</v>
      </c>
      <c r="T60" s="82" t="n">
        <v>10</v>
      </c>
      <c r="U60" s="14"/>
      <c r="V60" s="14"/>
      <c r="W60" s="80"/>
      <c r="X60" s="80"/>
      <c r="Y60" s="80"/>
      <c r="Z60" s="12"/>
      <c r="AB60" s="81" t="s">
        <v>68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69</v>
      </c>
      <c r="B62" s="84" t="n">
        <v>0</v>
      </c>
      <c r="C62" s="14"/>
      <c r="D62" s="14"/>
      <c r="E62" s="80"/>
      <c r="F62" s="80"/>
      <c r="G62" s="80"/>
      <c r="H62" s="12"/>
      <c r="J62" s="83" t="s">
        <v>69</v>
      </c>
      <c r="K62" s="84" t="n">
        <v>0.06</v>
      </c>
      <c r="L62" s="14"/>
      <c r="M62" s="14"/>
      <c r="N62" s="80"/>
      <c r="O62" s="80"/>
      <c r="P62" s="80"/>
      <c r="Q62" s="12"/>
      <c r="S62" s="83" t="s">
        <v>69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69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70</v>
      </c>
      <c r="B63" s="85" t="n">
        <v>0.065</v>
      </c>
      <c r="C63" s="14"/>
      <c r="D63" s="14"/>
      <c r="E63" s="80"/>
      <c r="F63" s="80"/>
      <c r="G63" s="80"/>
      <c r="H63" s="12"/>
      <c r="J63" s="4" t="s">
        <v>70</v>
      </c>
      <c r="K63" s="85" t="n">
        <v>0.08</v>
      </c>
      <c r="L63" s="14"/>
      <c r="M63" s="14"/>
      <c r="N63" s="80"/>
      <c r="O63" s="80"/>
      <c r="P63" s="80"/>
      <c r="Q63" s="12"/>
      <c r="S63" s="4" t="s">
        <v>70</v>
      </c>
      <c r="T63" s="85" t="n">
        <v>0.059</v>
      </c>
      <c r="U63" s="14"/>
      <c r="V63" s="14"/>
      <c r="W63" s="80"/>
      <c r="X63" s="80"/>
      <c r="Y63" s="80"/>
      <c r="Z63" s="12"/>
      <c r="AB63" s="4" t="s">
        <v>70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71</v>
      </c>
      <c r="B64" s="87" t="n">
        <v>0.024</v>
      </c>
      <c r="C64" s="14"/>
      <c r="D64" s="14"/>
      <c r="E64" s="80"/>
      <c r="F64" s="80"/>
      <c r="G64" s="80"/>
      <c r="H64" s="12"/>
      <c r="J64" s="86" t="s">
        <v>71</v>
      </c>
      <c r="K64" s="87" t="n">
        <v>0.1</v>
      </c>
      <c r="L64" s="14"/>
      <c r="M64" s="14"/>
      <c r="N64" s="80"/>
      <c r="O64" s="80"/>
      <c r="P64" s="80"/>
      <c r="Q64" s="12"/>
      <c r="S64" s="86" t="s">
        <v>71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71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72</v>
      </c>
      <c r="B65" s="68" t="n">
        <f aca="false">(B89*B59)-(K47*K29)</f>
        <v>28578.7380275427</v>
      </c>
      <c r="C65" s="14"/>
      <c r="D65" s="14"/>
      <c r="E65" s="80"/>
      <c r="F65" s="80"/>
      <c r="G65" s="80"/>
      <c r="H65" s="12"/>
      <c r="J65" s="60" t="s">
        <v>72</v>
      </c>
      <c r="K65" s="68" t="n">
        <f aca="false">(K89*K59)-(K47*K29)</f>
        <v>13671.511329935</v>
      </c>
      <c r="L65" s="14"/>
      <c r="M65" s="14"/>
      <c r="N65" s="80"/>
      <c r="O65" s="80"/>
      <c r="P65" s="80"/>
      <c r="Q65" s="12"/>
      <c r="S65" s="60" t="s">
        <v>72</v>
      </c>
      <c r="T65" s="68" t="n">
        <f aca="false">(T89*T59)-(K47*K29)</f>
        <v>-3958.68009620292</v>
      </c>
      <c r="U65" s="14"/>
      <c r="V65" s="14"/>
      <c r="W65" s="80"/>
      <c r="X65" s="80"/>
      <c r="Y65" s="80"/>
      <c r="Z65" s="12"/>
      <c r="AB65" s="60" t="s">
        <v>72</v>
      </c>
      <c r="AC65" s="68" t="n">
        <f aca="false">(AC89*AC59)-(K47*K29)</f>
        <v>-3958.68009620292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73</v>
      </c>
      <c r="B66" s="84" t="n">
        <v>0.01</v>
      </c>
      <c r="C66" s="14"/>
      <c r="D66" s="14"/>
      <c r="E66" s="80"/>
      <c r="F66" s="80"/>
      <c r="G66" s="80"/>
      <c r="H66" s="12"/>
      <c r="J66" s="83" t="s">
        <v>73</v>
      </c>
      <c r="K66" s="84" t="n">
        <v>0.05</v>
      </c>
      <c r="L66" s="14"/>
      <c r="M66" s="14"/>
      <c r="N66" s="80"/>
      <c r="O66" s="80"/>
      <c r="P66" s="80"/>
      <c r="Q66" s="12"/>
      <c r="S66" s="83" t="s">
        <v>73</v>
      </c>
      <c r="T66" s="84" t="n">
        <v>0.005</v>
      </c>
      <c r="U66" s="14"/>
      <c r="V66" s="14"/>
      <c r="W66" s="80"/>
      <c r="X66" s="80"/>
      <c r="Y66" s="80"/>
      <c r="Z66" s="12"/>
      <c r="AB66" s="83" t="s">
        <v>73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74</v>
      </c>
      <c r="B67" s="88" t="n">
        <f aca="false">B66+(B66*0.5*(K29/12-1))</f>
        <v>0.02</v>
      </c>
      <c r="C67" s="14"/>
      <c r="D67" s="14"/>
      <c r="E67" s="80"/>
      <c r="F67" s="80"/>
      <c r="G67" s="80"/>
      <c r="H67" s="12"/>
      <c r="J67" s="7" t="s">
        <v>74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74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74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75</v>
      </c>
      <c r="B68" s="68" t="n">
        <f aca="false">(G158*B67)</f>
        <v>957.5372352</v>
      </c>
      <c r="C68" s="14"/>
      <c r="D68" s="14"/>
      <c r="E68" s="80"/>
      <c r="F68" s="80"/>
      <c r="G68" s="80"/>
      <c r="H68" s="12"/>
      <c r="J68" s="60" t="s">
        <v>75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75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75</v>
      </c>
      <c r="AC68" s="68" t="n">
        <f aca="false">AH158*AC67</f>
        <v>357.06785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76</v>
      </c>
      <c r="B69" s="84" t="n">
        <v>0</v>
      </c>
      <c r="C69" s="14"/>
      <c r="D69" s="14"/>
      <c r="E69" s="80"/>
      <c r="F69" s="80"/>
      <c r="G69" s="80"/>
      <c r="H69" s="12"/>
      <c r="J69" s="83" t="s">
        <v>76</v>
      </c>
      <c r="K69" s="84" t="n">
        <v>0</v>
      </c>
      <c r="L69" s="14"/>
      <c r="M69" s="14"/>
      <c r="N69" s="80"/>
      <c r="O69" s="80"/>
      <c r="P69" s="80"/>
      <c r="Q69" s="12"/>
      <c r="S69" s="83" t="s">
        <v>76</v>
      </c>
      <c r="T69" s="84" t="n">
        <v>0</v>
      </c>
      <c r="U69" s="14"/>
      <c r="V69" s="14"/>
      <c r="W69" s="80"/>
      <c r="X69" s="80"/>
      <c r="Y69" s="80"/>
      <c r="Z69" s="12"/>
      <c r="AB69" s="83" t="s">
        <v>76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77</v>
      </c>
      <c r="B70" s="85" t="n">
        <v>0</v>
      </c>
      <c r="C70" s="14"/>
      <c r="D70" s="14"/>
      <c r="E70" s="80"/>
      <c r="F70" s="80"/>
      <c r="G70" s="80"/>
      <c r="H70" s="12"/>
      <c r="J70" s="4" t="s">
        <v>77</v>
      </c>
      <c r="K70" s="85" t="n">
        <v>0</v>
      </c>
      <c r="L70" s="14"/>
      <c r="M70" s="14"/>
      <c r="N70" s="80"/>
      <c r="O70" s="80"/>
      <c r="P70" s="80"/>
      <c r="Q70" s="12"/>
      <c r="S70" s="4" t="s">
        <v>77</v>
      </c>
      <c r="T70" s="85" t="n">
        <v>0</v>
      </c>
      <c r="U70" s="14"/>
      <c r="V70" s="14"/>
      <c r="W70" s="80"/>
      <c r="X70" s="80"/>
      <c r="Y70" s="80"/>
      <c r="Z70" s="12"/>
      <c r="AB70" s="4" t="s">
        <v>77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78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78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78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78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79</v>
      </c>
      <c r="B72" s="90" t="n">
        <v>0</v>
      </c>
      <c r="C72" s="14"/>
      <c r="D72" s="14"/>
      <c r="E72" s="80"/>
      <c r="F72" s="80"/>
      <c r="G72" s="80"/>
      <c r="H72" s="12"/>
      <c r="J72" s="83" t="s">
        <v>79</v>
      </c>
      <c r="K72" s="90" t="n">
        <v>0</v>
      </c>
      <c r="L72" s="14"/>
      <c r="M72" s="14"/>
      <c r="N72" s="80"/>
      <c r="O72" s="80"/>
      <c r="P72" s="80"/>
      <c r="Q72" s="12"/>
      <c r="S72" s="83" t="s">
        <v>79</v>
      </c>
      <c r="T72" s="90" t="n">
        <v>0</v>
      </c>
      <c r="U72" s="14"/>
      <c r="V72" s="14"/>
      <c r="W72" s="80"/>
      <c r="X72" s="80"/>
      <c r="Y72" s="80"/>
      <c r="Z72" s="12"/>
      <c r="AB72" s="83" t="s">
        <v>79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80</v>
      </c>
      <c r="B73" s="82" t="n">
        <v>0</v>
      </c>
      <c r="C73" s="14"/>
      <c r="D73" s="14"/>
      <c r="E73" s="80"/>
      <c r="F73" s="80"/>
      <c r="G73" s="80"/>
      <c r="H73" s="12"/>
      <c r="J73" s="4" t="s">
        <v>80</v>
      </c>
      <c r="K73" s="82" t="n">
        <v>0</v>
      </c>
      <c r="L73" s="14"/>
      <c r="M73" s="14"/>
      <c r="N73" s="80"/>
      <c r="O73" s="80"/>
      <c r="P73" s="80"/>
      <c r="Q73" s="12"/>
      <c r="S73" s="4" t="s">
        <v>80</v>
      </c>
      <c r="T73" s="82" t="n">
        <v>0</v>
      </c>
      <c r="U73" s="14"/>
      <c r="V73" s="14"/>
      <c r="W73" s="80"/>
      <c r="X73" s="80"/>
      <c r="Y73" s="80"/>
      <c r="Z73" s="12"/>
      <c r="AB73" s="4" t="s">
        <v>80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81</v>
      </c>
      <c r="B74" s="68" t="n">
        <f aca="false">B73*K29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81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81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81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82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82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82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82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83</v>
      </c>
      <c r="B76" s="91" t="n">
        <v>0</v>
      </c>
      <c r="C76" s="14"/>
      <c r="D76" s="14" t="n">
        <f aca="false">B76</f>
        <v>0</v>
      </c>
      <c r="E76" s="80"/>
      <c r="F76" s="14"/>
      <c r="G76" s="80"/>
      <c r="H76" s="12"/>
      <c r="J76" s="86" t="s">
        <v>83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83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83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84</v>
      </c>
      <c r="B77" s="93" t="n">
        <f aca="false">SUM(D65:D76)</f>
        <v>0</v>
      </c>
      <c r="C77" s="14"/>
      <c r="D77" s="14"/>
      <c r="E77" s="80"/>
      <c r="F77" s="14"/>
      <c r="G77" s="14"/>
      <c r="H77" s="12"/>
      <c r="J77" s="92" t="s">
        <v>84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84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84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85</v>
      </c>
      <c r="B78" s="12" t="n">
        <f aca="false">B77/K29</f>
        <v>0</v>
      </c>
      <c r="C78" s="14"/>
      <c r="D78" s="14"/>
      <c r="E78" s="80"/>
      <c r="F78" s="80"/>
      <c r="G78" s="80"/>
      <c r="H78" s="12"/>
      <c r="J78" s="7" t="s">
        <v>85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85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85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86</v>
      </c>
      <c r="B79" s="63" t="n">
        <f aca="false">K47</f>
        <v>684.161294897852</v>
      </c>
      <c r="C79" s="14"/>
      <c r="D79" s="14"/>
      <c r="E79" s="80"/>
      <c r="F79" s="80"/>
      <c r="G79" s="80"/>
      <c r="H79" s="12"/>
      <c r="J79" s="94" t="s">
        <v>86</v>
      </c>
      <c r="K79" s="63" t="n">
        <f aca="false">K47</f>
        <v>684.161294897852</v>
      </c>
      <c r="L79" s="14"/>
      <c r="M79" s="14"/>
      <c r="N79" s="80"/>
      <c r="O79" s="80"/>
      <c r="P79" s="80"/>
      <c r="Q79" s="12"/>
      <c r="S79" s="94" t="s">
        <v>86</v>
      </c>
      <c r="T79" s="63" t="n">
        <f aca="false">B52</f>
        <v>712.772406008963</v>
      </c>
      <c r="U79" s="14"/>
      <c r="V79" s="14"/>
      <c r="W79" s="80"/>
      <c r="X79" s="80"/>
      <c r="Y79" s="80"/>
      <c r="Z79" s="12"/>
      <c r="AB79" s="94" t="s">
        <v>86</v>
      </c>
      <c r="AC79" s="63" t="n">
        <f aca="false">B52</f>
        <v>712.772406008963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87</v>
      </c>
      <c r="B81" s="36" t="n">
        <f aca="false">G158</f>
        <v>47876.86176</v>
      </c>
      <c r="C81" s="14"/>
      <c r="D81" s="14"/>
      <c r="E81" s="80"/>
      <c r="F81" s="80"/>
      <c r="G81" s="80"/>
      <c r="H81" s="12"/>
      <c r="J81" s="34" t="s">
        <v>87</v>
      </c>
      <c r="K81" s="36" t="n">
        <f aca="false">P158</f>
        <v>27893.036</v>
      </c>
      <c r="L81" s="14"/>
      <c r="M81" s="14"/>
      <c r="N81" s="80"/>
      <c r="O81" s="80"/>
      <c r="P81" s="80"/>
      <c r="Q81" s="12"/>
      <c r="S81" s="34" t="s">
        <v>87</v>
      </c>
      <c r="T81" s="36" t="n">
        <f aca="false">Y158</f>
        <v>35706.785</v>
      </c>
      <c r="U81" s="14"/>
      <c r="V81" s="14"/>
      <c r="W81" s="80"/>
      <c r="X81" s="80"/>
      <c r="Y81" s="80"/>
      <c r="Z81" s="12"/>
      <c r="AB81" s="34" t="s">
        <v>87</v>
      </c>
      <c r="AC81" s="36" t="n">
        <f aca="false">AH158</f>
        <v>35706.785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54</v>
      </c>
      <c r="B82" s="12" t="n">
        <f aca="false">IF(A111 = "Yes", A40, 0)</f>
        <v>0</v>
      </c>
      <c r="C82" s="14"/>
      <c r="D82" s="14"/>
      <c r="E82" s="80"/>
      <c r="F82" s="80"/>
      <c r="G82" s="80"/>
      <c r="H82" s="12"/>
      <c r="J82" s="7" t="s">
        <v>54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54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54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88</v>
      </c>
      <c r="B83" s="302" t="n">
        <f aca="false">B62+B63+B64</f>
        <v>0.089</v>
      </c>
      <c r="C83" s="14"/>
      <c r="D83" s="14"/>
      <c r="E83" s="80"/>
      <c r="F83" s="80"/>
      <c r="G83" s="80"/>
      <c r="H83" s="12"/>
      <c r="J83" s="7" t="s">
        <v>88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88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88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89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89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89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89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90</v>
      </c>
      <c r="B85" s="12" t="n">
        <f aca="false">IF(B82=0, (B59+B58), (B59))</f>
        <v>36</v>
      </c>
      <c r="C85" s="14"/>
      <c r="D85" s="14"/>
      <c r="E85" s="80"/>
      <c r="F85" s="80"/>
      <c r="G85" s="80"/>
      <c r="H85" s="12"/>
      <c r="J85" s="7" t="s">
        <v>90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90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90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91</v>
      </c>
      <c r="B86" s="12" t="n">
        <f aca="false">(B82/((1+B84)^(B85+1)))</f>
        <v>0</v>
      </c>
      <c r="C86" s="14"/>
      <c r="D86" s="14"/>
      <c r="E86" s="80"/>
      <c r="F86" s="80"/>
      <c r="G86" s="80"/>
      <c r="H86" s="12"/>
      <c r="J86" s="7" t="s">
        <v>91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91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91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92</v>
      </c>
      <c r="B87" s="12" t="n">
        <f aca="false">((1-(1/((1+B84)^B85)))/B84)</f>
        <v>31.4928771838377</v>
      </c>
      <c r="C87" s="14"/>
      <c r="D87" s="14"/>
      <c r="E87" s="80"/>
      <c r="F87" s="80"/>
      <c r="G87" s="80"/>
      <c r="H87" s="12"/>
      <c r="J87" s="7" t="s">
        <v>92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92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92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93</v>
      </c>
      <c r="B88" s="12" t="n">
        <f aca="false">B81-B86</f>
        <v>47876.86176</v>
      </c>
      <c r="C88" s="14"/>
      <c r="D88" s="14"/>
      <c r="E88" s="80"/>
      <c r="F88" s="80"/>
      <c r="G88" s="80"/>
      <c r="H88" s="12"/>
      <c r="J88" s="7" t="s">
        <v>93</v>
      </c>
      <c r="K88" s="12" t="n">
        <f aca="false">K81-K86</f>
        <v>27893.036</v>
      </c>
      <c r="L88" s="14"/>
      <c r="M88" s="14"/>
      <c r="N88" s="80"/>
      <c r="O88" s="80"/>
      <c r="P88" s="80"/>
      <c r="Q88" s="12"/>
      <c r="S88" s="7" t="s">
        <v>93</v>
      </c>
      <c r="T88" s="12" t="n">
        <f aca="false">T81-T86</f>
        <v>17103.9191902377</v>
      </c>
      <c r="U88" s="14"/>
      <c r="V88" s="14"/>
      <c r="W88" s="80"/>
      <c r="X88" s="80"/>
      <c r="Y88" s="80"/>
      <c r="Z88" s="12"/>
      <c r="AB88" s="7" t="s">
        <v>93</v>
      </c>
      <c r="AC88" s="12" t="n">
        <f aca="false">AC81-AC86</f>
        <v>17103.9191902377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94</v>
      </c>
      <c r="B89" s="12" t="n">
        <f aca="false">(B88/B87)</f>
        <v>1520.24413268187</v>
      </c>
      <c r="C89" s="14"/>
      <c r="D89" s="14"/>
      <c r="E89" s="80"/>
      <c r="F89" s="80"/>
      <c r="G89" s="80"/>
      <c r="H89" s="12"/>
      <c r="J89" s="7" t="s">
        <v>94</v>
      </c>
      <c r="K89" s="12" t="n">
        <f aca="false">(K88/K87)</f>
        <v>1094.32336989308</v>
      </c>
      <c r="L89" s="14"/>
      <c r="M89" s="14"/>
      <c r="N89" s="80"/>
      <c r="O89" s="80"/>
      <c r="P89" s="80"/>
      <c r="Q89" s="12"/>
      <c r="S89" s="7" t="s">
        <v>94</v>
      </c>
      <c r="T89" s="12" t="n">
        <f aca="false">(T88/T87)</f>
        <v>590.603614860565</v>
      </c>
      <c r="U89" s="14"/>
      <c r="V89" s="14"/>
      <c r="W89" s="80"/>
      <c r="X89" s="80"/>
      <c r="Y89" s="80"/>
      <c r="Z89" s="12"/>
      <c r="AB89" s="7" t="s">
        <v>94</v>
      </c>
      <c r="AC89" s="12" t="n">
        <f aca="false">(AC88/AC87)</f>
        <v>590.603614860565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95</v>
      </c>
      <c r="B90" s="12" t="n">
        <f aca="false">((B89*(B85))+B77)</f>
        <v>54728.7887765472</v>
      </c>
      <c r="C90" s="14"/>
      <c r="D90" s="14"/>
      <c r="E90" s="80"/>
      <c r="F90" s="80"/>
      <c r="G90" s="80"/>
      <c r="H90" s="12"/>
      <c r="J90" s="7" t="s">
        <v>95</v>
      </c>
      <c r="K90" s="12" t="n">
        <f aca="false">((K89*(K85))+K77)</f>
        <v>39395.6413161508</v>
      </c>
      <c r="L90" s="14"/>
      <c r="M90" s="14"/>
      <c r="N90" s="80"/>
      <c r="O90" s="80"/>
      <c r="P90" s="80"/>
      <c r="Q90" s="12"/>
      <c r="S90" s="7" t="s">
        <v>95</v>
      </c>
      <c r="T90" s="12" t="n">
        <f aca="false">(T89*(T85))+T77</f>
        <v>20671.1265201198</v>
      </c>
      <c r="U90" s="14"/>
      <c r="V90" s="14"/>
      <c r="W90" s="80"/>
      <c r="X90" s="80"/>
      <c r="Y90" s="80"/>
      <c r="Z90" s="12"/>
      <c r="AB90" s="7" t="s">
        <v>95</v>
      </c>
      <c r="AC90" s="12" t="n">
        <f aca="false">(AC89*(AC59))+AC77</f>
        <v>20671.1265201198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96</v>
      </c>
      <c r="B91" s="12" t="n">
        <f aca="false">(((B89*(B85))+B77)/(1-B71))*B71</f>
        <v>0</v>
      </c>
      <c r="C91" s="14"/>
      <c r="D91" s="14"/>
      <c r="E91" s="80"/>
      <c r="F91" s="80"/>
      <c r="G91" s="80"/>
      <c r="H91" s="12"/>
      <c r="J91" s="7" t="s">
        <v>96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96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96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97</v>
      </c>
      <c r="B92" s="68" t="n">
        <f aca="false">(B90+B91)</f>
        <v>54728.7887765472</v>
      </c>
      <c r="C92" s="14"/>
      <c r="D92" s="14"/>
      <c r="E92" s="80"/>
      <c r="F92" s="80"/>
      <c r="G92" s="80"/>
      <c r="H92" s="12"/>
      <c r="J92" s="60" t="s">
        <v>97</v>
      </c>
      <c r="K92" s="68" t="n">
        <f aca="false">(K90+K91)</f>
        <v>39395.6413161508</v>
      </c>
      <c r="L92" s="14"/>
      <c r="M92" s="14"/>
      <c r="N92" s="80"/>
      <c r="O92" s="80"/>
      <c r="P92" s="80"/>
      <c r="Q92" s="12"/>
      <c r="S92" s="60" t="s">
        <v>97</v>
      </c>
      <c r="T92" s="68" t="n">
        <f aca="false">(T90+T91)</f>
        <v>20671.1265201198</v>
      </c>
      <c r="U92" s="14"/>
      <c r="V92" s="14"/>
      <c r="W92" s="80"/>
      <c r="X92" s="80"/>
      <c r="Y92" s="80"/>
      <c r="Z92" s="12"/>
      <c r="AB92" s="60" t="s">
        <v>97</v>
      </c>
      <c r="AC92" s="68" t="n">
        <f aca="false">(AC90+AC91)</f>
        <v>20671.1265201198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98</v>
      </c>
      <c r="B94" s="303" t="n">
        <f aca="false">IF(B26="YES",((E40/B85)*(1+A108)),"0")</f>
        <v>28.6111111111111</v>
      </c>
      <c r="C94" s="14"/>
      <c r="D94" s="14"/>
      <c r="E94" s="80"/>
      <c r="F94" s="80"/>
      <c r="G94" s="80"/>
      <c r="H94" s="12"/>
      <c r="J94" s="92" t="s">
        <v>98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98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98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99</v>
      </c>
      <c r="B95" s="96" t="n">
        <f aca="false">B92/(B85)</f>
        <v>1520.24413268187</v>
      </c>
      <c r="C95" s="14"/>
      <c r="D95" s="14"/>
      <c r="E95" s="80"/>
      <c r="F95" s="80"/>
      <c r="G95" s="80"/>
      <c r="H95" s="12"/>
      <c r="J95" s="95" t="s">
        <v>99</v>
      </c>
      <c r="K95" s="96" t="n">
        <f aca="false">K92/(K85)</f>
        <v>1094.32336989308</v>
      </c>
      <c r="L95" s="14"/>
      <c r="M95" s="14"/>
      <c r="N95" s="80"/>
      <c r="O95" s="80"/>
      <c r="P95" s="80"/>
      <c r="Q95" s="12"/>
      <c r="S95" s="95" t="s">
        <v>99</v>
      </c>
      <c r="T95" s="96" t="n">
        <f aca="false">T92/(T85)</f>
        <v>590.603614860565</v>
      </c>
      <c r="U95" s="14"/>
      <c r="V95" s="14"/>
      <c r="W95" s="80"/>
      <c r="X95" s="80"/>
      <c r="Y95" s="80"/>
      <c r="Z95" s="12"/>
      <c r="AB95" s="95" t="s">
        <v>99</v>
      </c>
      <c r="AC95" s="96" t="n">
        <f aca="false">AC92/(AC59)</f>
        <v>590.603614860565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100</v>
      </c>
      <c r="B96" s="98" t="n">
        <f aca="false">B94+B95</f>
        <v>1548.85524379298</v>
      </c>
      <c r="C96" s="14"/>
      <c r="D96" s="14"/>
      <c r="E96" s="80"/>
      <c r="F96" s="80"/>
      <c r="G96" s="80"/>
      <c r="H96" s="12"/>
      <c r="J96" s="97" t="s">
        <v>100</v>
      </c>
      <c r="K96" s="98" t="n">
        <f aca="false">(K94+K95)</f>
        <v>1138.95670322641</v>
      </c>
      <c r="L96" s="14"/>
      <c r="M96" s="14"/>
      <c r="N96" s="80"/>
      <c r="O96" s="80"/>
      <c r="P96" s="80"/>
      <c r="Q96" s="12"/>
      <c r="S96" s="97" t="s">
        <v>100</v>
      </c>
      <c r="T96" s="98" t="n">
        <f aca="false">T94+T95</f>
        <v>625.91790057485</v>
      </c>
      <c r="U96" s="14"/>
      <c r="V96" s="14"/>
      <c r="W96" s="80"/>
      <c r="X96" s="80"/>
      <c r="Y96" s="80"/>
      <c r="Z96" s="12"/>
      <c r="AB96" s="97" t="s">
        <v>100</v>
      </c>
      <c r="AC96" s="98" t="n">
        <f aca="false">AC94+AC95</f>
        <v>632.980757717708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256</v>
      </c>
      <c r="B100" s="3"/>
      <c r="C100" s="3"/>
      <c r="D100" s="3"/>
      <c r="E100" s="3"/>
      <c r="F100" s="3"/>
      <c r="G100" s="3"/>
      <c r="H100" s="3"/>
      <c r="J100" s="3" t="s">
        <v>102</v>
      </c>
      <c r="K100" s="3"/>
      <c r="L100" s="3"/>
      <c r="M100" s="3"/>
      <c r="N100" s="3"/>
      <c r="O100" s="3"/>
      <c r="P100" s="3"/>
      <c r="Q100" s="3"/>
      <c r="S100" s="3" t="s">
        <v>103</v>
      </c>
      <c r="T100" s="3"/>
      <c r="U100" s="3"/>
      <c r="V100" s="3"/>
      <c r="W100" s="3"/>
      <c r="X100" s="3"/>
      <c r="Y100" s="3"/>
      <c r="Z100" s="3"/>
      <c r="AB100" s="3" t="s">
        <v>101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104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104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104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104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105</v>
      </c>
      <c r="B105" s="23" t="s">
        <v>106</v>
      </c>
      <c r="C105" s="23"/>
      <c r="D105" s="23"/>
      <c r="E105" s="45" t="s">
        <v>25</v>
      </c>
      <c r="F105" s="45"/>
      <c r="G105" s="45"/>
      <c r="H105" s="101"/>
      <c r="J105" s="37" t="s">
        <v>105</v>
      </c>
      <c r="K105" s="23" t="s">
        <v>106</v>
      </c>
      <c r="L105" s="23"/>
      <c r="M105" s="23"/>
      <c r="N105" s="45" t="s">
        <v>25</v>
      </c>
      <c r="O105" s="45"/>
      <c r="P105" s="45"/>
      <c r="Q105" s="101"/>
      <c r="S105" s="37" t="s">
        <v>105</v>
      </c>
      <c r="T105" s="23" t="s">
        <v>106</v>
      </c>
      <c r="U105" s="23"/>
      <c r="V105" s="23"/>
      <c r="W105" s="45" t="s">
        <v>25</v>
      </c>
      <c r="X105" s="45"/>
      <c r="Y105" s="45"/>
      <c r="Z105" s="101"/>
      <c r="AB105" s="37" t="s">
        <v>105</v>
      </c>
      <c r="AC105" s="23" t="s">
        <v>106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107</v>
      </c>
      <c r="B107" s="14" t="s">
        <v>108</v>
      </c>
      <c r="C107" s="14"/>
      <c r="D107" s="80"/>
      <c r="E107" s="14" t="s">
        <v>109</v>
      </c>
      <c r="F107" s="14"/>
      <c r="G107" s="80"/>
      <c r="H107" s="101"/>
      <c r="J107" s="7" t="s">
        <v>107</v>
      </c>
      <c r="K107" s="14" t="s">
        <v>108</v>
      </c>
      <c r="L107" s="14"/>
      <c r="M107" s="80"/>
      <c r="N107" s="14" t="s">
        <v>109</v>
      </c>
      <c r="O107" s="14"/>
      <c r="P107" s="80"/>
      <c r="Q107" s="101"/>
      <c r="S107" s="7" t="s">
        <v>107</v>
      </c>
      <c r="T107" s="14" t="s">
        <v>108</v>
      </c>
      <c r="U107" s="14"/>
      <c r="V107" s="80"/>
      <c r="W107" s="14" t="s">
        <v>109</v>
      </c>
      <c r="X107" s="14"/>
      <c r="Y107" s="80"/>
      <c r="Z107" s="101"/>
      <c r="AB107" s="7" t="s">
        <v>107</v>
      </c>
      <c r="AC107" s="14" t="s">
        <v>108</v>
      </c>
      <c r="AD107" s="14"/>
      <c r="AE107" s="80"/>
      <c r="AF107" s="14" t="s">
        <v>109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163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111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112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112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113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111</v>
      </c>
    </row>
    <row r="110" customFormat="false" ht="17.35" hidden="false" customHeight="false" outlineLevel="0" collapsed="false">
      <c r="A110" s="7" t="s">
        <v>114</v>
      </c>
      <c r="B110" s="14" t="s">
        <v>115</v>
      </c>
      <c r="C110" s="14"/>
      <c r="D110" s="14"/>
      <c r="E110" s="14" t="s">
        <v>116</v>
      </c>
      <c r="F110" s="14"/>
      <c r="G110" s="14"/>
      <c r="H110" s="12"/>
      <c r="J110" s="7" t="s">
        <v>114</v>
      </c>
      <c r="K110" s="14" t="s">
        <v>115</v>
      </c>
      <c r="L110" s="14"/>
      <c r="M110" s="14"/>
      <c r="N110" s="14" t="s">
        <v>116</v>
      </c>
      <c r="O110" s="14"/>
      <c r="P110" s="14"/>
      <c r="Q110" s="12"/>
      <c r="S110" s="7" t="s">
        <v>114</v>
      </c>
      <c r="T110" s="14" t="s">
        <v>115</v>
      </c>
      <c r="U110" s="14"/>
      <c r="V110" s="14"/>
      <c r="W110" s="14" t="s">
        <v>116</v>
      </c>
      <c r="X110" s="14"/>
      <c r="Y110" s="14"/>
      <c r="Z110" s="12"/>
      <c r="AB110" s="7" t="s">
        <v>114</v>
      </c>
      <c r="AC110" s="14" t="s">
        <v>115</v>
      </c>
      <c r="AD110" s="14"/>
      <c r="AE110" s="14"/>
      <c r="AF110" s="14" t="s">
        <v>116</v>
      </c>
      <c r="AG110" s="14"/>
      <c r="AH110" s="14"/>
      <c r="AI110" s="12"/>
    </row>
    <row r="111" customFormat="false" ht="17.35" hidden="false" customHeight="false" outlineLevel="0" collapsed="false">
      <c r="A111" s="38" t="s">
        <v>26</v>
      </c>
      <c r="B111" s="58" t="n">
        <v>1000</v>
      </c>
      <c r="C111" s="58"/>
      <c r="D111" s="58"/>
      <c r="E111" s="58" t="n">
        <v>1000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117</v>
      </c>
      <c r="B113" s="14" t="s">
        <v>118</v>
      </c>
      <c r="C113" s="14"/>
      <c r="D113" s="14"/>
      <c r="E113" s="14" t="s">
        <v>119</v>
      </c>
      <c r="F113" s="14"/>
      <c r="G113" s="80"/>
      <c r="H113" s="101"/>
      <c r="J113" s="105" t="s">
        <v>117</v>
      </c>
      <c r="K113" s="14" t="s">
        <v>118</v>
      </c>
      <c r="L113" s="14"/>
      <c r="M113" s="14"/>
      <c r="N113" s="14" t="s">
        <v>119</v>
      </c>
      <c r="O113" s="14"/>
      <c r="P113" s="80"/>
      <c r="Q113" s="101"/>
      <c r="S113" s="105" t="s">
        <v>117</v>
      </c>
      <c r="T113" s="14" t="s">
        <v>118</v>
      </c>
      <c r="U113" s="14"/>
      <c r="V113" s="14"/>
      <c r="W113" s="14" t="s">
        <v>119</v>
      </c>
      <c r="X113" s="14"/>
      <c r="Y113" s="80"/>
      <c r="Z113" s="101"/>
      <c r="AB113" s="105" t="s">
        <v>117</v>
      </c>
      <c r="AC113" s="14" t="s">
        <v>118</v>
      </c>
      <c r="AD113" s="14"/>
      <c r="AE113" s="14"/>
      <c r="AF113" s="14" t="s">
        <v>119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164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121</v>
      </c>
      <c r="B117" s="43"/>
      <c r="C117" s="43"/>
      <c r="D117" s="43"/>
      <c r="E117" s="43"/>
      <c r="F117" s="43"/>
      <c r="G117" s="43"/>
      <c r="H117" s="43"/>
      <c r="J117" s="43" t="s">
        <v>121</v>
      </c>
      <c r="K117" s="43"/>
      <c r="L117" s="43"/>
      <c r="M117" s="43"/>
      <c r="N117" s="43"/>
      <c r="O117" s="43"/>
      <c r="P117" s="43"/>
      <c r="Q117" s="43"/>
      <c r="S117" s="43" t="s">
        <v>121</v>
      </c>
      <c r="T117" s="43"/>
      <c r="U117" s="43"/>
      <c r="V117" s="43"/>
      <c r="W117" s="43"/>
      <c r="X117" s="43"/>
      <c r="Y117" s="43"/>
      <c r="Z117" s="43"/>
      <c r="AB117" s="43" t="s">
        <v>121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122</v>
      </c>
      <c r="C120" s="110" t="s">
        <v>123</v>
      </c>
      <c r="D120" s="109" t="s">
        <v>122</v>
      </c>
      <c r="E120" s="111" t="s">
        <v>123</v>
      </c>
      <c r="F120" s="109" t="s">
        <v>122</v>
      </c>
      <c r="G120" s="111" t="s">
        <v>123</v>
      </c>
      <c r="H120" s="112"/>
      <c r="J120" s="4"/>
      <c r="K120" s="109" t="s">
        <v>122</v>
      </c>
      <c r="L120" s="110" t="s">
        <v>123</v>
      </c>
      <c r="M120" s="109" t="s">
        <v>122</v>
      </c>
      <c r="N120" s="111" t="s">
        <v>123</v>
      </c>
      <c r="O120" s="109" t="s">
        <v>122</v>
      </c>
      <c r="P120" s="111" t="s">
        <v>123</v>
      </c>
      <c r="Q120" s="112"/>
      <c r="S120" s="4"/>
      <c r="T120" s="109" t="s">
        <v>122</v>
      </c>
      <c r="U120" s="110" t="s">
        <v>123</v>
      </c>
      <c r="V120" s="109" t="s">
        <v>122</v>
      </c>
      <c r="W120" s="111" t="s">
        <v>123</v>
      </c>
      <c r="X120" s="109" t="s">
        <v>122</v>
      </c>
      <c r="Y120" s="111" t="s">
        <v>123</v>
      </c>
      <c r="Z120" s="112"/>
      <c r="AB120" s="4"/>
      <c r="AC120" s="109" t="s">
        <v>122</v>
      </c>
      <c r="AD120" s="110" t="s">
        <v>123</v>
      </c>
      <c r="AE120" s="109" t="s">
        <v>122</v>
      </c>
      <c r="AF120" s="111" t="s">
        <v>123</v>
      </c>
      <c r="AG120" s="109" t="s">
        <v>122</v>
      </c>
      <c r="AH120" s="111" t="s">
        <v>123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15</v>
      </c>
      <c r="C122" s="10" t="n">
        <v>15</v>
      </c>
      <c r="D122" s="116" t="n">
        <f aca="false">D4</f>
        <v>0</v>
      </c>
      <c r="E122" s="10" t="n">
        <v>0</v>
      </c>
      <c r="F122" s="116" t="n">
        <f aca="false">F4</f>
        <v>9</v>
      </c>
      <c r="G122" s="117" t="n">
        <v>9</v>
      </c>
      <c r="H122" s="11"/>
      <c r="J122" s="7" t="s">
        <v>6</v>
      </c>
      <c r="K122" s="116" t="n">
        <f aca="false">B4</f>
        <v>15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9</v>
      </c>
      <c r="P122" s="117" t="n">
        <f aca="false">O122</f>
        <v>9</v>
      </c>
      <c r="Q122" s="11"/>
      <c r="S122" s="7" t="s">
        <v>6</v>
      </c>
      <c r="T122" s="116" t="n">
        <f aca="false">B4</f>
        <v>15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9</v>
      </c>
      <c r="Y122" s="117" t="n">
        <f aca="false">X122</f>
        <v>9</v>
      </c>
      <c r="Z122" s="11"/>
      <c r="AB122" s="7" t="s">
        <v>6</v>
      </c>
      <c r="AC122" s="116" t="n">
        <f aca="false">B4</f>
        <v>15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9</v>
      </c>
      <c r="AH122" s="117" t="n">
        <f aca="false">AG122</f>
        <v>9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52</v>
      </c>
      <c r="C123" s="114" t="n">
        <v>-948.01</v>
      </c>
      <c r="D123" s="118" t="n">
        <f aca="false">D5</f>
        <v>0</v>
      </c>
      <c r="E123" s="114" t="n">
        <v>0</v>
      </c>
      <c r="F123" s="118" t="n">
        <f aca="false">F5</f>
        <v>15</v>
      </c>
      <c r="G123" s="114" t="n">
        <v>15</v>
      </c>
      <c r="H123" s="12"/>
      <c r="J123" s="7" t="s">
        <v>7</v>
      </c>
      <c r="K123" s="118" t="n">
        <f aca="false">B5</f>
        <v>52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15</v>
      </c>
      <c r="P123" s="114" t="n">
        <f aca="false">O123</f>
        <v>15</v>
      </c>
      <c r="Q123" s="12"/>
      <c r="S123" s="7" t="s">
        <v>7</v>
      </c>
      <c r="T123" s="118" t="n">
        <f aca="false">B5</f>
        <v>52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15</v>
      </c>
      <c r="Y123" s="114" t="n">
        <f aca="false">X123</f>
        <v>15</v>
      </c>
      <c r="Z123" s="12"/>
      <c r="AB123" s="7" t="s">
        <v>7</v>
      </c>
      <c r="AC123" s="118" t="n">
        <f aca="false">B5</f>
        <v>52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15</v>
      </c>
      <c r="AH123" s="114" t="n">
        <f aca="false">AG123</f>
        <v>15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702864.55</v>
      </c>
      <c r="C124" s="119" t="n">
        <f aca="false">(C121*C122/100)+C123</f>
        <v>6080.1155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7514.97</v>
      </c>
      <c r="G124" s="119" t="n">
        <f aca="false">(G121*G122/100)+G123</f>
        <v>89.9997</v>
      </c>
      <c r="H124" s="12"/>
      <c r="J124" s="7" t="s">
        <v>8</v>
      </c>
      <c r="K124" s="118" t="n">
        <f aca="false">(K121*K122)+K123</f>
        <v>702864.55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7514.97</v>
      </c>
      <c r="P124" s="119" t="n">
        <f aca="false">(P121*P122)+P123</f>
        <v>7514.97</v>
      </c>
      <c r="Q124" s="12"/>
      <c r="S124" s="7" t="s">
        <v>8</v>
      </c>
      <c r="T124" s="118" t="n">
        <f aca="false">(T121*T122)+T123</f>
        <v>702864.55</v>
      </c>
      <c r="U124" s="119" t="n">
        <f aca="false">(U121*U122)+U123</f>
        <v>11713.5425</v>
      </c>
      <c r="V124" s="118" t="n">
        <f aca="false">(V121*V122)+V123</f>
        <v>0</v>
      </c>
      <c r="W124" s="119" t="n">
        <f aca="false">(W121*W122)+W123</f>
        <v>0</v>
      </c>
      <c r="X124" s="118" t="n">
        <f aca="false">(X121*X122)+X123</f>
        <v>7514.97</v>
      </c>
      <c r="Y124" s="119" t="n">
        <f aca="false">(Y121*Y122)+Y123</f>
        <v>7514.97</v>
      </c>
      <c r="Z124" s="12"/>
      <c r="AB124" s="7" t="s">
        <v>8</v>
      </c>
      <c r="AC124" s="118" t="n">
        <f aca="false">(AC121*AC122)+AC123</f>
        <v>702864.55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7514.97</v>
      </c>
      <c r="AH124" s="119" t="n">
        <f aca="false">(AH121*AH122)+AH123</f>
        <v>7514.97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-656010.38</v>
      </c>
      <c r="C125" s="121" t="n">
        <f aca="false">C121-C124</f>
        <v>40774.0545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-6681.64</v>
      </c>
      <c r="G125" s="121" t="n">
        <f aca="false">G121-G124</f>
        <v>743.3303</v>
      </c>
      <c r="H125" s="68"/>
      <c r="J125" s="60" t="s">
        <v>9</v>
      </c>
      <c r="K125" s="120" t="n">
        <f aca="false">K121-K124</f>
        <v>-656010.38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-6681.64</v>
      </c>
      <c r="P125" s="121" t="n">
        <f aca="false">P121-P124</f>
        <v>-6681.64</v>
      </c>
      <c r="Q125" s="68"/>
      <c r="S125" s="60" t="s">
        <v>9</v>
      </c>
      <c r="T125" s="120" t="n">
        <f aca="false">T121-T124</f>
        <v>-656010.38</v>
      </c>
      <c r="U125" s="121" t="n">
        <f aca="false">U121-U124</f>
        <v>35140.6275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-6681.64</v>
      </c>
      <c r="Y125" s="121" t="n">
        <f aca="false">Y121-Y124</f>
        <v>-6681.64</v>
      </c>
      <c r="Z125" s="68"/>
      <c r="AB125" s="60" t="s">
        <v>9</v>
      </c>
      <c r="AC125" s="120" t="n">
        <f aca="false">AC121-AC124</f>
        <v>-656010.38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-6681.64</v>
      </c>
      <c r="AH125" s="121" t="n">
        <f aca="false">AH121-AH124</f>
        <v>-6681.64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122</v>
      </c>
      <c r="H127" s="124" t="s">
        <v>123</v>
      </c>
      <c r="J127" s="122"/>
      <c r="K127" s="123"/>
      <c r="L127" s="123"/>
      <c r="M127" s="123"/>
      <c r="N127" s="123"/>
      <c r="O127" s="123"/>
      <c r="P127" s="16" t="s">
        <v>122</v>
      </c>
      <c r="Q127" s="124" t="s">
        <v>123</v>
      </c>
      <c r="S127" s="122"/>
      <c r="T127" s="123"/>
      <c r="U127" s="123"/>
      <c r="V127" s="123"/>
      <c r="W127" s="123"/>
      <c r="X127" s="123"/>
      <c r="Y127" s="16" t="s">
        <v>122</v>
      </c>
      <c r="Z127" s="124" t="s">
        <v>123</v>
      </c>
      <c r="AB127" s="122"/>
      <c r="AC127" s="123"/>
      <c r="AD127" s="123"/>
      <c r="AE127" s="123"/>
      <c r="AF127" s="123"/>
      <c r="AG127" s="123"/>
      <c r="AH127" s="16" t="s">
        <v>122</v>
      </c>
      <c r="AI127" s="124" t="s">
        <v>123</v>
      </c>
    </row>
    <row r="128" customFormat="false" ht="17.35" hidden="false" customHeight="false" outlineLevel="0" collapsed="false">
      <c r="A128" s="125" t="s">
        <v>124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124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124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124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125</v>
      </c>
      <c r="B130" s="129" t="s">
        <v>126</v>
      </c>
      <c r="C130" s="129"/>
      <c r="D130" s="129" t="s">
        <v>127</v>
      </c>
      <c r="E130" s="129"/>
      <c r="F130" s="129" t="s">
        <v>7</v>
      </c>
      <c r="G130" s="129"/>
      <c r="H130" s="130" t="s">
        <v>123</v>
      </c>
      <c r="J130" s="131" t="s">
        <v>125</v>
      </c>
      <c r="K130" s="129" t="s">
        <v>126</v>
      </c>
      <c r="L130" s="129"/>
      <c r="M130" s="129" t="s">
        <v>127</v>
      </c>
      <c r="N130" s="129"/>
      <c r="O130" s="129" t="s">
        <v>7</v>
      </c>
      <c r="P130" s="129"/>
      <c r="Q130" s="130" t="s">
        <v>123</v>
      </c>
      <c r="S130" s="131" t="s">
        <v>125</v>
      </c>
      <c r="T130" s="129" t="s">
        <v>126</v>
      </c>
      <c r="U130" s="129"/>
      <c r="V130" s="129" t="s">
        <v>127</v>
      </c>
      <c r="W130" s="129"/>
      <c r="X130" s="129" t="s">
        <v>7</v>
      </c>
      <c r="Y130" s="129"/>
      <c r="Z130" s="130" t="s">
        <v>123</v>
      </c>
      <c r="AB130" s="131" t="s">
        <v>125</v>
      </c>
      <c r="AC130" s="129" t="s">
        <v>126</v>
      </c>
      <c r="AD130" s="129"/>
      <c r="AE130" s="129" t="s">
        <v>127</v>
      </c>
      <c r="AF130" s="129"/>
      <c r="AG130" s="129" t="s">
        <v>7</v>
      </c>
      <c r="AH130" s="129"/>
      <c r="AI130" s="130" t="s">
        <v>123</v>
      </c>
    </row>
    <row r="131" customFormat="false" ht="17.35" hidden="false" customHeight="false" outlineLevel="0" collapsed="false">
      <c r="A131" s="7" t="s">
        <v>128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128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128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128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129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129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129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129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130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130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130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130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40517.3748</v>
      </c>
      <c r="H135" s="135" t="n">
        <f aca="false">C125+E125+G125+H128</f>
        <v>41517.3848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40517.3748</v>
      </c>
      <c r="Q135" s="135" t="n">
        <f aca="false">L125+N125+P125+Q128</f>
        <v>21947.53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40517.3748</v>
      </c>
      <c r="Z135" s="135" t="n">
        <f aca="false">U125+W125+Y125+Z128</f>
        <v>28458.9875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40517.3748</v>
      </c>
      <c r="AI135" s="135" t="n">
        <f aca="false">AD125+AF125+AH125+AI128</f>
        <v>28458.9875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50</v>
      </c>
      <c r="H136" s="12" t="n">
        <f aca="false">G136</f>
        <v>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50</v>
      </c>
      <c r="Q136" s="12" t="n">
        <f aca="false">P136</f>
        <v>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50</v>
      </c>
      <c r="Z136" s="12" t="n">
        <f aca="false">Y136</f>
        <v>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50</v>
      </c>
      <c r="AI136" s="12" t="n">
        <f aca="false">AH136</f>
        <v>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8113.47496</v>
      </c>
      <c r="H137" s="12" t="n">
        <f aca="false">(H135+H136)*20%</f>
        <v>8313.47696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8113.47496</v>
      </c>
      <c r="Q137" s="12" t="n">
        <f aca="false">(Q135+Q136)*20%</f>
        <v>4399.506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8113.47496</v>
      </c>
      <c r="Z137" s="12" t="n">
        <f aca="false">(Z135+Z136)*20%</f>
        <v>5701.7975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8113.47496</v>
      </c>
      <c r="AI137" s="12" t="n">
        <f aca="false">(AI135+AI136)*20%</f>
        <v>5701.7975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49320.84976</v>
      </c>
      <c r="H141" s="137" t="n">
        <f aca="false">(H135+H136+H139+H140+H137)-H138</f>
        <v>50520.86176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49320.84976</v>
      </c>
      <c r="Q141" s="137" t="n">
        <f aca="false">(Q135+Q136+Q139+Q140+Q137)-Q138</f>
        <v>27037.036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49320.84976</v>
      </c>
      <c r="Z141" s="137" t="n">
        <f aca="false">(Z135+Z136+Z139+Z140+Z137)-Z138</f>
        <v>34850.785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49320.84976</v>
      </c>
      <c r="AI141" s="137" t="n">
        <f aca="false">(AI135+AI136+AI139+AI140+AI137)-AI138</f>
        <v>34850.785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120</v>
      </c>
      <c r="H142" s="38" t="n">
        <f aca="false">G142</f>
        <v>120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120</v>
      </c>
      <c r="Q142" s="38" t="n">
        <f aca="false">P142</f>
        <v>120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120</v>
      </c>
      <c r="Z142" s="38" t="n">
        <f aca="false">Y142</f>
        <v>120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120</v>
      </c>
      <c r="AI142" s="38" t="n">
        <f aca="false">AH142</f>
        <v>120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n">
        <v>0</v>
      </c>
      <c r="C144" s="25"/>
      <c r="D144" s="25"/>
      <c r="E144" s="25"/>
      <c r="F144" s="25"/>
      <c r="G144" s="13" t="n">
        <f aca="false">H18</f>
        <v>0</v>
      </c>
      <c r="H144" s="38" t="n"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v>0</v>
      </c>
      <c r="I145" s="1" t="n">
        <f aca="false">(G142+G145+G146+G144)</f>
        <v>120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v>0</v>
      </c>
      <c r="I146" s="1" t="n">
        <f aca="false">(H142+H144+H145+H146)</f>
        <v>120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49176.84976</v>
      </c>
      <c r="H147" s="140" t="n">
        <f aca="false">H141-((H144*1.2)+(H145*1.2)+(H146*1.2)+(H142*1.2))</f>
        <v>50376.86176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49176.84976</v>
      </c>
      <c r="Q147" s="140" t="n">
        <f aca="false">Q141-((Q144*1.2)+(Q145*1.2)+(Q146*1.2)+(Q142*1.2))</f>
        <v>26893.036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49176.84976</v>
      </c>
      <c r="Z147" s="140" t="n">
        <f aca="false">Z141-((Z144*1.2)+(Z145*1.2)+(Z146*1.2)+(Z142*1.2))</f>
        <v>34706.785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49176.84976</v>
      </c>
      <c r="AI147" s="140" t="n">
        <f aca="false">AI141-((AI144*1.2)+(AI145*1.2)+(AI146*1.2)+(AI142*1.2))</f>
        <v>34706.785</v>
      </c>
    </row>
    <row r="148" customFormat="false" ht="17.35" hidden="false" customHeight="false" outlineLevel="0" collapsed="false">
      <c r="A148" s="18" t="s">
        <v>131</v>
      </c>
      <c r="B148" s="18"/>
      <c r="C148" s="18"/>
      <c r="D148" s="18"/>
      <c r="E148" s="18"/>
      <c r="F148" s="18"/>
      <c r="G148" s="13"/>
      <c r="H148" s="38" t="n">
        <f aca="false">((H147-G147)-(H137-G137))+((I146-I145)*0.2)</f>
        <v>1000.01</v>
      </c>
      <c r="I148" s="1" t="n">
        <f aca="false">(H148-G81)/1.2</f>
        <v>833.341666666668</v>
      </c>
      <c r="J148" s="18" t="s">
        <v>131</v>
      </c>
      <c r="K148" s="18"/>
      <c r="L148" s="18"/>
      <c r="M148" s="18"/>
      <c r="N148" s="18"/>
      <c r="O148" s="18"/>
      <c r="P148" s="13"/>
      <c r="Q148" s="38" t="n">
        <f aca="false">Q147-P147</f>
        <v>-22283.81376</v>
      </c>
      <c r="S148" s="18" t="s">
        <v>131</v>
      </c>
      <c r="T148" s="18"/>
      <c r="U148" s="18"/>
      <c r="V148" s="18"/>
      <c r="W148" s="18"/>
      <c r="X148" s="18"/>
      <c r="Y148" s="13"/>
      <c r="Z148" s="38" t="n">
        <f aca="false">Z147-Y147</f>
        <v>-14470.06476</v>
      </c>
      <c r="AB148" s="18" t="s">
        <v>131</v>
      </c>
      <c r="AC148" s="18"/>
      <c r="AD148" s="18"/>
      <c r="AE148" s="18"/>
      <c r="AF148" s="18"/>
      <c r="AG148" s="18"/>
      <c r="AH148" s="13"/>
      <c r="AI148" s="38" t="n">
        <f aca="false">AI147-AH147</f>
        <v>-14470.06476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132</v>
      </c>
      <c r="B150" s="43"/>
      <c r="C150" s="43"/>
      <c r="D150" s="43"/>
      <c r="E150" s="43"/>
      <c r="F150" s="43"/>
      <c r="G150" s="43"/>
      <c r="H150" s="43"/>
      <c r="J150" s="43" t="s">
        <v>132</v>
      </c>
      <c r="K150" s="43"/>
      <c r="L150" s="43"/>
      <c r="M150" s="43"/>
      <c r="N150" s="43"/>
      <c r="O150" s="43"/>
      <c r="P150" s="43"/>
      <c r="Q150" s="43"/>
      <c r="S150" s="43" t="s">
        <v>132</v>
      </c>
      <c r="T150" s="43"/>
      <c r="U150" s="43"/>
      <c r="V150" s="43"/>
      <c r="W150" s="43"/>
      <c r="X150" s="43"/>
      <c r="Y150" s="43"/>
      <c r="Z150" s="43"/>
      <c r="AB150" s="43" t="s">
        <v>132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133</v>
      </c>
      <c r="B152" s="14"/>
      <c r="C152" s="14"/>
      <c r="D152" s="31"/>
      <c r="E152" s="58" t="n">
        <v>2000</v>
      </c>
      <c r="F152" s="58"/>
      <c r="G152" s="58" t="n">
        <v>1000</v>
      </c>
      <c r="H152" s="58"/>
      <c r="J152" s="7" t="s">
        <v>133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133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133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134</v>
      </c>
      <c r="B153" s="14"/>
      <c r="C153" s="14"/>
      <c r="D153" s="31"/>
      <c r="E153" s="26" t="n">
        <f aca="false">G153</f>
        <v>500</v>
      </c>
      <c r="F153" s="26"/>
      <c r="G153" s="58" t="n">
        <v>500</v>
      </c>
      <c r="H153" s="58"/>
      <c r="J153" s="7" t="s">
        <v>134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134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134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135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135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135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135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136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136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136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136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137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137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137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137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138</v>
      </c>
      <c r="B158" s="14"/>
      <c r="C158" s="14"/>
      <c r="D158" s="80"/>
      <c r="E158" s="14"/>
      <c r="F158" s="80"/>
      <c r="G158" s="144" t="n">
        <f aca="false">H147-G154-G157</f>
        <v>47876.86176</v>
      </c>
      <c r="H158" s="144"/>
      <c r="J158" s="143" t="s">
        <v>138</v>
      </c>
      <c r="K158" s="14"/>
      <c r="L158" s="14"/>
      <c r="M158" s="80"/>
      <c r="N158" s="14"/>
      <c r="O158" s="80"/>
      <c r="P158" s="144" t="n">
        <f aca="false">Q147-P154-P157</f>
        <v>27893.036</v>
      </c>
      <c r="Q158" s="144"/>
      <c r="S158" s="143" t="s">
        <v>138</v>
      </c>
      <c r="T158" s="14"/>
      <c r="U158" s="14"/>
      <c r="V158" s="80"/>
      <c r="W158" s="14"/>
      <c r="X158" s="80"/>
      <c r="Y158" s="144" t="n">
        <f aca="false">Z147-Y154-Y157</f>
        <v>35706.785</v>
      </c>
      <c r="Z158" s="144"/>
      <c r="AB158" s="143" t="s">
        <v>138</v>
      </c>
      <c r="AC158" s="14"/>
      <c r="AD158" s="14"/>
      <c r="AE158" s="80"/>
      <c r="AF158" s="14"/>
      <c r="AG158" s="80"/>
      <c r="AH158" s="144" t="n">
        <f aca="false">AI147-AH154-AH157</f>
        <v>35706.785</v>
      </c>
      <c r="AI158" s="144"/>
    </row>
    <row r="159" customFormat="false" ht="17.35" hidden="false" customHeight="false" outlineLevel="0" collapsed="false">
      <c r="A159" s="60" t="s">
        <v>139</v>
      </c>
      <c r="B159" s="61"/>
      <c r="C159" s="61"/>
      <c r="D159" s="99"/>
      <c r="E159" s="61"/>
      <c r="F159" s="99"/>
      <c r="G159" s="145" t="str">
        <f aca="false">B114</f>
        <v>199.99</v>
      </c>
      <c r="H159" s="145"/>
      <c r="J159" s="60" t="s">
        <v>139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139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139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140</v>
      </c>
      <c r="B162" s="43"/>
      <c r="C162" s="43"/>
      <c r="D162" s="43"/>
      <c r="E162" s="43"/>
      <c r="F162" s="43"/>
      <c r="G162" s="43"/>
      <c r="H162" s="43"/>
      <c r="J162" s="43" t="s">
        <v>140</v>
      </c>
      <c r="K162" s="43"/>
      <c r="L162" s="43"/>
      <c r="M162" s="43"/>
      <c r="N162" s="43"/>
      <c r="O162" s="43"/>
      <c r="P162" s="43"/>
      <c r="Q162" s="43"/>
      <c r="S162" s="43" t="s">
        <v>140</v>
      </c>
      <c r="T162" s="43"/>
      <c r="U162" s="43"/>
      <c r="V162" s="43"/>
      <c r="W162" s="43"/>
      <c r="X162" s="43"/>
      <c r="Y162" s="43"/>
      <c r="Z162" s="43"/>
      <c r="AB162" s="43" t="s">
        <v>140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141</v>
      </c>
      <c r="B166" s="148" t="s">
        <v>142</v>
      </c>
      <c r="C166" s="148"/>
      <c r="D166" s="148"/>
      <c r="E166" s="148" t="s">
        <v>143</v>
      </c>
      <c r="F166" s="31"/>
      <c r="G166" s="31"/>
      <c r="H166" s="12"/>
      <c r="J166" s="147" t="s">
        <v>141</v>
      </c>
      <c r="K166" s="148" t="s">
        <v>142</v>
      </c>
      <c r="L166" s="148"/>
      <c r="M166" s="148"/>
      <c r="N166" s="148" t="s">
        <v>143</v>
      </c>
      <c r="O166" s="31"/>
      <c r="P166" s="31"/>
      <c r="Q166" s="12"/>
      <c r="S166" s="147" t="s">
        <v>141</v>
      </c>
      <c r="T166" s="148" t="s">
        <v>142</v>
      </c>
      <c r="U166" s="148"/>
      <c r="V166" s="148"/>
      <c r="W166" s="148" t="s">
        <v>143</v>
      </c>
      <c r="X166" s="31"/>
      <c r="Y166" s="31"/>
      <c r="Z166" s="12"/>
      <c r="AB166" s="147" t="s">
        <v>141</v>
      </c>
      <c r="AC166" s="148" t="s">
        <v>142</v>
      </c>
      <c r="AD166" s="148"/>
      <c r="AE166" s="148"/>
      <c r="AF166" s="148" t="s">
        <v>143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1520.24413268187</v>
      </c>
      <c r="B167" s="150" t="n">
        <f aca="false">B94</f>
        <v>28.6111111111111</v>
      </c>
      <c r="C167" s="148"/>
      <c r="D167" s="148"/>
      <c r="E167" s="150" t="n">
        <f aca="false">B96</f>
        <v>1548.85524379298</v>
      </c>
      <c r="F167" s="31"/>
      <c r="G167" s="31"/>
      <c r="H167" s="12"/>
      <c r="J167" s="149" t="n">
        <f aca="false">K95</f>
        <v>1094.32336989308</v>
      </c>
      <c r="K167" s="150" t="n">
        <f aca="false">K94</f>
        <v>44.6333333333333</v>
      </c>
      <c r="L167" s="148"/>
      <c r="M167" s="148"/>
      <c r="N167" s="150" t="n">
        <f aca="false">K96</f>
        <v>1138.95670322641</v>
      </c>
      <c r="O167" s="31"/>
      <c r="P167" s="31"/>
      <c r="Q167" s="12"/>
      <c r="S167" s="149" t="n">
        <f aca="false">T95</f>
        <v>590.603614860565</v>
      </c>
      <c r="T167" s="150" t="n">
        <f aca="false">T94</f>
        <v>35.3142857142857</v>
      </c>
      <c r="U167" s="148"/>
      <c r="V167" s="148"/>
      <c r="W167" s="150" t="n">
        <f aca="false">T96</f>
        <v>625.91790057485</v>
      </c>
      <c r="X167" s="31"/>
      <c r="Y167" s="31"/>
      <c r="Z167" s="12"/>
      <c r="AB167" s="149" t="n">
        <f aca="false">AC95</f>
        <v>590.603614860565</v>
      </c>
      <c r="AC167" s="150" t="n">
        <f aca="false">AC94</f>
        <v>42.3771428571428</v>
      </c>
      <c r="AD167" s="148"/>
      <c r="AE167" s="148"/>
      <c r="AF167" s="150" t="n">
        <f aca="false">AC96</f>
        <v>632.980757717708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39</v>
      </c>
      <c r="B169" s="14" t="s">
        <v>40</v>
      </c>
      <c r="C169" s="14"/>
      <c r="D169" s="31"/>
      <c r="E169" s="14" t="s">
        <v>144</v>
      </c>
      <c r="F169" s="31"/>
      <c r="G169" s="31"/>
      <c r="H169" s="12"/>
      <c r="J169" s="7" t="s">
        <v>39</v>
      </c>
      <c r="K169" s="14" t="s">
        <v>40</v>
      </c>
      <c r="L169" s="14"/>
      <c r="M169" s="31"/>
      <c r="N169" s="14" t="s">
        <v>144</v>
      </c>
      <c r="O169" s="31"/>
      <c r="P169" s="31"/>
      <c r="Q169" s="12"/>
      <c r="S169" s="7" t="s">
        <v>39</v>
      </c>
      <c r="T169" s="14" t="s">
        <v>40</v>
      </c>
      <c r="U169" s="14"/>
      <c r="V169" s="31"/>
      <c r="W169" s="14" t="s">
        <v>144</v>
      </c>
      <c r="X169" s="31"/>
      <c r="Y169" s="31"/>
      <c r="Z169" s="12"/>
      <c r="AB169" s="7" t="s">
        <v>39</v>
      </c>
      <c r="AC169" s="14" t="s">
        <v>40</v>
      </c>
      <c r="AD169" s="14"/>
      <c r="AE169" s="31"/>
      <c r="AF169" s="14" t="s">
        <v>144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K29</f>
        <v>36</v>
      </c>
      <c r="B170" s="304" t="n">
        <f aca="false">K30</f>
        <v>10000</v>
      </c>
      <c r="C170" s="152"/>
      <c r="D170" s="31"/>
      <c r="E170" s="59" t="n">
        <f aca="false">IF(A111="YES", A40, 0)</f>
        <v>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145</v>
      </c>
      <c r="B172" s="14" t="s">
        <v>146</v>
      </c>
      <c r="C172" s="14"/>
      <c r="D172" s="31"/>
      <c r="E172" s="14" t="s">
        <v>147</v>
      </c>
      <c r="F172" s="31"/>
      <c r="G172" s="31"/>
      <c r="H172" s="12"/>
      <c r="J172" s="7" t="s">
        <v>145</v>
      </c>
      <c r="K172" s="14" t="s">
        <v>146</v>
      </c>
      <c r="L172" s="14"/>
      <c r="M172" s="31"/>
      <c r="N172" s="14" t="s">
        <v>147</v>
      </c>
      <c r="O172" s="31"/>
      <c r="P172" s="31"/>
      <c r="Q172" s="12"/>
      <c r="S172" s="7" t="s">
        <v>145</v>
      </c>
      <c r="T172" s="14" t="s">
        <v>146</v>
      </c>
      <c r="U172" s="14"/>
      <c r="V172" s="31"/>
      <c r="W172" s="14" t="s">
        <v>147</v>
      </c>
      <c r="X172" s="31"/>
      <c r="Y172" s="31"/>
      <c r="Z172" s="12"/>
      <c r="AB172" s="7" t="s">
        <v>145</v>
      </c>
      <c r="AC172" s="14" t="s">
        <v>146</v>
      </c>
      <c r="AD172" s="14"/>
      <c r="AE172" s="31"/>
      <c r="AF172" s="14" t="s">
        <v>147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41567.3848</v>
      </c>
      <c r="B173" s="23" t="n">
        <f aca="false">H137</f>
        <v>8313.47696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21997.53</v>
      </c>
      <c r="K173" s="23" t="n">
        <f aca="false">Q137</f>
        <v>4399.506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28508.9875</v>
      </c>
      <c r="T173" s="23" t="n">
        <f aca="false">Z137</f>
        <v>5701.7975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28508.9875</v>
      </c>
      <c r="AC173" s="23" t="n">
        <f aca="false">AI137</f>
        <v>5701.7975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148</v>
      </c>
      <c r="B175" s="14" t="s">
        <v>115</v>
      </c>
      <c r="C175" s="14"/>
      <c r="D175" s="31"/>
      <c r="E175" s="14" t="s">
        <v>116</v>
      </c>
      <c r="F175" s="31"/>
      <c r="G175" s="31"/>
      <c r="H175" s="12"/>
      <c r="J175" s="7" t="s">
        <v>148</v>
      </c>
      <c r="K175" s="14" t="s">
        <v>115</v>
      </c>
      <c r="L175" s="14"/>
      <c r="M175" s="31"/>
      <c r="N175" s="14" t="s">
        <v>116</v>
      </c>
      <c r="O175" s="31"/>
      <c r="P175" s="31"/>
      <c r="Q175" s="12"/>
      <c r="S175" s="7" t="s">
        <v>148</v>
      </c>
      <c r="T175" s="14" t="s">
        <v>115</v>
      </c>
      <c r="U175" s="14"/>
      <c r="V175" s="31"/>
      <c r="W175" s="14" t="s">
        <v>116</v>
      </c>
      <c r="X175" s="31"/>
      <c r="Y175" s="31"/>
      <c r="Z175" s="12"/>
      <c r="AB175" s="7" t="s">
        <v>148</v>
      </c>
      <c r="AC175" s="14" t="s">
        <v>115</v>
      </c>
      <c r="AD175" s="14"/>
      <c r="AE175" s="31"/>
      <c r="AF175" s="14" t="s">
        <v>116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H147</f>
        <v>50376.86176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27037.036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34850.785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34850.785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117</v>
      </c>
      <c r="B178" s="14" t="s">
        <v>133</v>
      </c>
      <c r="C178" s="14"/>
      <c r="D178" s="31"/>
      <c r="E178" s="14" t="s">
        <v>138</v>
      </c>
      <c r="F178" s="31"/>
      <c r="G178" s="31"/>
      <c r="H178" s="12"/>
      <c r="J178" s="7" t="s">
        <v>117</v>
      </c>
      <c r="K178" s="14" t="s">
        <v>133</v>
      </c>
      <c r="L178" s="14"/>
      <c r="M178" s="31"/>
      <c r="N178" s="14" t="s">
        <v>138</v>
      </c>
      <c r="O178" s="31"/>
      <c r="P178" s="31"/>
      <c r="Q178" s="12"/>
      <c r="S178" s="7" t="s">
        <v>117</v>
      </c>
      <c r="T178" s="14" t="s">
        <v>133</v>
      </c>
      <c r="U178" s="14"/>
      <c r="V178" s="31"/>
      <c r="W178" s="14" t="s">
        <v>138</v>
      </c>
      <c r="X178" s="31"/>
      <c r="Y178" s="31"/>
      <c r="Z178" s="12"/>
      <c r="AB178" s="7" t="s">
        <v>117</v>
      </c>
      <c r="AC178" s="14" t="s">
        <v>133</v>
      </c>
      <c r="AD178" s="14"/>
      <c r="AE178" s="31"/>
      <c r="AF178" s="14" t="s">
        <v>138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47876.86176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28037.036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35850.785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35850.785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149</v>
      </c>
      <c r="B181" s="14" t="s">
        <v>139</v>
      </c>
      <c r="C181" s="14"/>
      <c r="D181" s="31"/>
      <c r="E181" s="14" t="s">
        <v>150</v>
      </c>
      <c r="F181" s="31"/>
      <c r="G181" s="31"/>
      <c r="H181" s="12"/>
      <c r="J181" s="7" t="s">
        <v>149</v>
      </c>
      <c r="K181" s="14" t="s">
        <v>139</v>
      </c>
      <c r="L181" s="14"/>
      <c r="M181" s="31"/>
      <c r="N181" s="14" t="s">
        <v>150</v>
      </c>
      <c r="O181" s="31"/>
      <c r="P181" s="31"/>
      <c r="Q181" s="12"/>
      <c r="S181" s="7" t="s">
        <v>149</v>
      </c>
      <c r="T181" s="14" t="s">
        <v>139</v>
      </c>
      <c r="U181" s="14"/>
      <c r="V181" s="31"/>
      <c r="W181" s="14" t="s">
        <v>150</v>
      </c>
      <c r="X181" s="31"/>
      <c r="Y181" s="31"/>
      <c r="Z181" s="12"/>
      <c r="AB181" s="7" t="s">
        <v>149</v>
      </c>
      <c r="AC181" s="14" t="s">
        <v>139</v>
      </c>
      <c r="AD181" s="14"/>
      <c r="AE181" s="31"/>
      <c r="AF181" s="14" t="s">
        <v>150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5331.68288386537</v>
      </c>
      <c r="B182" s="23" t="str">
        <f aca="false">B114</f>
        <v>199.99</v>
      </c>
      <c r="C182" s="23"/>
      <c r="D182" s="31"/>
      <c r="E182" s="23" t="n">
        <f aca="false">E179+A182+B182+A185</f>
        <v>53418.5346438654</v>
      </c>
      <c r="F182" s="31"/>
      <c r="G182" s="31"/>
      <c r="H182" s="153"/>
      <c r="J182" s="22" t="n">
        <f aca="false">(J167*K59)+N185-N179-J185</f>
        <v>10264.2819462577</v>
      </c>
      <c r="K182" s="23" t="n">
        <f aca="false">K114</f>
        <v>239.99</v>
      </c>
      <c r="L182" s="23"/>
      <c r="M182" s="31"/>
      <c r="N182" s="23" t="n">
        <f aca="false">N179+J182+K182+J185</f>
        <v>38561.3079462577</v>
      </c>
      <c r="O182" s="31"/>
      <c r="P182" s="31"/>
      <c r="Q182" s="153"/>
      <c r="S182" s="22" t="n">
        <f aca="false">(S167*T59)+W185-W179-S185</f>
        <v>-15179.6584798802</v>
      </c>
      <c r="T182" s="23" t="n">
        <f aca="false">T114</f>
        <v>199.99</v>
      </c>
      <c r="U182" s="23"/>
      <c r="V182" s="31"/>
      <c r="W182" s="23" t="n">
        <f aca="false">W179+S182+T182+S185</f>
        <v>20881.1165201198</v>
      </c>
      <c r="X182" s="31"/>
      <c r="Y182" s="31"/>
      <c r="Z182" s="153"/>
      <c r="AB182" s="22" t="n">
        <f aca="false">(AB167*AC59)+AF185-AF179-AB185</f>
        <v>-15179.6584798802</v>
      </c>
      <c r="AC182" s="23" t="n">
        <f aca="false">AC114</f>
        <v>239.99</v>
      </c>
      <c r="AD182" s="23"/>
      <c r="AE182" s="31"/>
      <c r="AF182" s="23" t="n">
        <f aca="false">AF179+AB182+AC182+AB185</f>
        <v>20921.1165201198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151</v>
      </c>
      <c r="B184" s="14" t="s">
        <v>152</v>
      </c>
      <c r="C184" s="14"/>
      <c r="D184" s="31"/>
      <c r="E184" s="14" t="s">
        <v>153</v>
      </c>
      <c r="F184" s="31"/>
      <c r="G184" s="31"/>
      <c r="H184" s="12"/>
      <c r="J184" s="7" t="s">
        <v>151</v>
      </c>
      <c r="K184" s="14" t="s">
        <v>152</v>
      </c>
      <c r="L184" s="14"/>
      <c r="M184" s="31"/>
      <c r="N184" s="14" t="s">
        <v>153</v>
      </c>
      <c r="O184" s="31"/>
      <c r="P184" s="31"/>
      <c r="Q184" s="12"/>
      <c r="S184" s="7" t="s">
        <v>151</v>
      </c>
      <c r="T184" s="14" t="s">
        <v>152</v>
      </c>
      <c r="U184" s="14"/>
      <c r="V184" s="31"/>
      <c r="W184" s="14" t="s">
        <v>153</v>
      </c>
      <c r="X184" s="31"/>
      <c r="Y184" s="31"/>
      <c r="Z184" s="12"/>
      <c r="AB184" s="7" t="s">
        <v>151</v>
      </c>
      <c r="AC184" s="14" t="s">
        <v>152</v>
      </c>
      <c r="AD184" s="14"/>
      <c r="AE184" s="31"/>
      <c r="AF184" s="14" t="s">
        <v>153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2199.99</v>
      </c>
      <c r="C185" s="23"/>
      <c r="D185" s="31"/>
      <c r="E185" s="23" t="n">
        <f aca="false">E170+A185</f>
        <v>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154</v>
      </c>
      <c r="B187" s="14" t="s">
        <v>155</v>
      </c>
      <c r="C187" s="14"/>
      <c r="D187" s="14"/>
      <c r="E187" s="26" t="s">
        <v>156</v>
      </c>
      <c r="F187" s="31"/>
      <c r="G187" s="31"/>
      <c r="H187" s="12"/>
      <c r="J187" s="7" t="s">
        <v>154</v>
      </c>
      <c r="K187" s="14" t="s">
        <v>155</v>
      </c>
      <c r="L187" s="14"/>
      <c r="M187" s="14"/>
      <c r="N187" s="26" t="s">
        <v>156</v>
      </c>
      <c r="O187" s="31"/>
      <c r="P187" s="31"/>
      <c r="Q187" s="12"/>
      <c r="S187" s="7" t="s">
        <v>154</v>
      </c>
      <c r="T187" s="14" t="s">
        <v>155</v>
      </c>
      <c r="U187" s="14"/>
      <c r="V187" s="14"/>
      <c r="W187" s="26" t="s">
        <v>156</v>
      </c>
      <c r="X187" s="154"/>
      <c r="Y187" s="154"/>
      <c r="Z187" s="12"/>
      <c r="AB187" s="7" t="s">
        <v>154</v>
      </c>
      <c r="AC187" s="14" t="s">
        <v>155</v>
      </c>
      <c r="AD187" s="14"/>
      <c r="AE187" s="14"/>
      <c r="AF187" s="26" t="s">
        <v>156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0.09864169952</v>
      </c>
      <c r="B188" s="23" t="n">
        <f aca="false">(G158*B67)</f>
        <v>957.5372352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0.09864169952</v>
      </c>
      <c r="K188" s="23" t="n">
        <f aca="false">(P158*K67)/1.2</f>
        <v>1743.31475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297.556541666667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297.556541666667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157</v>
      </c>
      <c r="B190" s="26" t="s">
        <v>158</v>
      </c>
      <c r="C190" s="14"/>
      <c r="D190" s="14"/>
      <c r="E190" s="26" t="s">
        <v>159</v>
      </c>
      <c r="F190" s="31"/>
      <c r="G190" s="31"/>
      <c r="H190" s="12"/>
      <c r="J190" s="64" t="s">
        <v>157</v>
      </c>
      <c r="K190" s="26" t="s">
        <v>158</v>
      </c>
      <c r="L190" s="14"/>
      <c r="M190" s="14"/>
      <c r="N190" s="26" t="s">
        <v>159</v>
      </c>
      <c r="O190" s="31"/>
      <c r="P190" s="31"/>
      <c r="Q190" s="12"/>
      <c r="S190" s="64" t="s">
        <v>157</v>
      </c>
      <c r="T190" s="26" t="s">
        <v>158</v>
      </c>
      <c r="U190" s="14"/>
      <c r="V190" s="14"/>
      <c r="W190" s="26" t="s">
        <v>159</v>
      </c>
      <c r="X190" s="154"/>
      <c r="Y190" s="154"/>
      <c r="Z190" s="12"/>
      <c r="AB190" s="64" t="s">
        <v>157</v>
      </c>
      <c r="AC190" s="26" t="s">
        <v>158</v>
      </c>
      <c r="AD190" s="14"/>
      <c r="AE190" s="14"/>
      <c r="AF190" s="26" t="s">
        <v>159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2099.99</v>
      </c>
      <c r="B191" s="23" t="n">
        <f aca="false">B188+E188+A191</f>
        <v>3057.5272352</v>
      </c>
      <c r="C191" s="14"/>
      <c r="D191" s="14"/>
      <c r="E191" s="23" t="n">
        <f aca="false">H148</f>
        <v>1000.01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2914.20475</v>
      </c>
      <c r="L191" s="14"/>
      <c r="M191" s="14"/>
      <c r="N191" s="23" t="n">
        <f aca="false">Q148</f>
        <v>-22283.81376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1418.14654166667</v>
      </c>
      <c r="U191" s="14"/>
      <c r="V191" s="14"/>
      <c r="W191" s="23" t="n">
        <f aca="false">Z148</f>
        <v>-14470.06476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1458.14654166667</v>
      </c>
      <c r="AD191" s="14"/>
      <c r="AE191" s="14"/>
      <c r="AF191" s="23" t="n">
        <f aca="false">AI148</f>
        <v>-14470.06476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160</v>
      </c>
      <c r="B193" s="14"/>
      <c r="C193" s="14"/>
      <c r="D193" s="70"/>
      <c r="E193" s="70"/>
      <c r="F193" s="70"/>
      <c r="G193" s="70"/>
      <c r="H193" s="71"/>
      <c r="J193" s="69" t="s">
        <v>160</v>
      </c>
      <c r="K193" s="14"/>
      <c r="L193" s="14"/>
      <c r="M193" s="70"/>
      <c r="N193" s="70"/>
      <c r="O193" s="70"/>
      <c r="P193" s="70"/>
      <c r="Q193" s="71"/>
      <c r="S193" s="69" t="s">
        <v>160</v>
      </c>
      <c r="T193" s="14"/>
      <c r="U193" s="14"/>
      <c r="V193" s="70"/>
      <c r="W193" s="70"/>
      <c r="X193" s="70"/>
      <c r="Y193" s="70"/>
      <c r="Z193" s="71"/>
      <c r="AB193" s="69" t="s">
        <v>160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39</v>
      </c>
      <c r="B195" s="75" t="s">
        <v>40</v>
      </c>
      <c r="C195" s="75"/>
      <c r="D195" s="75"/>
      <c r="E195" s="31"/>
      <c r="F195" s="31"/>
      <c r="G195" s="31"/>
      <c r="H195" s="12"/>
      <c r="J195" s="74" t="s">
        <v>39</v>
      </c>
      <c r="K195" s="75" t="s">
        <v>40</v>
      </c>
      <c r="L195" s="75"/>
      <c r="M195" s="75"/>
      <c r="N195" s="31"/>
      <c r="O195" s="31"/>
      <c r="P195" s="31"/>
      <c r="Q195" s="12"/>
      <c r="S195" s="74" t="s">
        <v>39</v>
      </c>
      <c r="T195" s="75" t="s">
        <v>40</v>
      </c>
      <c r="U195" s="75"/>
      <c r="V195" s="75"/>
      <c r="W195" s="31"/>
      <c r="X195" s="31"/>
      <c r="Y195" s="31"/>
      <c r="Z195" s="12"/>
      <c r="AB195" s="74" t="s">
        <v>39</v>
      </c>
      <c r="AC195" s="75" t="s">
        <v>40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K30</f>
        <v>10000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K29</f>
        <v>36</v>
      </c>
      <c r="B197" s="78" t="n">
        <f aca="false">B96</f>
        <v>1548.85524379298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1138.95670322641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625.91790057485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632.980757717708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1620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2022-11-18T16:40:03Z</dcterms:modified>
  <cp:revision>162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