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<sst xmlns="http://schemas.openxmlformats.org/spreadsheetml/2006/main" count="11108" uniqueCount="370">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</sst>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8" activeCellId="0" sqref="A158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44966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-167.958333333333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2567.74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-45.844463157187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72</v>
      </c>
      <c r="C134" s="125"/>
      <c r="D134" s="120" t="n">
        <f aca="false">B97</f>
        <v>-45.844463157187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-412.600168414683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72</v>
      </c>
      <c r="C143" s="13"/>
      <c r="D143" s="136" t="n">
        <f aca="false">B97</f>
        <v>-45.844463157187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12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690.841666666667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-45.844463157187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72</v>
      </c>
      <c r="C177" s="162"/>
      <c r="D177" s="160" t="n">
        <f aca="false">A177+B177</f>
        <v>-45.844463157187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-412.600168414683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72</v>
      </c>
      <c r="C186" s="31"/>
      <c r="D186" s="164" t="n">
        <f aca="false">B97</f>
        <v>-45.844463157187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12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690.841666666667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694.62</v>
      </c>
      <c r="C211" s="119" t="s">
        <v>199</v>
      </c>
      <c r="D211" s="173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B73*1.2</f>
        <v>694.62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9" colorId="64" zoomScale="75" zoomScaleNormal="75" zoomScalePageLayoutView="100" workbookViewId="0">
      <selection pane="topLeft" activeCell="D154" activeCellId="0" sqref="D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334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8" colorId="64" zoomScale="75" zoomScaleNormal="75" zoomScalePageLayoutView="100" workbookViewId="0">
      <selection pane="topLeft" activeCell="D154" activeCellId="0" sqref="D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334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334</v>
      </c>
      <c r="H32" s="432" t="n">
        <f aca="false">A41</f>
        <v>14.2424242424242</v>
      </c>
      <c r="I32" s="0"/>
      <c r="J32" s="435" t="s">
        <v>335</v>
      </c>
      <c r="K32" s="336" t="s">
        <v>336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0"/>
      <c r="J34" s="435" t="s">
        <v>339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340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471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="YES" , (H36*A108)*0.1 , 0)</f>
        <v>0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557.2165625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351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557.2165625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</v>
      </c>
      <c r="C255" s="319"/>
      <c r="D255" s="320" t="s">
        <v>200</v>
      </c>
      <c r="E255" s="320"/>
      <c r="F255" s="321" t="n">
        <f aca="false">(B254-F254)+B255</f>
        <v>-448.681875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-448.681875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9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60</v>
      </c>
      <c r="E32" s="433"/>
      <c r="F32" s="171"/>
      <c r="G32" s="434" t="s">
        <v>334</v>
      </c>
      <c r="H32" s="432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345</v>
      </c>
      <c r="H44" s="36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561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355</v>
      </c>
      <c r="C47" s="472"/>
      <c r="D47" s="45" t="s">
        <v>355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76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78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645.899522656985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4" t="n">
        <v>30</v>
      </c>
      <c r="C111" s="114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5111.09570391287</v>
      </c>
      <c r="C137" s="13"/>
      <c r="D137" s="136" t="n">
        <f aca="false">IF(A111="YES", B95*B63, 0)</f>
        <v>702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5813.09570391287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21.6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700.44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5111.09570391287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5813.09570391287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21.6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700.44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315.99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3789.09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3789.09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216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72" colorId="64" zoomScale="75" zoomScaleNormal="75" zoomScalePageLayoutView="100" workbookViewId="0">
      <selection pane="topLeft" activeCell="D198" activeCellId="0" sqref="D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334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1"/>
      <c r="G44" s="171" t="s">
        <v>345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355</v>
      </c>
      <c r="C47" s="472"/>
      <c r="D47" s="45" t="s">
        <v>355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77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78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828.995946282103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696.841666666667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696.841666666667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9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334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1"/>
      <c r="G44" s="171" t="s">
        <v>345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355</v>
      </c>
      <c r="C47" s="472"/>
      <c r="D47" s="45" t="s">
        <v>355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65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636.541224059881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696.84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696.84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L8" activeCellId="0" sqref="L8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K10" s="193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27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27500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/>
      <c r="J32" s="33" t="s">
        <v>46</v>
      </c>
      <c r="K32" s="358" t="n">
        <v>1030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951.531975672137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43933.392151445</v>
      </c>
      <c r="N39" s="193" t="n">
        <f aca="false">K39-L39</f>
        <v>4944.10784855496</v>
      </c>
      <c r="P39" s="430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307"/>
      <c r="G40" s="307"/>
      <c r="H40" s="223"/>
      <c r="J40" s="53" t="s">
        <v>239</v>
      </c>
      <c r="K40" s="53" t="n">
        <f aca="false">(A40)/1.2</f>
        <v>22916.6666666667</v>
      </c>
      <c r="L40" s="53" t="n">
        <f aca="false">K39-L39</f>
        <v>4944.10784855496</v>
      </c>
      <c r="N40" s="193" t="n">
        <f aca="false">N38-N39</f>
        <v>-2032.42784855496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(K32/K36)*C45/100</f>
        <v>28.6111111111111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357</v>
      </c>
      <c r="K44" s="53" t="n">
        <f aca="false">(K40/(1+K41)^(K36+1))</f>
        <v>18764.9097705681</v>
      </c>
      <c r="L44" s="53"/>
      <c r="P44" s="430"/>
    </row>
    <row r="45" customFormat="false" ht="17.35" hidden="false" customHeight="false" outlineLevel="0" collapsed="false">
      <c r="A45" s="474" t="s">
        <v>323</v>
      </c>
      <c r="B45" s="297"/>
      <c r="C45" s="230" t="s">
        <v>323</v>
      </c>
      <c r="D45" s="230"/>
      <c r="E45" s="230"/>
      <c r="F45" s="297"/>
      <c r="G45" s="297"/>
      <c r="H45" s="11"/>
      <c r="J45" s="53" t="s">
        <v>358</v>
      </c>
      <c r="K45" s="53" t="n">
        <f aca="false">(K39-K44)</f>
        <v>30112.5902294319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922.920864561026</v>
      </c>
      <c r="L47" s="53" t="n">
        <f aca="false">L49-K42</f>
        <v>771.388888888889</v>
      </c>
      <c r="M47" s="193" t="n">
        <f aca="false">K47-L47</f>
        <v>151.531975672137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951.531975672137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328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951.531975672137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11348.9267337287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18480.8061357562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-756.0974340266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-756.0974340266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297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922.920864561026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922.920864561026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951.531975672137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951.531975672137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45468.749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27500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27500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27500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19508.0781399797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18602.8658097623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18602.8658097623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29.6156943349079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37716.9218600203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26865.8831902377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26865.8831902377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1273.54508165502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927.687248290581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927.687248290581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44574.0778579256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32469.0536901703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32469.0536901703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44574.0778579256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32469.0536901703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32469.0536901703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454" t="n">
        <f aca="false">IF(B26="YES",((E40/B85)*(1+A108)),"0")</f>
        <v>38.2571428571429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44.6333333333333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35.3142857142857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42.3771428571428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1273.54508165502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927.687248290581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927.687248290581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1311.80222451216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1521.94639790342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963.001534004866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970.064391147723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75" t="s">
        <v>27</v>
      </c>
      <c r="F105" s="475"/>
      <c r="G105" s="47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0.3</v>
      </c>
      <c r="B108" s="113" t="s">
        <v>360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(U121*U122)+U123</f>
        <v>11713.5425</v>
      </c>
      <c r="V124" s="460" t="n">
        <f aca="false">(V121*V122)+V123</f>
        <v>0</v>
      </c>
      <c r="W124" s="404" t="n">
        <f aca="false">(W121*W122)+W123</f>
        <v>0</v>
      </c>
      <c r="X124" s="460" t="n">
        <f aca="false">(X121*X122)+X123</f>
        <v>0</v>
      </c>
      <c r="Y124" s="404" t="n">
        <f aca="false">(Y121*Y122)+Y123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35140.6275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35973.9575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7304.7915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44468.749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44468.749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-14056.251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45468.749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464" t="n">
        <f aca="false">B95</f>
        <v>1273.54508165502</v>
      </c>
      <c r="B167" s="302" t="n">
        <f aca="false">B94</f>
        <v>38.2571428571429</v>
      </c>
      <c r="C167" s="299"/>
      <c r="D167" s="299"/>
      <c r="E167" s="302" t="n">
        <f aca="false">B96</f>
        <v>1311.80222451216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44.6333333333333</v>
      </c>
      <c r="L167" s="299"/>
      <c r="M167" s="299"/>
      <c r="N167" s="302" t="n">
        <f aca="false">K96</f>
        <v>1521.94639790342</v>
      </c>
      <c r="O167" s="213"/>
      <c r="P167" s="213"/>
      <c r="Q167" s="11"/>
      <c r="S167" s="301" t="n">
        <f aca="false">T95</f>
        <v>927.687248290581</v>
      </c>
      <c r="T167" s="302" t="n">
        <f aca="false">T94</f>
        <v>35.3142857142857</v>
      </c>
      <c r="U167" s="299"/>
      <c r="V167" s="299"/>
      <c r="W167" s="302" t="n">
        <f aca="false">T96</f>
        <v>963.001534004866</v>
      </c>
      <c r="X167" s="213"/>
      <c r="Y167" s="213"/>
      <c r="Z167" s="11"/>
      <c r="AB167" s="301" t="n">
        <f aca="false">AC95</f>
        <v>927.687248290581</v>
      </c>
      <c r="AC167" s="302" t="n">
        <f aca="false">AC94</f>
        <v>42.3771428571428</v>
      </c>
      <c r="AD167" s="299"/>
      <c r="AE167" s="299"/>
      <c r="AF167" s="302" t="n">
        <f aca="false">AC96</f>
        <v>970.064391147723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36</v>
      </c>
      <c r="B170" s="126" t="n">
        <f aca="false">K30</f>
        <v>10000</v>
      </c>
      <c r="C170" s="305"/>
      <c r="D170" s="213"/>
      <c r="E170" s="63" t="n">
        <f aca="false">IF(A111="YES", A40, 0)</f>
        <v>27500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27500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27500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27500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36523.9575</v>
      </c>
      <c r="T173" s="164" t="n">
        <f aca="false">Z137</f>
        <v>7304.7915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44468.749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45468.749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14849.0778579256</v>
      </c>
      <c r="B182" s="164" t="str">
        <f aca="false">B114</f>
        <v>199.99</v>
      </c>
      <c r="C182" s="164"/>
      <c r="D182" s="213"/>
      <c r="E182" s="164" t="n">
        <f aca="false">E179+A182+B182+A185</f>
        <v>72284.0678579257</v>
      </c>
      <c r="F182" s="213"/>
      <c r="G182" s="213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213"/>
      <c r="N182" s="164" t="n">
        <f aca="false">N179+J182+K182+J185</f>
        <v>79465.9472599531</v>
      </c>
      <c r="O182" s="213"/>
      <c r="P182" s="213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213"/>
      <c r="W182" s="164" t="n">
        <f aca="false">W179+S182+T182+S185</f>
        <v>60179.0436901703</v>
      </c>
      <c r="X182" s="213"/>
      <c r="Y182" s="213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213"/>
      <c r="AF182" s="164" t="n">
        <f aca="false">AF179+AB182+AC182+AB185</f>
        <v>60219.0436901703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213"/>
      <c r="E185" s="164" t="n">
        <f aca="false">E170+A185</f>
        <v>27510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27520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27510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27510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297"/>
      <c r="D188" s="297"/>
      <c r="E188" s="164" t="n">
        <f aca="false">(E40*A108)*0.1</f>
        <v>30.9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30.9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297"/>
      <c r="V188" s="297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607.765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3524.3275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1499.49624166667</v>
      </c>
      <c r="U191" s="297"/>
      <c r="V191" s="297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36</v>
      </c>
      <c r="B197" s="71" t="n">
        <f aca="false">B96</f>
        <v>1311.80222451216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1521.94639790342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963.001534004866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970.064391147723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351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1273.54508165502</v>
      </c>
      <c r="B212" s="302" t="n">
        <f aca="false">B167</f>
        <v>38.2571428571429</v>
      </c>
      <c r="C212" s="299"/>
      <c r="D212" s="299"/>
      <c r="E212" s="302" t="n">
        <f aca="false">E167</f>
        <v>1311.80222451216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14849.0778579256</v>
      </c>
      <c r="B224" s="164" t="str">
        <f aca="false">B182</f>
        <v>199.99</v>
      </c>
      <c r="C224" s="164"/>
      <c r="D224" s="312"/>
      <c r="E224" s="164" t="n">
        <f aca="false">E182</f>
        <v>72284.0678579257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1273.54508165502</v>
      </c>
      <c r="B230" s="164" t="n">
        <f aca="false">B167</f>
        <v>38.2571428571429</v>
      </c>
      <c r="C230" s="307"/>
      <c r="D230" s="307"/>
      <c r="E230" s="164" t="n">
        <f aca="false">E167</f>
        <v>1311.80222451216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30.9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1607.765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408.99</v>
      </c>
      <c r="C255" s="319"/>
      <c r="D255" s="320" t="s">
        <v>200</v>
      </c>
      <c r="E255" s="320"/>
      <c r="F255" s="321" t="n">
        <f aca="false">(B254-F254)+B255</f>
        <v>-67.885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44574.0778579256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309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-67.885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B91" colorId="64" zoomScale="75" zoomScaleNormal="75" zoomScalePageLayoutView="100" workbookViewId="0">
      <selection pane="topLeft" activeCell="J117" activeCellId="0" sqref="J117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27500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922.920864561026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44866.9008605665</v>
      </c>
      <c r="N39" s="193" t="n">
        <f aca="false">K39-L39</f>
        <v>4010.59913943349</v>
      </c>
      <c r="P39" s="430"/>
    </row>
    <row r="40" customFormat="false" ht="17.35" hidden="false" customHeight="false" outlineLevel="0" collapsed="false">
      <c r="A40" s="113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22916.6666666667</v>
      </c>
      <c r="L40" s="53" t="n">
        <f aca="false">K39-L39</f>
        <v>4010.59913943349</v>
      </c>
      <c r="N40" s="193" t="n">
        <f aca="false">N38-N39</f>
        <v>-1098.91913943349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357</v>
      </c>
      <c r="K44" s="53" t="n">
        <f aca="false">(K40/(1+K41)^(K36+1))</f>
        <v>18764.9097705681</v>
      </c>
      <c r="L44" s="53"/>
      <c r="P44" s="430"/>
    </row>
    <row r="45" customFormat="false" ht="17.35" hidden="false" customHeight="false" outlineLevel="0" collapsed="false">
      <c r="A45" s="476" t="s">
        <v>323</v>
      </c>
      <c r="B45" s="297"/>
      <c r="C45" s="477" t="s">
        <v>323</v>
      </c>
      <c r="D45" s="477"/>
      <c r="E45" s="477"/>
      <c r="F45" s="297"/>
      <c r="G45" s="297"/>
      <c r="H45" s="11"/>
      <c r="J45" s="53" t="s">
        <v>358</v>
      </c>
      <c r="K45" s="53" t="n">
        <f aca="false">(K39-K44)</f>
        <v>30112.5902294319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922.920864561026</v>
      </c>
      <c r="L47" s="53" t="n">
        <f aca="false">L49-K42</f>
        <v>800</v>
      </c>
      <c r="M47" s="193" t="n">
        <f aca="false">K47-L47</f>
        <v>122.920864561025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922.920864561026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328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922.920864561026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11348.9267337287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18480.8061357562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16061.8583918841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-756.0974340266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922.920864561026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922.920864561026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922.920864561026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922.920864561026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27500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27500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27500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19508.0781399797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18602.8658097623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18602.8658097623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29.6156943349079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37716.9218600203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40781.5716802377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26865.8831902377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1273.54508165502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1408.20027188803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927.687248290581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44574.0778579256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49287.009516081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32469.0536901703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44574.0778579256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49287.009516081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32469.0536901703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1273.54508165502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1408.20027188803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927.687248290581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1273.54508165502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1477.31306457009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1408.20027188803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927.687248290581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1273.54508165502</v>
      </c>
      <c r="B167" s="302" t="str">
        <f aca="false">B94</f>
        <v>0</v>
      </c>
      <c r="C167" s="299"/>
      <c r="D167" s="299"/>
      <c r="E167" s="302" t="n">
        <f aca="false">B96</f>
        <v>1273.54508165502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0</v>
      </c>
      <c r="L167" s="299"/>
      <c r="M167" s="299"/>
      <c r="N167" s="302" t="n">
        <f aca="false">K96</f>
        <v>1477.31306457009</v>
      </c>
      <c r="O167" s="213"/>
      <c r="P167" s="213"/>
      <c r="Q167" s="11"/>
      <c r="S167" s="301" t="n">
        <f aca="false">T95</f>
        <v>1408.20027188803</v>
      </c>
      <c r="T167" s="302" t="n">
        <f aca="false">T94</f>
        <v>0</v>
      </c>
      <c r="U167" s="299"/>
      <c r="V167" s="299"/>
      <c r="W167" s="302" t="n">
        <f aca="false">T96</f>
        <v>1408.20027188803</v>
      </c>
      <c r="X167" s="213"/>
      <c r="Y167" s="213"/>
      <c r="Z167" s="11"/>
      <c r="AB167" s="301" t="n">
        <f aca="false">AC95</f>
        <v>927.687248290581</v>
      </c>
      <c r="AC167" s="302" t="n">
        <f aca="false">AC94</f>
        <v>0</v>
      </c>
      <c r="AD167" s="299"/>
      <c r="AE167" s="299"/>
      <c r="AF167" s="302" t="n">
        <f aca="false">AC96</f>
        <v>927.687248290581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36</v>
      </c>
      <c r="B170" s="126" t="n">
        <f aca="false">K30</f>
        <v>10000</v>
      </c>
      <c r="C170" s="305"/>
      <c r="D170" s="213"/>
      <c r="E170" s="63" t="n">
        <f aca="false">IF(A111="YES", A40, 0)</f>
        <v>27500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27500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27500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27500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14849.0778579256</v>
      </c>
      <c r="B182" s="164" t="str">
        <f aca="false">B114</f>
        <v>239.99</v>
      </c>
      <c r="C182" s="164"/>
      <c r="D182" s="213"/>
      <c r="E182" s="164" t="n">
        <f aca="false">E179+A182+B182+A185</f>
        <v>72324.0678579257</v>
      </c>
      <c r="F182" s="213"/>
      <c r="G182" s="213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213"/>
      <c r="N182" s="164" t="n">
        <f aca="false">N179+J182+K182+J185</f>
        <v>79465.9472599531</v>
      </c>
      <c r="O182" s="213"/>
      <c r="P182" s="213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213"/>
      <c r="W182" s="164" t="n">
        <f aca="false">W179+S182+T182+S185</f>
        <v>76996.9995160811</v>
      </c>
      <c r="X182" s="213"/>
      <c r="Y182" s="213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213"/>
      <c r="AF182" s="164" t="n">
        <f aca="false">AF179+AB182+AC182+AB185</f>
        <v>60219.0436901703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27510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27520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27510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27510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572.25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672.241666666667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3493.4275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1594.86031241667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36</v>
      </c>
      <c r="B197" s="71" t="n">
        <f aca="false">B96</f>
        <v>1273.54508165502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1477.31306457009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1408.20027188803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927.687248290581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351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1273.54508165502</v>
      </c>
      <c r="B212" s="302" t="str">
        <f aca="false">B167</f>
        <v>0</v>
      </c>
      <c r="C212" s="299"/>
      <c r="D212" s="299"/>
      <c r="E212" s="302" t="n">
        <f aca="false">E167</f>
        <v>1273.54508165502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14849.0778579256</v>
      </c>
      <c r="B224" s="164" t="str">
        <f aca="false">B182</f>
        <v>239.99</v>
      </c>
      <c r="C224" s="164"/>
      <c r="D224" s="312"/>
      <c r="E224" s="164" t="n">
        <f aca="false">E182</f>
        <v>72324.0678579257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1273.54508165502</v>
      </c>
      <c r="B230" s="164" t="str">
        <f aca="false">B167</f>
        <v>0</v>
      </c>
      <c r="C230" s="307"/>
      <c r="D230" s="307"/>
      <c r="E230" s="164" t="n">
        <f aca="false">E167</f>
        <v>1273.54508165502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297"/>
      <c r="D233" s="297"/>
      <c r="E233" s="164" t="n">
        <f aca="false">A188</f>
        <v>0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1576.86666666667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99.9916666666667</v>
      </c>
      <c r="C255" s="319"/>
      <c r="D255" s="320" t="s">
        <v>200</v>
      </c>
      <c r="E255" s="320"/>
      <c r="F255" s="321" t="n">
        <f aca="false">(B254-F254)+B255</f>
        <v>-376.883333333333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44574.0778579256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-376.883333333333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87" colorId="64" zoomScale="75" zoomScaleNormal="75" zoomScalePageLayoutView="100" workbookViewId="0">
      <selection pane="topLeft" activeCell="C104" activeCellId="0" sqref="C10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27500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922.920864561026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f aca="false">6.5/100</f>
        <v>0.065</v>
      </c>
      <c r="P35" s="430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44866.9008605665</v>
      </c>
      <c r="N39" s="193" t="n">
        <f aca="false">K39-L39</f>
        <v>4010.59913943349</v>
      </c>
      <c r="P39" s="430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22916.6666666667</v>
      </c>
      <c r="L40" s="53" t="n">
        <f aca="false">K39-L39</f>
        <v>4010.59913943349</v>
      </c>
      <c r="N40" s="193" t="n">
        <f aca="false">N38-N39</f>
        <v>-1098.91913943349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357</v>
      </c>
      <c r="K44" s="53" t="n">
        <f aca="false">(K40/(1+K41)^(K36+1))</f>
        <v>18764.9097705681</v>
      </c>
      <c r="L44" s="53"/>
      <c r="P44" s="430"/>
    </row>
    <row r="45" customFormat="false" ht="17.35" hidden="false" customHeight="false" outlineLevel="0" collapsed="false">
      <c r="A45" s="478" t="s">
        <v>323</v>
      </c>
      <c r="B45" s="297"/>
      <c r="C45" s="477" t="s">
        <v>323</v>
      </c>
      <c r="D45" s="477"/>
      <c r="E45" s="477"/>
      <c r="F45" s="297"/>
      <c r="G45" s="297"/>
      <c r="H45" s="11"/>
      <c r="J45" s="53" t="s">
        <v>358</v>
      </c>
      <c r="K45" s="53" t="n">
        <f aca="false">(K39-K44)</f>
        <v>30112.5902294319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922.920864561026</v>
      </c>
      <c r="L47" s="53" t="n">
        <f aca="false">L49-K42</f>
        <v>800</v>
      </c>
      <c r="M47" s="193" t="n">
        <f aca="false">K47-L47</f>
        <v>122.920864561025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922.920864561026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328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922.920864561026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0.072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14243.0544834899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18480.8061357562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16061.8583918841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-756.0974340266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922.920864561026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922.920864561026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922.920864561026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922.920864561026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27500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27500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27500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0.137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18274.642159497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18602.8658097623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18602.8658097623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28.719487222345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38950.357840503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40781.5716802377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26865.8831902377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1356.23444593391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1408.20027188803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927.687248290581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47468.2056076868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49287.009516081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32469.0536901703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47468.2056076868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49287.009516081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32469.0536901703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1356.23444593391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1408.20027188803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927.687248290581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1356.23444593391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1477.31306457009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1408.20027188803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927.687248290581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1356.23444593391</v>
      </c>
      <c r="B167" s="302" t="str">
        <f aca="false">B94</f>
        <v>0</v>
      </c>
      <c r="C167" s="299"/>
      <c r="D167" s="299"/>
      <c r="E167" s="302" t="n">
        <f aca="false">B96</f>
        <v>1356.23444593391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0</v>
      </c>
      <c r="L167" s="299"/>
      <c r="M167" s="299"/>
      <c r="N167" s="302" t="n">
        <f aca="false">K96</f>
        <v>1477.31306457009</v>
      </c>
      <c r="O167" s="213"/>
      <c r="P167" s="213"/>
      <c r="Q167" s="11"/>
      <c r="S167" s="301" t="n">
        <f aca="false">T95</f>
        <v>1408.20027188803</v>
      </c>
      <c r="T167" s="302" t="n">
        <f aca="false">T94</f>
        <v>0</v>
      </c>
      <c r="U167" s="299"/>
      <c r="V167" s="299"/>
      <c r="W167" s="302" t="n">
        <f aca="false">T96</f>
        <v>1408.20027188803</v>
      </c>
      <c r="X167" s="213"/>
      <c r="Y167" s="213"/>
      <c r="Z167" s="11"/>
      <c r="AB167" s="301" t="n">
        <f aca="false">AC95</f>
        <v>927.687248290581</v>
      </c>
      <c r="AC167" s="302" t="n">
        <f aca="false">AC94</f>
        <v>0</v>
      </c>
      <c r="AD167" s="299"/>
      <c r="AE167" s="299"/>
      <c r="AF167" s="302" t="n">
        <f aca="false">AC96</f>
        <v>927.687248290581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B29</f>
        <v>0</v>
      </c>
      <c r="B170" s="304" t="str">
        <f aca="false">B30</f>
        <v>0</v>
      </c>
      <c r="C170" s="305"/>
      <c r="D170" s="213"/>
      <c r="E170" s="63" t="n">
        <f aca="false">IF(A111="YES",A40, 0)</f>
        <v>27500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27500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27500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27500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213"/>
      <c r="E182" s="164" t="n">
        <f aca="false">E179+A182+B182+A185</f>
        <v>75218.1956076868</v>
      </c>
      <c r="F182" s="213"/>
      <c r="G182" s="213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213"/>
      <c r="N182" s="164" t="n">
        <f aca="false">N179+J182+K182+J185</f>
        <v>79465.9472599531</v>
      </c>
      <c r="O182" s="213"/>
      <c r="P182" s="213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213"/>
      <c r="W182" s="164" t="n">
        <f aca="false">W179+S182+T182+S185</f>
        <v>76996.9995160811</v>
      </c>
      <c r="X182" s="213"/>
      <c r="Y182" s="213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213"/>
      <c r="AF182" s="164" t="n">
        <f aca="false">AF179+AB182+AC182+AB185</f>
        <v>60219.0436901703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213"/>
      <c r="E185" s="164" t="n">
        <f aca="false">E170+A185</f>
        <v>27510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27520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27510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27510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476.875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576.866666666667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3493.4275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1594.86031241667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H30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H29</f>
        <v>36</v>
      </c>
      <c r="B197" s="71" t="n">
        <f aca="false">B96</f>
        <v>1356.23444593391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1477.31306457009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1408.20027188803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927.687248290581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1356.23444593391</v>
      </c>
      <c r="B212" s="302" t="str">
        <f aca="false">B167</f>
        <v>0</v>
      </c>
      <c r="C212" s="299"/>
      <c r="D212" s="299"/>
      <c r="E212" s="302" t="n">
        <f aca="false">E167</f>
        <v>1356.23444593391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239.99</v>
      </c>
      <c r="C224" s="164"/>
      <c r="D224" s="312"/>
      <c r="E224" s="164" t="n">
        <f aca="false">E182</f>
        <v>75218.1956076868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307"/>
      <c r="D230" s="307"/>
      <c r="E230" s="164" t="n">
        <f aca="false">E167</f>
        <v>1356.23444593391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1576.86666666667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99.9916666666667</v>
      </c>
      <c r="C255" s="319"/>
      <c r="D255" s="320" t="s">
        <v>200</v>
      </c>
      <c r="E255" s="320"/>
      <c r="F255" s="321" t="n">
        <f aca="false">(B254-F254)+B255</f>
        <v>-376.883333333333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0.072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0.137</v>
      </c>
      <c r="C260" s="221"/>
      <c r="D260" s="165" t="s">
        <v>197</v>
      </c>
      <c r="E260" s="165"/>
      <c r="F260" s="279" t="n">
        <f aca="false">(B89*B59)-(C89*B59)</f>
        <v>47468.2056076868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-376.883333333333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A162" activeCellId="0" sqref="A1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27500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922.920864561026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44866.9008605665</v>
      </c>
      <c r="N39" s="193" t="n">
        <f aca="false">K39-L39</f>
        <v>4010.59913943349</v>
      </c>
      <c r="P39" s="430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22916.6666666667</v>
      </c>
      <c r="L40" s="53" t="n">
        <f aca="false">K39-L39</f>
        <v>4010.59913943349</v>
      </c>
      <c r="N40" s="193" t="n">
        <f aca="false">N38-N39</f>
        <v>-1098.91913943349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357</v>
      </c>
      <c r="K44" s="53" t="n">
        <f aca="false">(K40/(1+K41)^(K36+1))</f>
        <v>18764.9097705681</v>
      </c>
      <c r="L44" s="53"/>
      <c r="P44" s="430"/>
    </row>
    <row r="45" customFormat="false" ht="17.35" hidden="false" customHeight="false" outlineLevel="0" collapsed="false">
      <c r="A45" s="478" t="s">
        <v>323</v>
      </c>
      <c r="B45" s="297"/>
      <c r="C45" s="477" t="s">
        <v>323</v>
      </c>
      <c r="D45" s="477"/>
      <c r="E45" s="477"/>
      <c r="F45" s="297"/>
      <c r="G45" s="297"/>
      <c r="H45" s="11"/>
      <c r="J45" s="53" t="s">
        <v>358</v>
      </c>
      <c r="K45" s="53" t="n">
        <f aca="false">(K39-K44)</f>
        <v>30112.5902294319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922.920864561026</v>
      </c>
      <c r="L47" s="53" t="n">
        <f aca="false">L49-K42</f>
        <v>800</v>
      </c>
      <c r="M47" s="193" t="n">
        <f aca="false">K47-L47</f>
        <v>122.920864561025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922.920864561026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328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922.920864561026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0.072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14243.0544834899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18480.8061357562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16061.8583918841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-756.0974340266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922.920864561026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922.920864561026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922.920864561026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922.920864561026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27500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27500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27500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0.137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18274.642159497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18602.8658097623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18602.8658097623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28.719487222345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38950.357840503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40781.5716802377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26865.8831902377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1356.23444593391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1408.20027188803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927.687248290581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47468.2056076868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49287.009516081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32469.0536901703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47468.2056076868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49287.009516081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32469.0536901703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1356.23444593391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1408.20027188803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927.687248290581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1356.23444593391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1477.31306457009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1408.20027188803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927.687248290581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1356.23444593391</v>
      </c>
      <c r="B167" s="302" t="str">
        <f aca="false">B94</f>
        <v>0</v>
      </c>
      <c r="C167" s="299"/>
      <c r="D167" s="299"/>
      <c r="E167" s="302" t="n">
        <f aca="false">B96</f>
        <v>1356.23444593391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0</v>
      </c>
      <c r="L167" s="299"/>
      <c r="M167" s="299"/>
      <c r="N167" s="302" t="n">
        <f aca="false">K96</f>
        <v>1477.31306457009</v>
      </c>
      <c r="O167" s="213"/>
      <c r="P167" s="213"/>
      <c r="Q167" s="11"/>
      <c r="S167" s="301" t="n">
        <f aca="false">T95</f>
        <v>1408.20027188803</v>
      </c>
      <c r="T167" s="302" t="n">
        <f aca="false">T94</f>
        <v>0</v>
      </c>
      <c r="U167" s="299"/>
      <c r="V167" s="299"/>
      <c r="W167" s="302" t="n">
        <f aca="false">T96</f>
        <v>1408.20027188803</v>
      </c>
      <c r="X167" s="213"/>
      <c r="Y167" s="213"/>
      <c r="Z167" s="11"/>
      <c r="AB167" s="301" t="n">
        <f aca="false">AC95</f>
        <v>927.687248290581</v>
      </c>
      <c r="AC167" s="302" t="n">
        <f aca="false">AC94</f>
        <v>0</v>
      </c>
      <c r="AD167" s="299"/>
      <c r="AE167" s="299"/>
      <c r="AF167" s="302" t="n">
        <f aca="false">AC96</f>
        <v>927.687248290581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B29</f>
        <v>0</v>
      </c>
      <c r="B170" s="304" t="str">
        <f aca="false">B30</f>
        <v>0</v>
      </c>
      <c r="C170" s="305"/>
      <c r="D170" s="213"/>
      <c r="E170" s="63" t="n">
        <f aca="false">IF(A111="YES",A40, 0)</f>
        <v>27500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27500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27500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27500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199.99</v>
      </c>
      <c r="C182" s="164"/>
      <c r="D182" s="213"/>
      <c r="E182" s="164" t="n">
        <f aca="false">E179+A182+B182+A185</f>
        <v>75178.1956076868</v>
      </c>
      <c r="F182" s="213"/>
      <c r="G182" s="213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213"/>
      <c r="N182" s="164" t="n">
        <f aca="false">N179+J182+K182+J185</f>
        <v>79465.9472599531</v>
      </c>
      <c r="O182" s="213"/>
      <c r="P182" s="213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213"/>
      <c r="W182" s="164" t="n">
        <f aca="false">W179+S182+T182+S185</f>
        <v>76996.9995160811</v>
      </c>
      <c r="X182" s="213"/>
      <c r="Y182" s="213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213"/>
      <c r="AF182" s="164" t="n">
        <f aca="false">AF179+AB182+AC182+AB185</f>
        <v>60219.0436901703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213"/>
      <c r="E185" s="164" t="n">
        <f aca="false">E170+A185</f>
        <v>27510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27520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27510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27510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476.875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576.865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3493.4275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1594.86031241667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H30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H29</f>
        <v>36</v>
      </c>
      <c r="B197" s="71" t="n">
        <f aca="false">B96</f>
        <v>1356.23444593391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1477.31306457009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1408.20027188803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927.687248290581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1356.23444593391</v>
      </c>
      <c r="B212" s="302" t="str">
        <f aca="false">B167</f>
        <v>0</v>
      </c>
      <c r="C212" s="299"/>
      <c r="D212" s="299"/>
      <c r="E212" s="302" t="n">
        <f aca="false">E167</f>
        <v>1356.23444593391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199.99</v>
      </c>
      <c r="C224" s="164"/>
      <c r="D224" s="312"/>
      <c r="E224" s="164" t="n">
        <f aca="false">E182</f>
        <v>75178.1956076868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307"/>
      <c r="D230" s="307"/>
      <c r="E230" s="164" t="n">
        <f aca="false">E167</f>
        <v>1356.23444593391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34.731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1576.865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</v>
      </c>
      <c r="C255" s="319"/>
      <c r="D255" s="320" t="s">
        <v>200</v>
      </c>
      <c r="E255" s="320"/>
      <c r="F255" s="321" t="n">
        <f aca="false">(B254-F254)+B255</f>
        <v>-376.885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0.072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0.137</v>
      </c>
      <c r="C260" s="221"/>
      <c r="D260" s="165" t="s">
        <v>197</v>
      </c>
      <c r="E260" s="165"/>
      <c r="F260" s="279" t="n">
        <f aca="false">(B89*B59)-(C89*B59)</f>
        <v>47468.2056076868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-376.885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1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44966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-153.507518712743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-153.507518712743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0</v>
      </c>
      <c r="C134" s="191"/>
      <c r="D134" s="120" t="n">
        <f aca="false">B97</f>
        <v>-153.507518712743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-1381.56766841468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-1381.56766841468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0</v>
      </c>
      <c r="C143" s="13"/>
      <c r="D143" s="136" t="n">
        <f aca="false">B97</f>
        <v>-153.507518712743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-153.507518712743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0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-1381.56766841468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-1381.56766841468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0</v>
      </c>
      <c r="C186" s="31"/>
      <c r="D186" s="164" t="n">
        <f aca="false">B97</f>
        <v>-153.507518712743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150.0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365</v>
      </c>
      <c r="C30" s="122"/>
      <c r="D30" s="343"/>
      <c r="E30" s="344"/>
      <c r="F30" s="171"/>
      <c r="G30" s="354" t="s">
        <v>41</v>
      </c>
      <c r="H30" s="35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27500.0</v>
      </c>
      <c r="I31" s="36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951.531975672137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364"/>
      <c r="D36" s="140" t="n">
        <f aca="false">I31</f>
        <v>27500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63509.8854689439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344"/>
      <c r="F40" s="171"/>
      <c r="G40" s="171" t="s">
        <v>239</v>
      </c>
      <c r="H40" s="366" t="n">
        <f aca="false">(A40)/1.2</f>
        <v>22916.6666666667</v>
      </c>
      <c r="I40" s="36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28.6111111111111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18764.9097705681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s">
        <v>366</v>
      </c>
      <c r="B45" s="343"/>
      <c r="C45" s="373" t="s">
        <v>366</v>
      </c>
      <c r="D45" s="373"/>
      <c r="E45" s="344"/>
      <c r="F45" s="171"/>
      <c r="G45" s="171" t="s">
        <v>324</v>
      </c>
      <c r="H45" s="366" t="n">
        <f aca="false">(H39-H44)</f>
        <v>30112.5902294319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325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326</v>
      </c>
      <c r="H47" s="366" t="n">
        <f aca="false">H45/H46</f>
        <v>922.920864561026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327</v>
      </c>
      <c r="H48" s="366" t="n">
        <f aca="false">IF(B26="YES", H47+H42, H47)</f>
        <v>951.531975672137</v>
      </c>
      <c r="I48" s="36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328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27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43" t="n">
        <v>10000.0</v>
      </c>
      <c r="D64" s="341" t="n">
        <f aca="false">B64-A143</f>
        <v>6077.925</v>
      </c>
      <c r="E64" s="344"/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43"/>
      <c r="D67" s="341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4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41" t="n">
        <f aca="false">B73+B71</f>
        <v>380</v>
      </c>
      <c r="E73" s="344"/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8" t="s">
        <v>99</v>
      </c>
      <c r="B74" s="399" t="n">
        <v>0.0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0" t="s">
        <v>100</v>
      </c>
      <c r="B75" s="401" t="n">
        <v>0.0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2" t="s">
        <v>101</v>
      </c>
      <c r="B76" s="403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6857.925</v>
      </c>
      <c r="C81" s="343"/>
      <c r="D81" s="343"/>
      <c r="E81" s="344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190.497916666667</v>
      </c>
      <c r="C82" s="343"/>
      <c r="D82" s="343"/>
      <c r="E82" s="344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922.920864561026</v>
      </c>
      <c r="C83" s="343"/>
      <c r="D83" s="343"/>
      <c r="E83" s="344"/>
      <c r="F83" s="171"/>
      <c r="G83" s="411" t="s">
        <v>109</v>
      </c>
      <c r="H83" s="412" t="n">
        <f aca="false">H47</f>
        <v>922.920864561026</v>
      </c>
      <c r="I83" s="343"/>
      <c r="J83" s="343"/>
      <c r="K83" s="344"/>
      <c r="L83" s="171"/>
      <c r="M83" s="411" t="s">
        <v>109</v>
      </c>
      <c r="N83" s="412" t="n">
        <f aca="false">H47</f>
        <v>922.920864561026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40083.0761241969</v>
      </c>
      <c r="C85" s="343"/>
      <c r="D85" s="343"/>
      <c r="E85" s="344"/>
      <c r="F85" s="171"/>
      <c r="G85" s="368" t="s">
        <v>110</v>
      </c>
      <c r="H85" s="404" t="n">
        <f aca="false">((H83*H29)+H81)*1.2</f>
        <v>48442.5913490363</v>
      </c>
      <c r="I85" s="343"/>
      <c r="J85" s="343"/>
      <c r="K85" s="344"/>
      <c r="L85" s="171"/>
      <c r="M85" s="368" t="s">
        <v>110</v>
      </c>
      <c r="N85" s="404" t="n">
        <f aca="false">((N83*H29)+N81)</f>
        <v>40025.0761241969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339.550059946807</v>
      </c>
      <c r="C86" s="343"/>
      <c r="D86" s="343"/>
      <c r="E86" s="344"/>
      <c r="F86" s="171"/>
      <c r="G86" s="335" t="s">
        <v>111</v>
      </c>
      <c r="H86" s="340" t="n">
        <f aca="false">((((H83*H29)+H81))/(1-H70))*H70</f>
        <v>341.970693266694</v>
      </c>
      <c r="I86" s="343"/>
      <c r="J86" s="343"/>
      <c r="K86" s="344"/>
      <c r="L86" s="171"/>
      <c r="M86" s="335" t="s">
        <v>111</v>
      </c>
      <c r="N86" s="340" t="n">
        <f aca="false">(N85/(1-N70))*N70</f>
        <v>339.058732798764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40422.6261841437</v>
      </c>
      <c r="C87" s="343"/>
      <c r="D87" s="343"/>
      <c r="E87" s="344"/>
      <c r="F87" s="171"/>
      <c r="G87" s="374" t="s">
        <v>112</v>
      </c>
      <c r="H87" s="385" t="n">
        <f aca="false">IF(H110="YES",((H85+H86)-K114),(H85+H86))</f>
        <v>48784.562042303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40364.1348569957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</f>
        <v>37.1944444444444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36.1756097560976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30.1463414634146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1122.85072733733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1189.86736688544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984.491094073066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1160.04517178177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1226.04297664154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1014.63743553648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367</v>
      </c>
      <c r="B105" s="114" t="n">
        <v>0.0</v>
      </c>
      <c r="C105" s="114"/>
      <c r="D105" s="113" t="s">
        <v>368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 t="s">
        <v>139</v>
      </c>
      <c r="C107" s="353" t="s">
        <v>364</v>
      </c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1189.86736688544</v>
      </c>
      <c r="H127" s="302" t="n">
        <f aca="false">IF(G105="YES", H89*H57, 0)</f>
        <v>217.053658536585</v>
      </c>
      <c r="I127" s="302"/>
      <c r="J127" s="134" t="n">
        <f aca="false">H91</f>
        <v>1226.04297664154</v>
      </c>
      <c r="K127" s="344"/>
      <c r="L127" s="171"/>
      <c r="M127" s="132" t="n">
        <f aca="false">N90</f>
        <v>984.491094073066</v>
      </c>
      <c r="N127" s="302" t="n">
        <f aca="false">IF(M105="YES", N89*N57, 0)</f>
        <v>180.878048780488</v>
      </c>
      <c r="O127" s="302"/>
      <c r="P127" s="302" t="n">
        <f aca="false">N91</f>
        <v>1014.63743553648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364"/>
      <c r="J133" s="140" t="n">
        <f aca="false">H91*H57</f>
        <v>7356.25785984922</v>
      </c>
      <c r="K133" s="34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364"/>
      <c r="P133" s="140" t="n">
        <f aca="false">N91*N57</f>
        <v>6087.82461321888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1014.63743553648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150.0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365</v>
      </c>
      <c r="C30" s="122"/>
      <c r="D30" s="343"/>
      <c r="E30" s="344"/>
      <c r="F30" s="171"/>
      <c r="G30" s="354" t="s">
        <v>41</v>
      </c>
      <c r="H30" s="35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27500.0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922.920864561026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str">
        <f aca="false">IF(B26="YES", H42, "")</f>
        <v/>
      </c>
      <c r="C36" s="364"/>
      <c r="D36" s="140" t="n">
        <f aca="false">H31</f>
        <v>27500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64443.3941780653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str">
        <f aca="false">IF(B26="YES",H42,"0")</f>
        <v>0</v>
      </c>
      <c r="C40" s="113"/>
      <c r="D40" s="140" t="n">
        <f aca="false">I32</f>
        <v>0</v>
      </c>
      <c r="E40" s="344"/>
      <c r="F40" s="171"/>
      <c r="G40" s="171" t="s">
        <v>239</v>
      </c>
      <c r="H40" s="366" t="n">
        <f aca="false">(A40)/1.2</f>
        <v>22916.6666666667</v>
      </c>
      <c r="I40" s="366" t="n">
        <f aca="false">H39-I39</f>
        <v>-15565.8941780653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0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18764.9097705681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s">
        <v>366</v>
      </c>
      <c r="B45" s="343"/>
      <c r="C45" s="479" t="s">
        <v>366</v>
      </c>
      <c r="D45" s="479"/>
      <c r="E45" s="344"/>
      <c r="F45" s="171"/>
      <c r="G45" s="171" t="s">
        <v>324</v>
      </c>
      <c r="H45" s="366" t="n">
        <f aca="false">(H39-H44)</f>
        <v>30112.5902294319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325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326</v>
      </c>
      <c r="H47" s="366" t="n">
        <f aca="false">H45/H46</f>
        <v>922.920864561026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327</v>
      </c>
      <c r="H48" s="366" t="n">
        <f aca="false">IF(B26="YES", H47+H42, H47)</f>
        <v>922.920864561026</v>
      </c>
      <c r="I48" s="36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328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27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43" t="n">
        <v>10000</v>
      </c>
      <c r="D64" s="341" t="n">
        <f aca="false">B64-A143</f>
        <v>6077.925</v>
      </c>
      <c r="E64" s="387" t="n">
        <f aca="false">D64/(B58+B57)</f>
        <v>168.83125</v>
      </c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43"/>
      <c r="D67" s="341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41" t="n">
        <f aca="false">B73+B71</f>
        <v>380</v>
      </c>
      <c r="E73" s="344"/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1083.33333333333</v>
      </c>
      <c r="C76" s="343"/>
      <c r="D76" s="341" t="n">
        <f aca="false">B76</f>
        <v>1083.33333333333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0.0</v>
      </c>
      <c r="C77" s="343"/>
      <c r="D77" s="341" t="n">
        <f aca="false">B77</f>
        <v>0</v>
      </c>
      <c r="E77" s="387" t="n">
        <f aca="false">D77/(B58+B57)</f>
        <v>0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87" t="n">
        <f aca="false">(D73+D76+D79+D80)/(B58+B57)</f>
        <v>51.7592592592593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7941.25833333333</v>
      </c>
      <c r="C81" s="343"/>
      <c r="D81" s="343"/>
      <c r="E81" s="387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220.590509259259</v>
      </c>
      <c r="C82" s="343"/>
      <c r="D82" s="343"/>
      <c r="E82" s="387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922.920864561026</v>
      </c>
      <c r="C83" s="343"/>
      <c r="D83" s="343"/>
      <c r="E83" s="387" t="n">
        <f aca="false">B83+E80+E77+E64</f>
        <v>1143.51137382028</v>
      </c>
      <c r="F83" s="171"/>
      <c r="G83" s="411" t="s">
        <v>109</v>
      </c>
      <c r="H83" s="412" t="n">
        <f aca="false">H47</f>
        <v>922.920864561026</v>
      </c>
      <c r="I83" s="343"/>
      <c r="J83" s="343"/>
      <c r="K83" s="344"/>
      <c r="L83" s="171"/>
      <c r="M83" s="411" t="s">
        <v>109</v>
      </c>
      <c r="N83" s="412" t="n">
        <f aca="false">H47</f>
        <v>922.920864561026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((B83*H29)+B81)*1.2</f>
        <v>49399.6913490363</v>
      </c>
      <c r="C85" s="343"/>
      <c r="D85" s="343"/>
      <c r="E85" s="387" t="n">
        <f aca="false">B85/(B58+B57)</f>
        <v>1372.21364858434</v>
      </c>
      <c r="F85" s="171"/>
      <c r="G85" s="368" t="s">
        <v>110</v>
      </c>
      <c r="H85" s="404" t="n">
        <f aca="false">((H83*H29)+H81)*1.2</f>
        <v>48442.5913490363</v>
      </c>
      <c r="I85" s="343"/>
      <c r="J85" s="343"/>
      <c r="K85" s="344"/>
      <c r="L85" s="171"/>
      <c r="M85" s="368" t="s">
        <v>110</v>
      </c>
      <c r="N85" s="404" t="n">
        <f aca="false">((N83*H29)+N81)</f>
        <v>40025.0761241969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((((B83*H29)+B81))/(1-B70))*B70</f>
        <v>348.727147482104</v>
      </c>
      <c r="C86" s="343"/>
      <c r="D86" s="343"/>
      <c r="E86" s="387" t="n">
        <f aca="false">B86/(B58+B57)</f>
        <v>9.68686520783622</v>
      </c>
      <c r="F86" s="171"/>
      <c r="G86" s="335" t="s">
        <v>111</v>
      </c>
      <c r="H86" s="340" t="n">
        <f aca="false">((((H83*H29)+H81))/(1-H70))*H70</f>
        <v>341.970693266694</v>
      </c>
      <c r="I86" s="343"/>
      <c r="J86" s="343"/>
      <c r="K86" s="344"/>
      <c r="L86" s="171"/>
      <c r="M86" s="335" t="s">
        <v>111</v>
      </c>
      <c r="N86" s="340" t="n">
        <f aca="false">(N85/(1-N70))*N70</f>
        <v>339.058732798764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49748.4184965184</v>
      </c>
      <c r="C87" s="343"/>
      <c r="D87" s="343"/>
      <c r="E87" s="387" t="n">
        <f aca="false">E86+E85</f>
        <v>1381.90051379218</v>
      </c>
      <c r="F87" s="171"/>
      <c r="G87" s="374" t="s">
        <v>112</v>
      </c>
      <c r="H87" s="385" t="n">
        <f aca="false">IF(H110="YES",((H85+H86)-K114),(H85+H86))</f>
        <v>48784.562042303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40364.1348569957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(D40+(D40*B105))/(B57+B58))*1.2</f>
        <v>0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0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0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1381.90051379218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1189.86736688544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984.491094073066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1381.90051379218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1189.86736688544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984.491094073066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0.0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367</v>
      </c>
      <c r="B105" s="114" t="n">
        <v>0.0</v>
      </c>
      <c r="C105" s="114"/>
      <c r="D105" s="113" t="n">
        <v>200.0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((E118/1.2)+E117)-(D115-E113)</f>
        <v>-800.008333333333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1189.86736688544</v>
      </c>
      <c r="H127" s="302" t="n">
        <f aca="false">IF(G105="YES", H89*H57, 0)</f>
        <v>0</v>
      </c>
      <c r="I127" s="302"/>
      <c r="J127" s="134" t="n">
        <f aca="false">H91</f>
        <v>1189.86736688544</v>
      </c>
      <c r="K127" s="344"/>
      <c r="L127" s="171"/>
      <c r="M127" s="132" t="n">
        <f aca="false">N90</f>
        <v>984.491094073066</v>
      </c>
      <c r="N127" s="302" t="n">
        <f aca="false">IF(M105="YES", N89*N57, 0)</f>
        <v>0</v>
      </c>
      <c r="O127" s="302"/>
      <c r="P127" s="302" t="n">
        <f aca="false">N91</f>
        <v>984.491094073066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0</v>
      </c>
      <c r="C128" s="125"/>
      <c r="D128" s="120" t="n">
        <f aca="false">B91</f>
        <v>1381.90051379218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12437.1046241296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0</v>
      </c>
      <c r="I133" s="364"/>
      <c r="J133" s="140" t="n">
        <f aca="false">H91*H57</f>
        <v>7139.20420131264</v>
      </c>
      <c r="K133" s="344"/>
      <c r="L133" s="171"/>
      <c r="M133" s="139" t="n">
        <f aca="false">N90*N57</f>
        <v>5906.94656443839</v>
      </c>
      <c r="N133" s="164" t="n">
        <f aca="false">IF(M105="YES", N89*N57, 0)</f>
        <v>0</v>
      </c>
      <c r="O133" s="364"/>
      <c r="P133" s="140" t="n">
        <f aca="false">N91*N57</f>
        <v>5906.94656443839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12437.1046241296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0</v>
      </c>
      <c r="C137" s="13"/>
      <c r="D137" s="136" t="n">
        <f aca="false">B91</f>
        <v>1381.90051379218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3"/>
      <c r="J145" s="343"/>
      <c r="K145" s="344"/>
      <c r="L145" s="171"/>
      <c r="M145" s="141" t="n">
        <v>0</v>
      </c>
      <c r="N145" s="164" t="e">
        <f aca="false">(N139+P139+M142+N142)*(M145/N64)</f>
        <v>#VALUE!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1257.69166666667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1189.86736688544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984.491094073066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1381.90051379218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0</v>
      </c>
      <c r="C177" s="162"/>
      <c r="D177" s="160" t="n">
        <f aca="false">B91</f>
        <v>1381.90051379218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12437.1046241296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12437.1046241296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0</v>
      </c>
      <c r="C186" s="31"/>
      <c r="D186" s="164" t="n">
        <f aca="false">B91</f>
        <v>1381.90051379218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1257.69166666667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334</v>
      </c>
      <c r="H32" s="432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345</v>
      </c>
      <c r="H44" s="36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n">
        <v>0.01</v>
      </c>
      <c r="C47" s="472"/>
      <c r="D47" s="45" t="n">
        <v>1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3" t="s">
        <v>28</v>
      </c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362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233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12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/>
      <c r="D70" s="341" t="n">
        <f aca="false">B70-A151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10814.7942718838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((H44*B35)+((H44*B35)*B111))/(B63+B64)</f>
        <v>31.304347826087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IF(B105=Y104, (B93-D111)/(B64), B93/(B63+B64))</f>
        <v>470.208446603645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501.512794429732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 t="s">
        <v>124</v>
      </c>
      <c r="B105" s="110" t="s">
        <v>126</v>
      </c>
      <c r="C105" s="110"/>
      <c r="D105" s="111" t="n">
        <v>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4" t="n">
        <v>0.2</v>
      </c>
      <c r="C111" s="114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/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28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0</v>
      </c>
      <c r="E118" s="113" t="n">
        <v>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0</v>
      </c>
      <c r="E119" s="113" t="n">
        <v>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0</v>
      </c>
      <c r="E120" s="116" t="n">
        <f aca="false">E118-E119</f>
        <v>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199.99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5"/>
      <c r="B129" s="343"/>
      <c r="C129" s="343"/>
      <c r="D129" s="343"/>
      <c r="E129" s="34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5" t="s">
        <v>149</v>
      </c>
      <c r="B130" s="122" t="n">
        <v>1200</v>
      </c>
      <c r="C130" s="122"/>
      <c r="D130" s="343"/>
      <c r="E130" s="344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5"/>
      <c r="B131" s="343"/>
      <c r="C131" s="343"/>
      <c r="D131" s="343"/>
      <c r="E131" s="34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5" t="s">
        <v>82</v>
      </c>
      <c r="B132" s="343" t="s">
        <v>83</v>
      </c>
      <c r="C132" s="343"/>
      <c r="D132" s="343" t="s">
        <v>86</v>
      </c>
      <c r="E132" s="344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5"/>
      <c r="B134" s="343"/>
      <c r="C134" s="343"/>
      <c r="D134" s="343"/>
      <c r="E134" s="34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4" t="s">
        <v>155</v>
      </c>
      <c r="B135" s="425" t="s">
        <v>156</v>
      </c>
      <c r="C135" s="425"/>
      <c r="D135" s="425" t="s">
        <v>114</v>
      </c>
      <c r="E135" s="34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2" t="n">
        <f aca="false">IF(A111="YES", B95*B63, 0)</f>
        <v>375.652173913043</v>
      </c>
      <c r="C136" s="302"/>
      <c r="D136" s="302" t="n">
        <f aca="false">B97</f>
        <v>501.512794429732</v>
      </c>
      <c r="E136" s="34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5"/>
      <c r="B137" s="343"/>
      <c r="C137" s="343"/>
      <c r="D137" s="343"/>
      <c r="E137" s="34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5" t="s">
        <v>162</v>
      </c>
      <c r="B138" s="343" t="s">
        <v>163</v>
      </c>
      <c r="C138" s="343"/>
      <c r="D138" s="343" t="s">
        <v>164</v>
      </c>
      <c r="E138" s="34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4"/>
      <c r="D139" s="140" t="n">
        <f aca="false">B97*B63</f>
        <v>6018.15353315678</v>
      </c>
      <c r="E139" s="34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5"/>
      <c r="B140" s="343"/>
      <c r="C140" s="343"/>
      <c r="D140" s="343"/>
      <c r="E140" s="34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5" t="s">
        <v>171</v>
      </c>
      <c r="B141" s="343" t="s">
        <v>172</v>
      </c>
      <c r="C141" s="343"/>
      <c r="D141" s="343" t="s">
        <v>173</v>
      </c>
      <c r="E141" s="34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5"/>
      <c r="B143" s="343"/>
      <c r="C143" s="343"/>
      <c r="D143" s="343"/>
      <c r="E143" s="34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5" t="s">
        <v>177</v>
      </c>
      <c r="B144" s="343" t="s">
        <v>175</v>
      </c>
      <c r="C144" s="343"/>
      <c r="D144" s="343" t="s">
        <v>176</v>
      </c>
      <c r="E144" s="34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5"/>
      <c r="B146" s="343"/>
      <c r="C146" s="343"/>
      <c r="D146" s="343"/>
      <c r="E146" s="34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5" t="s">
        <v>180</v>
      </c>
      <c r="B147" s="343" t="s">
        <v>181</v>
      </c>
      <c r="C147" s="343"/>
      <c r="D147" s="343" t="s">
        <v>182</v>
      </c>
      <c r="E147" s="34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5"/>
      <c r="B149" s="343"/>
      <c r="C149" s="343"/>
      <c r="D149" s="343"/>
      <c r="E149" s="34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5" t="s">
        <v>184</v>
      </c>
      <c r="B150" s="343" t="s">
        <v>185</v>
      </c>
      <c r="C150" s="343"/>
      <c r="D150" s="343"/>
      <c r="E150" s="34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3"/>
      <c r="D151" s="343"/>
      <c r="E151" s="34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5"/>
      <c r="B152" s="343"/>
      <c r="C152" s="343"/>
      <c r="D152" s="343"/>
      <c r="E152" s="34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5"/>
      <c r="B153" s="343"/>
      <c r="C153" s="343"/>
      <c r="D153" s="343"/>
      <c r="E153" s="34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7" t="s">
        <v>192</v>
      </c>
      <c r="B154" s="343"/>
      <c r="C154" s="343"/>
      <c r="D154" s="378"/>
      <c r="E154" s="379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5"/>
      <c r="B155" s="381"/>
      <c r="C155" s="381"/>
      <c r="D155" s="343"/>
      <c r="E155" s="34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3"/>
      <c r="E156" s="34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3"/>
      <c r="E157" s="344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3"/>
      <c r="E158" s="34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5"/>
      <c r="B159" s="343"/>
      <c r="C159" s="343"/>
      <c r="D159" s="343"/>
      <c r="E159" s="34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5"/>
      <c r="B160" s="343"/>
      <c r="C160" s="343"/>
      <c r="D160" s="343"/>
      <c r="E160" s="34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5"/>
      <c r="B161" s="343"/>
      <c r="C161" s="343"/>
      <c r="D161" s="343"/>
      <c r="E161" s="34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5"/>
      <c r="B162" s="343"/>
      <c r="C162" s="343"/>
      <c r="D162" s="343"/>
      <c r="E162" s="34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4"/>
      <c r="B163" s="375"/>
      <c r="C163" s="375"/>
      <c r="D163" s="375"/>
      <c r="E163" s="376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74" colorId="64" zoomScale="75" zoomScaleNormal="75" zoomScalePageLayoutView="100" workbookViewId="0">
      <selection pane="topLeft" activeCell="D191" activeCellId="0" sqref="D19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80" t="n">
        <v>0</v>
      </c>
      <c r="C4" s="480" t="n">
        <v>0</v>
      </c>
      <c r="D4" s="480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(B3*B4)+B5</f>
        <v>0</v>
      </c>
      <c r="C6" s="341" t="n">
        <f aca="false">(C3*C4)+C5</f>
        <v>0</v>
      </c>
      <c r="D6" s="341" t="n">
        <f aca="false">(D3*D4)+D5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334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345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362</v>
      </c>
      <c r="B46" s="48"/>
      <c r="C46" s="48"/>
      <c r="D46" s="48"/>
      <c r="E46" s="64"/>
      <c r="F46" s="171"/>
      <c r="G46" s="171" t="s">
        <v>349</v>
      </c>
      <c r="H46" s="366" t="n">
        <f aca="false">H43</f>
        <v>501</v>
      </c>
      <c r="I46" s="366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363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 t="n">
        <f aca="false">IF(G18&gt;40000, 325, 0)</f>
        <v>325</v>
      </c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((B83*(H29)+B81))*1.2</f>
        <v>12868.74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(((B83*(H29))+B81)/(1-B70))*B70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8959.58427188382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IF(B99=Z102,(((H44*B35)+(H44*B35)*(B105/100))/(B58))*1.2,(((H44*B35)+(H44*B35)*(B105/100))/(B57+B58))*1.2)</f>
        <v>0</v>
      </c>
      <c r="C89" s="343"/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746.632022656985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J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746.632022656985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239.988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-2760.012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D149" activeCellId="0" sqref="D14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334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357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345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362</v>
      </c>
      <c r="B46" s="48"/>
      <c r="C46" s="48"/>
      <c r="D46" s="48"/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 t="n">
        <f aca="false">(A41*(B58+B57))</f>
        <v>0</v>
      </c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363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/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</f>
        <v>10723.95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6814.79427188382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IF(B99=Z102,(((H44*B35)+(H44*B35)*(B105/100))/(B58)),(((H44*B35)+(H44*B35)*(B105/100))/(B57+B58)))</f>
        <v>0</v>
      </c>
      <c r="C89" s="343" t="s">
        <v>77</v>
      </c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567.899522656985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567.899522656985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567.899522656985</v>
      </c>
      <c r="B128" s="120" t="n">
        <f aca="false">IF(A105="YES", B89, 0)</f>
        <v>0</v>
      </c>
      <c r="C128" s="191"/>
      <c r="D128" s="120" t="n">
        <f aca="false">B91</f>
        <v>567.899522656985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5111.09570391287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5111.09570391287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567.899522656985</v>
      </c>
      <c r="B137" s="136" t="n">
        <f aca="false">IF(A105="YES", B89, 0)</f>
        <v>0</v>
      </c>
      <c r="C137" s="13"/>
      <c r="D137" s="136" t="n">
        <f aca="false">B91</f>
        <v>567.899522656985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0)*0.001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567.899522656985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567.899522656985</v>
      </c>
      <c r="B171" s="160" t="n">
        <f aca="false">IF(A105="YES", B89, 0)</f>
        <v>0</v>
      </c>
      <c r="C171" s="192"/>
      <c r="D171" s="160" t="n">
        <f aca="false">B91</f>
        <v>567.899522656985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5111.09570391287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5111.09570391287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567.899522656985</v>
      </c>
      <c r="B180" s="164" t="n">
        <f aca="false">IF(A105="YES", B89, 0)</f>
        <v>0</v>
      </c>
      <c r="C180" s="31"/>
      <c r="D180" s="164" t="n">
        <f aca="false">B91</f>
        <v>567.899522656985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90" colorId="64" zoomScale="75" zoomScaleNormal="75" zoomScalePageLayoutView="100" workbookViewId="0">
      <selection pane="topLeft" activeCell="A200" activeCellId="0" sqref="A200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219" t="s">
        <v>71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52464.3332978415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288.924242424242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288.924242424242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288.924242424242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43752.1789208274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1639.88541555755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52476.3332978415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52476.3332978415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61.875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1639.88541555755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1701.76041555755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/>
      <c r="C114" s="164"/>
      <c r="D114" s="164"/>
      <c r="E114" s="45" t="s">
        <v>27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199.99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1639.88541555755</v>
      </c>
      <c r="B176" s="302" t="n">
        <f aca="false">B103</f>
        <v>61.875</v>
      </c>
      <c r="C176" s="299"/>
      <c r="D176" s="299"/>
      <c r="E176" s="302" t="n">
        <f aca="false">B105</f>
        <v>1701.76041555755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str">
        <f aca="false">K29</f>
        <v>33</v>
      </c>
      <c r="B179" s="304" t="str">
        <f aca="false">K30</f>
        <v>5000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-48.666702158509</v>
      </c>
      <c r="B191" s="164" t="str">
        <f aca="false">B123</f>
        <v>199.99</v>
      </c>
      <c r="C191" s="164"/>
      <c r="D191" s="213"/>
      <c r="E191" s="164" t="n">
        <f aca="false">E188+A191+B191+A194</f>
        <v>58686.3232978415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9.4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566.6165625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1701.76041555755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1639.88541555755</v>
      </c>
      <c r="B221" s="302" t="n">
        <f aca="false">B176</f>
        <v>61.875</v>
      </c>
      <c r="C221" s="299"/>
      <c r="D221" s="299"/>
      <c r="E221" s="302" t="n">
        <f aca="false">E176</f>
        <v>1701.76041555755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-48.666702158509</v>
      </c>
      <c r="B233" s="164" t="str">
        <f aca="false">B191</f>
        <v>199.99</v>
      </c>
      <c r="C233" s="164"/>
      <c r="D233" s="312"/>
      <c r="E233" s="164" t="n">
        <f aca="false">E191</f>
        <v>58686.3232978415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1639.88541555755</v>
      </c>
      <c r="B239" s="164" t="n">
        <f aca="false">B176</f>
        <v>61.875</v>
      </c>
      <c r="C239" s="307"/>
      <c r="D239" s="307"/>
      <c r="E239" s="164" t="n">
        <f aca="false">E176</f>
        <v>1701.76041555755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</f>
        <v>34.731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9.4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566.6165625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193.99</v>
      </c>
      <c r="C264" s="319"/>
      <c r="D264" s="320" t="s">
        <v>200</v>
      </c>
      <c r="E264" s="320"/>
      <c r="F264" s="321" t="n">
        <f aca="false">(B263-F263)+B264</f>
        <v>-354.681875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0.072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0.137</v>
      </c>
      <c r="C269" s="221"/>
      <c r="D269" s="165" t="s">
        <v>197</v>
      </c>
      <c r="E269" s="165"/>
      <c r="F269" s="279" t="n">
        <f aca="false">(B98*B68)-(C98*B68)</f>
        <v>52476.3332978415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94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</v>
      </c>
      <c r="C272" s="12"/>
      <c r="D272" s="115" t="s">
        <v>200</v>
      </c>
      <c r="E272" s="115"/>
      <c r="F272" s="279" t="n">
        <f aca="false">(B263-F263)+B264</f>
        <v>-354.681875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62" colorId="64" zoomScale="75" zoomScaleNormal="75" zoomScalePageLayoutView="100" workbookViewId="0">
      <selection pane="topLeft" activeCell="A201" activeCellId="0" sqref="A20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219" t="s">
        <v>71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0.05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50702.1248437457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288.924242424242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288.924242424242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288.924242424242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0.115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0.00958333333333333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4379.8532592462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27.4464895133802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43497.6467407538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1584.81640136705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50714.1248437457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50714.1248437457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80.4375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1584.81640136705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1665.25390136705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 t="s">
        <v>119</v>
      </c>
      <c r="C114" s="164"/>
      <c r="D114" s="164"/>
      <c r="E114" s="45" t="s">
        <v>27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0.3</v>
      </c>
      <c r="B117" s="113" t="s">
        <v>255</v>
      </c>
      <c r="C117" s="113"/>
      <c r="D117" s="113"/>
      <c r="E117" s="260" t="n">
        <f aca="false">B92</f>
        <v>0.115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239.99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1584.81640136705</v>
      </c>
      <c r="B176" s="302" t="n">
        <f aca="false">B103</f>
        <v>80.4375</v>
      </c>
      <c r="C176" s="299"/>
      <c r="D176" s="299"/>
      <c r="E176" s="302" t="n">
        <f aca="false">B105</f>
        <v>1665.25390136705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n">
        <f aca="false">B38</f>
        <v>0</v>
      </c>
      <c r="B179" s="304" t="n">
        <f aca="false">B39</f>
        <v>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-1810.8751562543</v>
      </c>
      <c r="B191" s="164" t="str">
        <f aca="false">B123</f>
        <v>239.99</v>
      </c>
      <c r="C191" s="164"/>
      <c r="D191" s="213"/>
      <c r="E191" s="164" t="n">
        <f aca="false">E188+A191+B191+A194</f>
        <v>56964.1148437457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14.1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571.318229166667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1665.25390136705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1584.81640136705</v>
      </c>
      <c r="B221" s="302" t="n">
        <f aca="false">B176</f>
        <v>80.4375</v>
      </c>
      <c r="C221" s="299"/>
      <c r="D221" s="299"/>
      <c r="E221" s="302" t="n">
        <f aca="false">E176</f>
        <v>1665.25390136705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-1810.8751562543</v>
      </c>
      <c r="B233" s="164" t="str">
        <f aca="false">B191</f>
        <v>239.99</v>
      </c>
      <c r="C233" s="164"/>
      <c r="D233" s="312"/>
      <c r="E233" s="164" t="n">
        <f aca="false">E191</f>
        <v>56964.1148437457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1584.81640136705</v>
      </c>
      <c r="B239" s="164" t="n">
        <f aca="false">B176</f>
        <v>80.4375</v>
      </c>
      <c r="C239" s="307"/>
      <c r="D239" s="307"/>
      <c r="E239" s="164" t="n">
        <f aca="false">E176</f>
        <v>1665.25390136705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J18*0.000006*100*1.2</f>
        <v>41.6772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14.1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571.318229166667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0.115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240.991666666667</v>
      </c>
      <c r="C264" s="319"/>
      <c r="D264" s="320" t="s">
        <v>200</v>
      </c>
      <c r="E264" s="320"/>
      <c r="F264" s="321" t="n">
        <f aca="false">(B263-F263)+B264</f>
        <v>-307.680208333333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0.05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0.115</v>
      </c>
      <c r="C269" s="221"/>
      <c r="D269" s="165" t="s">
        <v>197</v>
      </c>
      <c r="E269" s="165"/>
      <c r="F269" s="279" t="n">
        <f aca="false">(B98*B68)-(C98*B68)</f>
        <v>50714.1248437457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0.3</v>
      </c>
      <c r="C271" s="12"/>
      <c r="D271" s="165" t="s">
        <v>305</v>
      </c>
      <c r="E271" s="165"/>
      <c r="F271" s="279" t="n">
        <f aca="false">E249*10</f>
        <v>141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99.9916666666667</v>
      </c>
      <c r="C272" s="12"/>
      <c r="D272" s="115" t="s">
        <v>200</v>
      </c>
      <c r="E272" s="115"/>
      <c r="F272" s="279" t="n">
        <f aca="false">(B263-F263)+B264</f>
        <v>-307.680208333333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E19" activeCellId="0" sqref="E19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100.0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364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36.0</v>
      </c>
      <c r="I29" s="35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365</v>
      </c>
      <c r="C30" s="122"/>
      <c r="D30" s="343"/>
      <c r="E30" s="344"/>
      <c r="F30" s="171"/>
      <c r="G30" s="354" t="s">
        <v>41</v>
      </c>
      <c r="H30" s="35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27500.0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1030.0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951.531975672137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364"/>
      <c r="D36" s="140" t="n">
        <f aca="false">H31</f>
        <v>27500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63509.8854689439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344"/>
      <c r="F40" s="171"/>
      <c r="G40" s="171" t="s">
        <v>239</v>
      </c>
      <c r="H40" s="366" t="n">
        <f aca="false">A40/1.2</f>
        <v>22916.6666666667</v>
      </c>
      <c r="I40" s="36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28.6111111111111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18764.9097705681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s">
        <v>366</v>
      </c>
      <c r="B45" s="343"/>
      <c r="C45" s="373" t="s">
        <v>366</v>
      </c>
      <c r="D45" s="373"/>
      <c r="E45" s="344"/>
      <c r="F45" s="171"/>
      <c r="G45" s="171" t="s">
        <v>324</v>
      </c>
      <c r="H45" s="366" t="n">
        <f aca="false">(H39-H44)</f>
        <v>30112.5902294319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325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326</v>
      </c>
      <c r="H47" s="366" t="n">
        <f aca="false">H45/H46</f>
        <v>922.920864561026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327</v>
      </c>
      <c r="H48" s="366" t="n">
        <f aca="false">IF(B26="YES", H47+H42, H47)</f>
        <v>951.531975672137</v>
      </c>
      <c r="I48" s="36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328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27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B62+(B62*0.25*((H29/12)-1))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86" t="n">
        <v>10000.0</v>
      </c>
      <c r="D64" s="341" t="n">
        <f aca="false">B64</f>
        <v>6077.925</v>
      </c>
      <c r="E64" s="387" t="n">
        <f aca="false">D64/(B58+B57)</f>
        <v>168.83125</v>
      </c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1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88" t="s">
        <v>201</v>
      </c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89" t="s">
        <v>201</v>
      </c>
      <c r="D67" s="390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91"/>
      <c r="D68" s="341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97" t="n">
        <f aca="false">B73+B71</f>
        <v>380</v>
      </c>
      <c r="E73" s="344" t="s">
        <v>209</v>
      </c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1083.33333333333</v>
      </c>
      <c r="C76" s="343"/>
      <c r="D76" s="341" t="n">
        <f aca="false">B76</f>
        <v>1083.33333333333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8" t="s">
        <v>102</v>
      </c>
      <c r="B77" s="404" t="n">
        <f aca="false">B102/(1-0.1)</f>
        <v>0.0</v>
      </c>
      <c r="C77" s="405"/>
      <c r="D77" s="341" t="n">
        <f aca="false">B77</f>
        <v>0</v>
      </c>
      <c r="E77" s="387" t="n">
        <f aca="false">D77/(B58+B57)</f>
        <v>0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405"/>
      <c r="D78" s="341" t="n">
        <f aca="false">B78</f>
        <v>0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405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405"/>
      <c r="D80" s="341" t="n">
        <f aca="false">B80</f>
        <v>200</v>
      </c>
      <c r="E80" s="387" t="n">
        <f aca="false">(D73+D76+D79+D80)/(B58+B57)</f>
        <v>51.7592592592593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7941.25833333333</v>
      </c>
      <c r="C81" s="405"/>
      <c r="D81" s="410"/>
      <c r="E81" s="387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220.590509259259</v>
      </c>
      <c r="C82" s="405"/>
      <c r="D82" s="343"/>
      <c r="E82" s="387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922.920864561026</v>
      </c>
      <c r="C83" s="405"/>
      <c r="D83" s="343"/>
      <c r="E83" s="387" t="n">
        <f aca="false">B83+E80+E77+E64</f>
        <v>1143.51137382029</v>
      </c>
      <c r="F83" s="171"/>
      <c r="G83" s="411" t="s">
        <v>109</v>
      </c>
      <c r="H83" s="412" t="n">
        <f aca="false">H47</f>
        <v>922.920864561026</v>
      </c>
      <c r="I83" s="343"/>
      <c r="J83" s="343"/>
      <c r="K83" s="344"/>
      <c r="L83" s="171"/>
      <c r="M83" s="411" t="s">
        <v>109</v>
      </c>
      <c r="N83" s="412" t="n">
        <f aca="false">H47</f>
        <v>922.920864561026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405"/>
      <c r="D84" s="405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41166.4094575303</v>
      </c>
      <c r="C85" s="405"/>
      <c r="D85" s="405"/>
      <c r="E85" s="387" t="n">
        <f aca="false">B85/(B58+B57)</f>
        <v>1143.51137382029</v>
      </c>
      <c r="F85" s="171"/>
      <c r="G85" s="368" t="s">
        <v>110</v>
      </c>
      <c r="H85" s="404" t="n">
        <f aca="false">((H83*H29)+H81)*1.2</f>
        <v>48442.5913490363</v>
      </c>
      <c r="I85" s="343"/>
      <c r="J85" s="343"/>
      <c r="K85" s="344"/>
      <c r="L85" s="171"/>
      <c r="M85" s="368" t="s">
        <v>110</v>
      </c>
      <c r="N85" s="404" t="n">
        <f aca="false">((N83*H29)+N81)</f>
        <v>40025.0761241969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(((B83*H29)+B81)/(1-B70))*B70</f>
        <v>348.727147482104</v>
      </c>
      <c r="C86" s="405" t="s">
        <v>212</v>
      </c>
      <c r="D86" s="343"/>
      <c r="E86" s="387" t="n">
        <f aca="false">B86/(B58+B57)</f>
        <v>9.68686520783622</v>
      </c>
      <c r="F86" s="171"/>
      <c r="G86" s="335" t="s">
        <v>111</v>
      </c>
      <c r="H86" s="340" t="n">
        <f aca="false">((((H83*H29)+H81))/(1-H70))*H70</f>
        <v>341.970693266695</v>
      </c>
      <c r="I86" s="343"/>
      <c r="J86" s="343"/>
      <c r="K86" s="344"/>
      <c r="L86" s="171"/>
      <c r="M86" s="335" t="s">
        <v>111</v>
      </c>
      <c r="N86" s="340" t="n">
        <f aca="false">(N85/(1-N70))*N70</f>
        <v>339.058732798764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41515.1366050124</v>
      </c>
      <c r="C87" s="405"/>
      <c r="D87" s="413"/>
      <c r="E87" s="387" t="n">
        <f aca="false">E86+E85</f>
        <v>1153.19823902812</v>
      </c>
      <c r="F87" s="171"/>
      <c r="G87" s="374" t="s">
        <v>112</v>
      </c>
      <c r="H87" s="385" t="n">
        <f aca="false">IF(H110="YES",((H85+H86)-K114),(H85+H86))</f>
        <v>48784.562042303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40364.1348569957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405"/>
      <c r="D88" s="343"/>
      <c r="E88" s="387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(I32+(I32*B105))/(B58), (I32+(I32*B105))/(B57+B58))</f>
        <v>37.1944444444444</v>
      </c>
      <c r="C89" s="405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36.1756097560976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30.1463414634146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1153.19823902812</v>
      </c>
      <c r="C90" s="405"/>
      <c r="D90" s="343"/>
      <c r="E90" s="416"/>
      <c r="F90" s="171"/>
      <c r="G90" s="414" t="s">
        <v>113</v>
      </c>
      <c r="H90" s="415" t="n">
        <f aca="false">IF(H99=Y98, (H87-J105)/(H58), H87/(H57+H58))</f>
        <v>1189.86736688544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984.491094073066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1190.39268347257</v>
      </c>
      <c r="C91" s="405"/>
      <c r="D91" s="419"/>
      <c r="E91" s="420"/>
      <c r="F91" s="171"/>
      <c r="G91" s="417" t="s">
        <v>114</v>
      </c>
      <c r="H91" s="418" t="n">
        <f aca="false">IF(G105="YES", H90+H89, H90)</f>
        <v>1226.04297664154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1014.63743553648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421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 t="s">
        <v>329</v>
      </c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422"/>
      <c r="C97" s="422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330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364</v>
      </c>
      <c r="B105" s="114" t="n">
        <v>0.2</v>
      </c>
      <c r="C105" s="114"/>
      <c r="D105" s="113" t="s">
        <v>368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 t="s">
        <v>28</v>
      </c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IF(B110="YES",((E118*1.2)+E117)-E114,((E118*1.2)+E117))</f>
        <v>1239.988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1189.86736688544</v>
      </c>
      <c r="H127" s="302" t="n">
        <f aca="false">IF(G105="YES", H89*H57, 0)</f>
        <v>217.053658536585</v>
      </c>
      <c r="I127" s="302"/>
      <c r="J127" s="134" t="n">
        <f aca="false">H91</f>
        <v>1226.04297664154</v>
      </c>
      <c r="K127" s="344"/>
      <c r="L127" s="171"/>
      <c r="M127" s="132" t="n">
        <f aca="false">N90</f>
        <v>984.491094073066</v>
      </c>
      <c r="N127" s="302" t="n">
        <f aca="false">IF(M105="YES", N89*N57, 0)</f>
        <v>180.878048780488</v>
      </c>
      <c r="O127" s="302"/>
      <c r="P127" s="302" t="n">
        <f aca="false">N91</f>
        <v>1014.63743553648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364"/>
      <c r="J133" s="140" t="n">
        <f aca="false">H91*H57</f>
        <v>7356.25785984922</v>
      </c>
      <c r="K133" s="344"/>
      <c r="L133" s="171"/>
      <c r="M133" s="139" t="n">
        <f aca="false">N90*N57</f>
        <v>5906.9465644384</v>
      </c>
      <c r="N133" s="164" t="n">
        <f aca="false">IF(M105="YES", N89*N57, 0)</f>
        <v>180.878048780488</v>
      </c>
      <c r="O133" s="364"/>
      <c r="P133" s="140" t="n">
        <f aca="false">N91*N57</f>
        <v>6087.82461321888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1014.63743553648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357" t="s">
        <v>331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6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9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334</v>
      </c>
      <c r="H32" s="432" t="n">
        <f aca="false">A41</f>
        <v>14.2424242424242</v>
      </c>
      <c r="I32" s="0"/>
      <c r="J32" s="435" t="s">
        <v>335</v>
      </c>
      <c r="K32" s="436" t="s">
        <v>336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0"/>
      <c r="J34" s="435" t="s">
        <v>339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340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5" t="s">
        <v>77</v>
      </c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n">
        <f aca="false">B29</f>
        <v>12345</v>
      </c>
      <c r="B170" s="304" t="n">
        <f aca="false">B30</f>
        <v>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6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334</v>
      </c>
      <c r="H32" s="432" t="n">
        <f aca="false">A41</f>
        <v>14.2424242424242</v>
      </c>
      <c r="I32" s="0"/>
      <c r="J32" s="435" t="s">
        <v>335</v>
      </c>
      <c r="K32" s="436" t="s">
        <v>336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0"/>
      <c r="J34" s="435" t="s">
        <v>339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340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264</v>
      </c>
      <c r="D120" s="265" t="s">
        <v>263</v>
      </c>
      <c r="E120" s="267" t="n">
        <v>0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 t="n">
        <v>0</v>
      </c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304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78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334</v>
      </c>
      <c r="H32" s="432" t="n">
        <f aca="false">A41</f>
        <v>14.2424242424242</v>
      </c>
      <c r="I32" s="0"/>
      <c r="J32" s="435" t="s">
        <v>335</v>
      </c>
      <c r="K32" s="436" t="s">
        <v>336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0"/>
      <c r="J34" s="435" t="s">
        <v>339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340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351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13.8924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E188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2" colorId="64" zoomScale="75" zoomScaleNormal="75" zoomScalePageLayoutView="100" workbookViewId="0">
      <selection pane="topLeft" activeCell="D167" activeCellId="0" sqref="D16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44966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332</v>
      </c>
      <c r="C31" s="343"/>
      <c r="D31" s="364" t="s">
        <v>163</v>
      </c>
      <c r="E31" s="344"/>
      <c r="F31" s="171"/>
      <c r="G31" s="354" t="s">
        <v>333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5.28</v>
      </c>
      <c r="E32" s="433"/>
      <c r="F32" s="171"/>
      <c r="G32" s="434" t="s">
        <v>334</v>
      </c>
      <c r="H32" s="432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4"/>
      <c r="F34" s="171"/>
      <c r="G34" s="434" t="s">
        <v>338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341</v>
      </c>
      <c r="C37" s="343"/>
      <c r="D37" s="364" t="s">
        <v>342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345</v>
      </c>
      <c r="H44" s="36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3" t="n">
        <f aca="false">H43+H44</f>
        <v>506.28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6.864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574.763522656985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119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1.9008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680.7408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118.998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3592.098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3592.098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2023-02-08T15:36:32Z</dcterms:modified>
  <cp:revision>527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