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<sst xmlns="http://schemas.openxmlformats.org/spreadsheetml/2006/main" count="35637" uniqueCount="416">
  <si>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</si>
  <si>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</si>
  <si>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</si>
  <si>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</si>
  <si>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</si>
  <si>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</si>
  <si>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</si>
  <si>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</si>
  <si>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</si>
  <si>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</si>
  <si>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</si>
  <si>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</si>
  <si>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</si>
  <si>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</si>
  <si>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</si>
  <si>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</si>
  <si>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</si>
  <si>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</si>
  <si>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</si>
  <si>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</si>
  <si>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</si>
  <si>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</si>
  <si>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</si>
  <si>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</si>
  <si>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</si>
  <si>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</si>
  <si>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</si>
  <si>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</si>
  <si>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</si>
  <si>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</si>
  <si>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</si>
  <si>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</si>
  <si>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</si>
  <si>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</si>
  <si>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</si>
  <si>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</si>
  <si>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</si>
  <si>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</si>
  <si>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</si>
  <si>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</si>
  <si>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</si>
  <si>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</si>
  <si>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</si>
  <si>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</si>
  <si>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</si>
  <si>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</si>
  <si>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</si>
  <si>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</si>
  <si>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</si>
  <si>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</si>
  <si>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</si>
  <si>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</si>
  <si>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</si>
  <si>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</si>
  <si>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</si>
  <si>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</si>
  <si>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</si>
  <si>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</si>
  <si>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</si>
  <si>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</si>
  <si>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</si>
  <si>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</si>
  <si>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</si>
  <si>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</si>
  <si>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</si>
  <si>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</si>
  <si>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</si>
  <si>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</si>
  <si>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</si>
  <si>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</si>
  <si>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</si>
  <si>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</si>
  <si>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</si>
  <si>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</si>
  <si>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</si>
  <si>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</si>
  <si>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</si>
  <si>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</si>
  <si>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</si>
  <si>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</si>
  <si>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</si>
  <si>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</si>
  <si>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</si>
  <si>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</si>
  <si>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</si>
  <si>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</si>
  <si>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</si>
  <si>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</si>
  <si>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</si>
  <si>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</si>
  <si>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</si>
  <si>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</si>
  <si>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</si>
  <si>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</si>
  <si>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</si>
  <si>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</si>
  <si>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</si>
  <si>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</si>
  <si>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</si>
  <si>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</si>
  <si>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</si>
  <si>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</si>
  <si>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</si>
  <si>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</si>
  <si>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</si>
  <si>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</si>
  <si>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</si>
  <si>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</si>
  <si>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</si>
  <si>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</si>
  <si>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</si>
  <si>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</si>
  <si>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</si>
  <si>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</si>
  <si>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</si>
  <si>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</si>
  <si>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</si>
  <si>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</si>
  <si>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</si>
  <si>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</si>
  <si>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</si>
  <si>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</si>
  <si>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</si>
  <si>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</si>
  <si>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</si>
  <si>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</si>
  <si>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</si>
  <si>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</si>
  <si>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</si>
  <si>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</si>
  <si>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</si>
  <si>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</si>
  <si>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</si>
  <si>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</si>
  <si>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</si>
  <si>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</si>
  <si>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</si>
  <si>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</si>
  <si>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</si>
  <si>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</si>
  <si>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</si>
  <si>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</si>
  <si>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</si>
  <si>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</si>
  <si>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</si>
  <si>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</si>
  <si>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</si>
  <si>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</si>
  <si>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</si>
  <si>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</si>
  <si>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</si>
  <si>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</si>
  <si>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</si>
  <si>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</si>
  <si>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</si>
  <si>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</si>
  <si>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</si>
  <si>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</si>
  <si>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</si>
  <si>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</si>
  <si>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</si>
  <si>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</si>
  <si>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</si>
  <si>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</si>
  <si>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</si>
  <si>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</si>
  <si>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</si>
  <si>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</si>
  <si>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</si>
  <si>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</si>
  <si>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</si>
  <si>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</si>
  <si>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</si>
  <si>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</si>
  <si>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</si>
  <si>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</si>
  <si>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</si>
  <si>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</si>
  <si>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</si>
  <si>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</si>
  <si>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</si>
  <si>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</si>
  <si>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</si>
  <si>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</si>
  <si>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</si>
  <si>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</si>
  <si>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</si>
  <si>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</si>
  <si>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</si>
  <si>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</si>
  <si>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</si>
  <si>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</si>
  <si>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</si>
  <si>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</si>
  <si>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</si>
  <si>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</si>
  <si>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</si>
  <si>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</si>
  <si>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</si>
  <si>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</si>
  <si>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</si>
  <si>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</si>
  <si>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</si>
  <si>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</si>
  <si>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</si>
  <si>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</si>
  <si>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</si>
  <si>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</si>
  <si>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</si>
  <si>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</si>
  <si>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</si>
  <si>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</si>
  <si>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</si>
  <si>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</si>
  <si>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</si>
  <si>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</si>
  <si>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</si>
  <si>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</si>
  <si>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</si>
  <si>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</si>
  <si>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</si>
  <si>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</si>
  <si>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</si>
  <si>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</si>
  <si>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</si>
  <si>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</si>
  <si>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</si>
  <si>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</si>
  <si>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</si>
  <si>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</si>
  <si>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</si>
  <si>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</si>
  <si>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</si>
  <si>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</si>
  <si>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</si>
  <si>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</si>
  <si>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</si>
  <si>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</si>
  <si>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</si>
  <si>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</si>
  <si>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</si>
  <si>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</si>
  <si>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</si>
  <si>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</si>
  <si>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</si>
  <si>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</si>
  <si>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</si>
  <si>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</si>
  <si>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</si>
  <si>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</si>
  <si>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</si>
  <si>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</si>
  <si>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</si>
  <si>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</si>
  <si>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</si>
  <si>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</si>
  <si>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</si>
  <si>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</si>
  <si>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</si>
  <si>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</si>
  <si>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</si>
  <si>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</si>
  <si>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</si>
  <si>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</si>
  <si>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</si>
  <si>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</si>
  <si>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</si>
  <si>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</si>
  <si>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</si>
  <si>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</si>
  <si>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</si>
  <si>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</si>
  <si>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</si>
  <si>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</si>
  <si>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</si>
  <si>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</si>
  <si>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</si>
  <si>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</si>
  <si>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</si>
  <si>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</si>
  <si>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</si>
  <si>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</si>
  <si>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</si>
  <si>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</si>
  <si>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</si>
  <si>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</si>
  <si>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</si>
  <si>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</si>
  <si>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</si>
  <si>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</si>
  <si>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</si>
  <si>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</si>
  <si>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</si>
  <si>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</si>
  <si>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</si>
  <si>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</si>
  <si>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</si>
  <si>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</si>
  <si>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</si>
  <si>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</si>
  <si>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</si>
  <si>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</si>
  <si>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</si>
  <si>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</si>
  <si>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</si>
  <si>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</si>
  <si>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</si>
  <si>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</si>
  <si>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</si>
  <si>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</si>
  <si>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</si>
  <si>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</si>
  <si>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</si>
  <si>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</si>
  <si>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</si>
  <si>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</si>
  <si>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</si>
  <si>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</si>
  <si>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</si>
  <si>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</si>
  <si>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</si>
  <si>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</si>
  <si>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</si>
  <si>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</si>
  <si>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</si>
  <si>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</si>
  <si>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</si>
  <si>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</si>
  <si>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</si>
  <si>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</si>
  <si>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</si>
  <si>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</si>
  <si>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</si>
  <si>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</si>
  <si>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</si>
  <si>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</si>
  <si>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</si>
  <si>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</si>
  <si>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</si>
  <si>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</si>
  <si>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</si>
  <si>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</si>
  <si>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</si>
  <si>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</si>
  <si>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</si>
  <si>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</si>
  <si>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</si>
  <si>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</si>
  <si>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</si>
  <si>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</si>
  <si>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</si>
  <si>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</si>
  <si>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</si>
  <si>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</si>
  <si>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</si>
  <si>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</si>
  <si>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</si>
  <si>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</si>
  <si>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</si>
  <si>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</si>
  <si>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</si>
  <si>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</si>
  <si>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</si>
  <si>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</si>
  <si>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</si>
  <si>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</si>
  <si>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</si>
  <si>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</si>
  <si>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</si>
  <si>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</si>
  <si>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</si>
  <si>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</si>
  <si>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</si>
  <si>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</si>
  <si>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</si>
  <si>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</si>
  <si>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</si>
  <si>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</si>
  <si>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</si>
  <si>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</si>
  <si>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470.00</t>
  </si>
  <si>
    <t xml:space="preserve">48877.50</t>
  </si>
  <si>
    <t xml:space="preserve">5.28</t>
  </si>
  <si>
    <t xml:space="preserve">60</t>
  </si>
  <si>
    <t xml:space="preserve">2</t>
  </si>
  <si>
    <t xml:space="preserve">RFL included?</t>
  </si>
  <si>
    <t>YES</t>
  </si>
  <si>
    <t>0</t>
  </si>
  <si>
    <t>100</t>
  </si>
  <si>
    <t>50</t>
  </si>
  <si>
    <t>NO</t>
  </si>
  <si>
    <t>30</t>
  </si>
  <si>
    <t>40</t>
  </si>
  <si>
    <t>500</t>
  </si>
  <si>
    <t>60</t>
  </si>
  <si>
    <t>6000</t>
  </si>
  <si>
    <t>12</t>
  </si>
  <si>
    <t>10</t>
  </si>
  <si>
    <t>2</t>
  </si>
  <si>
    <t>1</t>
  </si>
  <si>
    <t>239.99</t>
  </si>
  <si>
    <t>5000</t>
  </si>
  <si>
    <t>1000</t>
  </si>
  <si>
    <t>0.00</t>
  </si>
  <si>
    <t>Limited Credit</t>
  </si>
  <si>
    <t>20</t>
  </si>
  <si>
    <t>199.99</t>
  </si>
  <si>
    <t>22458.33</t>
  </si>
  <si>
    <t>33</t>
  </si>
  <si>
    <t>A1 Credit</t>
  </si>
  <si>
    <t>200</t>
  </si>
  <si>
    <t xml:space="preserve"> Terminal pause with 6 down </t>
  </si>
  <si>
    <t>5.28</t>
  </si>
  <si>
    <t>48877.50</t>
  </si>
  <si>
    <t>470.00</t>
  </si>
  <si>
    <t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</si>
</sst>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1245.34926241148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1245.34926241148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1245.34926241148</v>
      </c>
      <c r="B176" s="174" t="n">
        <f aca="false">B103</f>
        <v>0</v>
      </c>
      <c r="C176" s="171"/>
      <c r="D176" s="171"/>
      <c r="E176" s="174" t="n">
        <f aca="false">B105</f>
        <v>1245.34926241148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-6551.15811347375</v>
      </c>
      <c r="B191" s="99" t="str">
        <f aca="false">B123</f>
        <v>239.99</v>
      </c>
      <c r="C191" s="99"/>
      <c r="D191" s="23"/>
      <c r="E191" s="99" t="n">
        <f aca="false">E188+A191+B191+A194</f>
        <v>19948.8318865263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1245.34926241148</v>
      </c>
      <c r="B221" s="174" t="n">
        <f aca="false">B176</f>
        <v>0</v>
      </c>
      <c r="C221" s="171"/>
      <c r="D221" s="171"/>
      <c r="E221" s="174" t="n">
        <f aca="false">E176</f>
        <v>1245.34926241148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-6551.15811347375</v>
      </c>
      <c r="B233" s="99" t="str">
        <f aca="false">B191</f>
        <v>239.99</v>
      </c>
      <c r="C233" s="99"/>
      <c r="D233" s="109"/>
      <c r="E233" s="99" t="n">
        <f aca="false">E191</f>
        <v>19948.8318865263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1245.34926241148</v>
      </c>
      <c r="B239" s="99" t="n">
        <f aca="false">B176</f>
        <v>0</v>
      </c>
      <c r="C239" s="183"/>
      <c r="D239" s="183"/>
      <c r="E239" s="99" t="n">
        <f aca="false">E176</f>
        <v>1245.34926241148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130" t="n">
        <f aca="false">B81-B86</f>
        <v>14244.1760889046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130" t="n">
        <f aca="false">(B88/B87)</f>
        <v>518.979889284584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518.979889284584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518.979889284584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518.979889284584</v>
      </c>
      <c r="B167" s="174" t="n">
        <f aca="false">B94</f>
        <v>0</v>
      </c>
      <c r="C167" s="171"/>
      <c r="D167" s="171"/>
      <c r="E167" s="174" t="n">
        <f aca="false">B96</f>
        <v>518.979889284584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-3192.64354289331</v>
      </c>
      <c r="B182" s="99" t="str">
        <f aca="false">B114</f>
        <v>239.99</v>
      </c>
      <c r="C182" s="99"/>
      <c r="D182" s="23"/>
      <c r="E182" s="99" t="n">
        <f aca="false">E179+A182+B182+A185</f>
        <v>24057.3464571067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518.979889284584</v>
      </c>
      <c r="B212" s="174" t="n">
        <f aca="false">B167</f>
        <v>0</v>
      </c>
      <c r="C212" s="171"/>
      <c r="D212" s="171"/>
      <c r="E212" s="174" t="n">
        <f aca="false">E167</f>
        <v>518.979889284584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-3192.64354289331</v>
      </c>
      <c r="B224" s="99" t="str">
        <f aca="false">B182</f>
        <v>239.99</v>
      </c>
      <c r="C224" s="99"/>
      <c r="D224" s="109"/>
      <c r="E224" s="99" t="n">
        <f aca="false">E182</f>
        <v>24057.3464571067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518.979889284584</v>
      </c>
      <c r="B230" s="99" t="n">
        <f aca="false">B167</f>
        <v>0</v>
      </c>
      <c r="C230" s="183"/>
      <c r="D230" s="183"/>
      <c r="E230" s="99" t="n">
        <f aca="false">E167</f>
        <v>518.979889284584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316" t="n">
        <v>10000</v>
      </c>
      <c r="D70" s="32" t="n">
        <f aca="false">B70-A149</f>
        <v>1722</v>
      </c>
      <c r="E70" s="317" t="n">
        <f aca="false">D70/12</f>
        <v>143.5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3346.58333333333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278.881944444444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6278.58333333333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53.1868697055264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6331.77020303886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527.647516919905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587.647516919905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20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527.647516919905</v>
      </c>
      <c r="B134" s="320" t="n">
        <f aca="false">IF(A111="YES", B95, 0)</f>
        <v>60</v>
      </c>
      <c r="C134" s="325"/>
      <c r="D134" s="320" t="n">
        <f aca="false">B97</f>
        <v>587.647516919905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527.647516919905</v>
      </c>
      <c r="C137" s="316"/>
      <c r="D137" s="38" t="n">
        <f aca="false">IF(A111="YES", B95*B63, 0)</f>
        <v>60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587.647516919905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527.647516919905</v>
      </c>
      <c r="B143" s="38" t="n">
        <f aca="false">IF(A111="YES", B95, 0)</f>
        <v>60</v>
      </c>
      <c r="C143" s="316"/>
      <c r="D143" s="38" t="n">
        <f aca="false">B97</f>
        <v>587.647516919905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12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587.647516919905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527.647516919905</v>
      </c>
      <c r="B177" s="354" t="n">
        <f aca="false">IF(A111="YES", B95, 0)</f>
        <v>60</v>
      </c>
      <c r="C177" s="357"/>
      <c r="D177" s="354" t="n">
        <f aca="false">B91</f>
        <v>6278.58333333333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527.647516919905</v>
      </c>
      <c r="C180" s="352"/>
      <c r="D180" s="99" t="n">
        <f aca="false">IF(A111="YES", B95*B63, 0)</f>
        <v>60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587.647516919905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527.647516919905</v>
      </c>
      <c r="B186" s="99" t="n">
        <f aca="false">IF(A111="YES", B95, 0)</f>
        <v>60</v>
      </c>
      <c r="C186" s="352"/>
      <c r="D186" s="99" t="n">
        <f aca="false">B97</f>
        <v>587.647516919905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12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757.99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1722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459.99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1935.99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1935.99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120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53.1868697055264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11309.5780354982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942.464836291516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1020.46483629152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942.464836291516</v>
      </c>
      <c r="B134" s="320" t="n">
        <f aca="false">IF(A111="YES", B95, 0)</f>
        <v>78</v>
      </c>
      <c r="C134" s="325"/>
      <c r="D134" s="320" t="n">
        <f aca="false">B97</f>
        <v>1020.46483629152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942.464836291516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1020.46483629152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942.464836291516</v>
      </c>
      <c r="B143" s="38" t="n">
        <f aca="false">IF(A111="YES", B95, 0)</f>
        <v>78</v>
      </c>
      <c r="C143" s="316"/>
      <c r="D143" s="38" t="n">
        <f aca="false">B97</f>
        <v>1020.46483629152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1020.46483629152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942.464836291516</v>
      </c>
      <c r="B177" s="354" t="n">
        <f aca="false">IF(A111="YES", B95, 0)</f>
        <v>78</v>
      </c>
      <c r="C177" s="357"/>
      <c r="D177" s="354" t="n">
        <f aca="false">B97</f>
        <v>1020.46483629152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942.464836291516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1020.46483629152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942.464836291516</v>
      </c>
      <c r="B186" s="99" t="n">
        <f aca="false">IF(A111="YES", B95, 0)</f>
        <v>78</v>
      </c>
      <c r="C186" s="352"/>
      <c r="D186" s="99" t="n">
        <f aca="false">B97</f>
        <v>1020.46483629152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763.991666666667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786.488447402627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0</v>
      </c>
      <c r="C134" s="325"/>
      <c r="D134" s="320" t="n">
        <f aca="false">B97</f>
        <v>786.488447402627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7078.39602662364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7078.39602662364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0</v>
      </c>
      <c r="C143" s="316"/>
      <c r="D143" s="38" t="n">
        <f aca="false">B97</f>
        <v>786.488447402627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786.488447402627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0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7078.39602662364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7078.39602662364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0</v>
      </c>
      <c r="C186" s="352"/>
      <c r="D186" s="99" t="n">
        <f aca="false">B97</f>
        <v>786.488447402627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1349.85127868987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1302.50127868987</v>
      </c>
      <c r="B36" s="228" t="n">
        <f aca="false">IF(B26="YES", K42, "0.00")</f>
        <v>47.35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08"/>
    </row>
    <row r="40" customFormat="false" ht="17.35" hidden="false" customHeight="false" outlineLevel="0" collapsed="false">
      <c r="A40" s="103" t="n">
        <f aca="false">E36*A45/100</f>
        <v>6960</v>
      </c>
      <c r="B40" s="103" t="n">
        <f aca="false">IF(B26="YES", K42, "0.00")</f>
        <v>47.35</v>
      </c>
      <c r="C40" s="103"/>
      <c r="D40" s="103"/>
      <c r="E40" s="179" t="n">
        <f aca="false">K32</f>
        <v>947</v>
      </c>
      <c r="F40" s="183"/>
      <c r="G40" s="183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47.35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5406.6586473764</v>
      </c>
      <c r="L44" s="2"/>
      <c r="P44" s="208"/>
    </row>
    <row r="45" customFormat="false" ht="17.35" hidden="false" customHeight="false" outlineLevel="0" collapsed="false">
      <c r="A45" s="449" t="n">
        <v>40</v>
      </c>
      <c r="B45" s="130"/>
      <c r="C45" s="62" t="n">
        <v>60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15093.3413526236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1349.85127868987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1302.50127868987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1349.85127868987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1349.85127868987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130"/>
      <c r="D82" s="130"/>
      <c r="E82" s="109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6960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6960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130"/>
      <c r="D86" s="130"/>
      <c r="E86" s="109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6046.66713823221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6046.66713823221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130"/>
      <c r="D88" s="130"/>
      <c r="E88" s="109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130"/>
      <c r="D89" s="130"/>
      <c r="E89" s="109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130"/>
      <c r="D90" s="130"/>
      <c r="E90" s="109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130"/>
      <c r="D92" s="130"/>
      <c r="E92" s="109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74.3825454545455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1976.40189631429</v>
      </c>
      <c r="C95" s="130"/>
      <c r="D95" s="130"/>
      <c r="E95" s="109"/>
      <c r="F95" s="91" t="s">
        <v>118</v>
      </c>
      <c r="G95" s="92" t="n">
        <f aca="false">G92/(G85)</f>
        <v>1922.57780899567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2050.78444176883</v>
      </c>
      <c r="C96" s="130"/>
      <c r="D96" s="130"/>
      <c r="E96" s="109"/>
      <c r="F96" s="93" t="s">
        <v>119</v>
      </c>
      <c r="G96" s="94" t="n">
        <f aca="false">G94+G95</f>
        <v>1984.56326354112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1976.40189631429</v>
      </c>
      <c r="B167" s="174" t="n">
        <f aca="false">B94</f>
        <v>74.3825454545455</v>
      </c>
      <c r="C167" s="171"/>
      <c r="D167" s="171"/>
      <c r="E167" s="174" t="n">
        <f aca="false">B96</f>
        <v>2050.78444176883</v>
      </c>
      <c r="F167" s="23"/>
      <c r="G167" s="23" t="n">
        <f aca="false">ROUND(G95, 2)</f>
        <v>1922.58</v>
      </c>
      <c r="H167" s="33"/>
      <c r="J167" s="173" t="e">
        <f aca="false">K95</f>
        <v>#VALUE!</v>
      </c>
      <c r="K167" s="174" t="n">
        <f aca="false">K94</f>
        <v>123.11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35000</v>
      </c>
      <c r="C170" s="178"/>
      <c r="D170" s="23"/>
      <c r="E170" s="179" t="n">
        <f aca="false">IF(A111="YES",A40, 0)</f>
        <v>6960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6960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6960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1700.42085945718</v>
      </c>
      <c r="B182" s="99" t="str">
        <f aca="false">B114</f>
        <v>239.99</v>
      </c>
      <c r="C182" s="99"/>
      <c r="D182" s="23"/>
      <c r="E182" s="99" t="n">
        <f aca="false">E179+A182+B182+A185</f>
        <v>28950.4108594572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6970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6980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6970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6970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0.081052</v>
      </c>
      <c r="B188" s="99" t="n">
        <f aca="false">(G158*B67)/1.2</f>
        <v>112.5</v>
      </c>
      <c r="C188" s="130"/>
      <c r="D188" s="130"/>
      <c r="E188" s="99" t="n">
        <f aca="false">(E40*A108)*0.1*C45/100</f>
        <v>11.364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223.855666666667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3" t="n">
        <f aca="false">E179+A201+B182+A185</f>
        <v>28358.37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1976.40189631429</v>
      </c>
      <c r="B212" s="174" t="n">
        <f aca="false">B167</f>
        <v>74.3825454545455</v>
      </c>
      <c r="C212" s="171"/>
      <c r="D212" s="171"/>
      <c r="E212" s="174" t="n">
        <f aca="false">E167</f>
        <v>2050.78444176883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1700.42085945718</v>
      </c>
      <c r="B224" s="99" t="str">
        <f aca="false">B182</f>
        <v>239.99</v>
      </c>
      <c r="C224" s="99"/>
      <c r="D224" s="109"/>
      <c r="E224" s="99" t="n">
        <f aca="false">E182</f>
        <v>28950.4108594572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1976.40189631429</v>
      </c>
      <c r="B230" s="99" t="n">
        <f aca="false">B167</f>
        <v>74.3825454545455</v>
      </c>
      <c r="C230" s="183"/>
      <c r="D230" s="183"/>
      <c r="E230" s="99" t="n">
        <f aca="false">E167</f>
        <v>2050.78444176883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6960</v>
      </c>
      <c r="B233" s="99" t="n">
        <f aca="false">E185</f>
        <v>6970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11.364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2223.85566666667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602.040859457178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213.631666666667</v>
      </c>
      <c r="C255" s="194"/>
      <c r="D255" s="195" t="s">
        <v>215</v>
      </c>
      <c r="E255" s="195"/>
      <c r="F255" s="196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16.6909090909091</v>
      </c>
      <c r="C94" s="130"/>
      <c r="D94" s="130"/>
      <c r="E94" s="109"/>
      <c r="F94" s="88" t="s">
        <v>117</v>
      </c>
      <c r="G94" s="259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653.141355826553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669.832264917462</v>
      </c>
      <c r="C96" s="130"/>
      <c r="D96" s="130"/>
      <c r="E96" s="109"/>
      <c r="F96" s="93" t="s">
        <v>119</v>
      </c>
      <c r="G96" s="94" t="n">
        <f aca="false">G94+G95</f>
        <v>601.061762603265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653.141355826553</v>
      </c>
      <c r="B167" s="174" t="n">
        <f aca="false">B94</f>
        <v>16.6909090909091</v>
      </c>
      <c r="C167" s="171"/>
      <c r="D167" s="171"/>
      <c r="E167" s="174" t="n">
        <f aca="false">B96</f>
        <v>669.832264917462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177" t="n">
        <f aca="false">K30</f>
        <v>10000</v>
      </c>
      <c r="C170" s="178"/>
      <c r="D170" s="23"/>
      <c r="E170" s="179" t="n">
        <f aca="false">IF(A111="YES",A40,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2184.55491409208</v>
      </c>
      <c r="B182" s="99" t="str">
        <f aca="false">B114</f>
        <v>199.99</v>
      </c>
      <c r="C182" s="99"/>
      <c r="D182" s="23"/>
      <c r="E182" s="99" t="n">
        <f aca="false">E179+A182+(B182*1.2)+A185</f>
        <v>26934.5429140921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102.083333333333</v>
      </c>
      <c r="C188" s="130"/>
      <c r="D188" s="130"/>
      <c r="E188" s="99" t="n">
        <f aca="false">(E40*A108)*0.1*(C45/100)</f>
        <v>3.06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205.133333333333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E179+A201+(B182*1.2)+A185</f>
        <v>26178.058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653.141355826553</v>
      </c>
      <c r="B212" s="174" t="n">
        <f aca="false">B167</f>
        <v>16.6909090909091</v>
      </c>
      <c r="C212" s="171"/>
      <c r="D212" s="171"/>
      <c r="E212" s="174" t="n">
        <f aca="false">E167</f>
        <v>669.832264917462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2184.55491409208</v>
      </c>
      <c r="B224" s="99" t="str">
        <f aca="false">B182</f>
        <v>199.99</v>
      </c>
      <c r="C224" s="99"/>
      <c r="D224" s="109"/>
      <c r="E224" s="99" t="n">
        <f aca="false">E182</f>
        <v>26934.5429140921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653.141355826553</v>
      </c>
      <c r="B230" s="99" t="n">
        <f aca="false">B167</f>
        <v>16.6909090909091</v>
      </c>
      <c r="C230" s="183"/>
      <c r="D230" s="183"/>
      <c r="E230" s="99" t="n">
        <f aca="false">E167</f>
        <v>669.832264917462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3.06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2205.13333333333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766.484914092078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130.59</v>
      </c>
      <c r="C255" s="194"/>
      <c r="D255" s="195" t="s">
        <v>215</v>
      </c>
      <c r="E255" s="195"/>
      <c r="F255" s="196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17400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947.04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35000</v>
      </c>
      <c r="C33" s="130"/>
      <c r="D33" s="130"/>
      <c r="E33" s="228" t="n">
        <f aca="false">K48</f>
        <v>1225.3174614409</v>
      </c>
      <c r="F33" s="228"/>
      <c r="G33" s="228"/>
      <c r="H33" s="47"/>
      <c r="I33" s="2"/>
      <c r="J33" s="34" t="s">
        <v>351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1185.8574614409</v>
      </c>
      <c r="B36" s="228" t="n">
        <f aca="false">IF(B26="YES", K42, "0.00")</f>
        <v>39.46</v>
      </c>
      <c r="C36" s="228"/>
      <c r="D36" s="228"/>
      <c r="E36" s="228" t="n">
        <f aca="false">K31</f>
        <v>17400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15571.4354497864</v>
      </c>
      <c r="N39" s="1" t="n">
        <f aca="false">K39-L39</f>
        <v>4928.5645502136</v>
      </c>
      <c r="P39" s="208"/>
    </row>
    <row r="40" customFormat="false" ht="17.35" hidden="false" customHeight="false" outlineLevel="0" collapsed="false">
      <c r="A40" s="103" t="n">
        <f aca="false">E36*A45/100</f>
        <v>8700</v>
      </c>
      <c r="B40" s="103" t="n">
        <f aca="false">IF(B26="YES", K42, "0.00")</f>
        <v>39.46</v>
      </c>
      <c r="C40" s="103"/>
      <c r="D40" s="103"/>
      <c r="E40" s="179" t="n">
        <f aca="false">K32</f>
        <v>947.04</v>
      </c>
      <c r="F40" s="183"/>
      <c r="G40" s="183"/>
      <c r="H40" s="47"/>
      <c r="J40" s="2" t="s">
        <v>106</v>
      </c>
      <c r="K40" s="2" t="n">
        <f aca="false">(A40)/1.2</f>
        <v>7250</v>
      </c>
      <c r="L40" s="2" t="n">
        <f aca="false">K39-L39</f>
        <v>4928.5645502136</v>
      </c>
      <c r="N40" s="1" t="n">
        <f aca="false">N38-N39</f>
        <v>-2016.8845502136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39.46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6758.3233092205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50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13741.6766907795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1185.8574614409</v>
      </c>
      <c r="L47" s="2" t="n">
        <f aca="false">L49-K42</f>
        <v>760.54</v>
      </c>
      <c r="M47" s="1" t="n">
        <f aca="false">K47-L47</f>
        <v>425.317461440897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1225.3174614409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1225.3174614409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5854.80306952689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1185.8574614409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1185.8574614409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1225.3174614409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1225.3174614409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8700</v>
      </c>
      <c r="C82" s="130"/>
      <c r="D82" s="130"/>
      <c r="E82" s="109"/>
      <c r="F82" s="31" t="s">
        <v>106</v>
      </c>
      <c r="G82" s="33" t="n">
        <f aca="false">IF(A111 = "Yes", A40, 0)</f>
        <v>8700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8700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8700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0.0995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0.00829166666666667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7879.2543195884</v>
      </c>
      <c r="C86" s="130"/>
      <c r="D86" s="130"/>
      <c r="E86" s="109"/>
      <c r="F86" s="31" t="s">
        <v>110</v>
      </c>
      <c r="G86" s="33" t="n">
        <f aca="false">(G82/((1+G84)^(G85+1)))</f>
        <v>8153.91707257453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7558.33392279027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7558.33392279027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19120.7456804116</v>
      </c>
      <c r="C88" s="130"/>
      <c r="D88" s="130"/>
      <c r="E88" s="109"/>
      <c r="F88" s="31" t="s">
        <v>112</v>
      </c>
      <c r="G88" s="33" t="n">
        <f aca="false">G81-G86</f>
        <v>18846.0829274255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1825.9175097107</v>
      </c>
      <c r="C89" s="130"/>
      <c r="D89" s="130"/>
      <c r="E89" s="109"/>
      <c r="F89" s="31" t="s">
        <v>113</v>
      </c>
      <c r="G89" s="33" t="n">
        <f aca="false">(G88/G87)</f>
        <v>1769.46316969156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20085.0926068177</v>
      </c>
      <c r="C90" s="130"/>
      <c r="D90" s="130"/>
      <c r="E90" s="109"/>
      <c r="F90" s="31" t="s">
        <v>114</v>
      </c>
      <c r="G90" s="33" t="n">
        <f aca="false">((G89*(G85))+G77)</f>
        <v>19464.0948666072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20085.0926068177</v>
      </c>
      <c r="C92" s="130"/>
      <c r="D92" s="130"/>
      <c r="E92" s="109"/>
      <c r="F92" s="56" t="s">
        <v>116</v>
      </c>
      <c r="G92" s="65" t="n">
        <f aca="false">(G90+G91)</f>
        <v>19464.0948666072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51.6567272727273</v>
      </c>
      <c r="C94" s="130"/>
      <c r="D94" s="130"/>
      <c r="E94" s="109"/>
      <c r="F94" s="88" t="s">
        <v>117</v>
      </c>
      <c r="G94" s="259" t="n">
        <f aca="false">IF(B26="YES",((E40/B85)*(1+A108)*(C45/100)),"0")</f>
        <v>51.6567272727273</v>
      </c>
      <c r="H94" s="33"/>
      <c r="J94" s="88" t="s">
        <v>117</v>
      </c>
      <c r="K94" s="89" t="n">
        <f aca="false">((E40/K85)*(1+J108))*1.2</f>
        <v>123.1152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103.313454545455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123.976145454545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1825.9175097107</v>
      </c>
      <c r="C95" s="130"/>
      <c r="D95" s="130"/>
      <c r="E95" s="109"/>
      <c r="F95" s="91" t="s">
        <v>118</v>
      </c>
      <c r="G95" s="92" t="n">
        <f aca="false">G92/(G85)</f>
        <v>1769.46316969156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1877.57423698342</v>
      </c>
      <c r="C96" s="130"/>
      <c r="D96" s="130"/>
      <c r="E96" s="109"/>
      <c r="F96" s="93" t="s">
        <v>119</v>
      </c>
      <c r="G96" s="94" t="n">
        <f aca="false">G94+G95</f>
        <v>1821.11989696429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0.0995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1825.9175097107</v>
      </c>
      <c r="B167" s="174" t="n">
        <f aca="false">B94</f>
        <v>51.6567272727273</v>
      </c>
      <c r="C167" s="171"/>
      <c r="D167" s="171"/>
      <c r="E167" s="174" t="n">
        <f aca="false">B96</f>
        <v>1877.57423698342</v>
      </c>
      <c r="F167" s="23"/>
      <c r="G167" s="23" t="n">
        <f aca="false">ROUND(G95, 2)</f>
        <v>1769.46</v>
      </c>
      <c r="H167" s="33"/>
      <c r="J167" s="173" t="e">
        <f aca="false">K95</f>
        <v>#VALUE!</v>
      </c>
      <c r="K167" s="174" t="n">
        <f aca="false">K94</f>
        <v>123.1152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103.313454545455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123.976145454545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35000</v>
      </c>
      <c r="C170" s="178"/>
      <c r="D170" s="23"/>
      <c r="E170" s="179" t="n">
        <f aca="false">IF(A111="YES", A40, 0)</f>
        <v>8700</v>
      </c>
      <c r="F170" s="23"/>
      <c r="G170" s="23"/>
      <c r="H170" s="33"/>
      <c r="J170" s="176" t="n">
        <f aca="false">K29</f>
        <v>12</v>
      </c>
      <c r="K170" s="177" t="n">
        <f aca="false">K30</f>
        <v>35000</v>
      </c>
      <c r="L170" s="178"/>
      <c r="M170" s="23"/>
      <c r="N170" s="179" t="n">
        <f aca="false">IF(A111="YES", A40, 0)</f>
        <v>8700</v>
      </c>
      <c r="O170" s="23"/>
      <c r="P170" s="23"/>
      <c r="Q170" s="33"/>
      <c r="S170" s="176" t="n">
        <f aca="false">K29</f>
        <v>12</v>
      </c>
      <c r="T170" s="177" t="n">
        <f aca="false">K30</f>
        <v>35000</v>
      </c>
      <c r="U170" s="178"/>
      <c r="V170" s="23"/>
      <c r="W170" s="179" t="n">
        <f aca="false">IF(A111="YES", A40, 0)</f>
        <v>8700</v>
      </c>
      <c r="X170" s="23"/>
      <c r="Y170" s="23"/>
      <c r="Z170" s="33"/>
      <c r="AB170" s="176" t="n">
        <f aca="false">K29</f>
        <v>12</v>
      </c>
      <c r="AC170" s="177" t="n">
        <f aca="false">K30</f>
        <v>35000</v>
      </c>
      <c r="AD170" s="178"/>
      <c r="AE170" s="23"/>
      <c r="AF170" s="179" t="n">
        <f aca="false">IF(A111="YES", A40, 0)</f>
        <v>8700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1785.09260681766</v>
      </c>
      <c r="B182" s="99" t="str">
        <f aca="false">B114</f>
        <v>199.99</v>
      </c>
      <c r="C182" s="99"/>
      <c r="D182" s="23"/>
      <c r="E182" s="99" t="n">
        <f aca="false">E179+A182+(B182*1.2)+A185</f>
        <v>29035.0806068177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8710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8720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8710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8710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8.1052</v>
      </c>
      <c r="B188" s="99" t="n">
        <f aca="false">(G158*B67)/1.2</f>
        <v>112.5</v>
      </c>
      <c r="C188" s="130"/>
      <c r="D188" s="130"/>
      <c r="E188" s="99" t="n">
        <f aca="false">(E40*A108)*0.1*(C45/100)</f>
        <v>9.4704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28.4112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18.9408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18.9408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221.9604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1877.57423698342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1164.06</v>
      </c>
      <c r="B201" s="183" t="n">
        <f aca="false">E179+A201+(B182*1.2)+A185</f>
        <v>28414.048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1825.9175097107</v>
      </c>
      <c r="B212" s="174" t="n">
        <f aca="false">B167</f>
        <v>51.6567272727273</v>
      </c>
      <c r="C212" s="171"/>
      <c r="D212" s="171"/>
      <c r="E212" s="174" t="n">
        <f aca="false">E167</f>
        <v>1877.57423698342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1785.09260681766</v>
      </c>
      <c r="B224" s="99" t="str">
        <f aca="false">B182</f>
        <v>199.99</v>
      </c>
      <c r="C224" s="99"/>
      <c r="D224" s="109"/>
      <c r="E224" s="99" t="n">
        <f aca="false">E182</f>
        <v>29035.0806068177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1825.9175097107</v>
      </c>
      <c r="B230" s="99" t="n">
        <f aca="false">B167</f>
        <v>51.6567272727273</v>
      </c>
      <c r="C230" s="183"/>
      <c r="D230" s="183"/>
      <c r="E230" s="99" t="n">
        <f aca="false">E167</f>
        <v>1877.57423698342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8700</v>
      </c>
      <c r="B233" s="99" t="n">
        <f aca="false">E185</f>
        <v>8710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112.5</v>
      </c>
      <c r="C240" s="130"/>
      <c r="D240" s="130"/>
      <c r="E240" s="99" t="n">
        <f aca="false">E188</f>
        <v>9.4704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2221.9604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631.032606817658</v>
      </c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194.694</v>
      </c>
      <c r="C255" s="194"/>
      <c r="D255" s="195" t="s">
        <v>215</v>
      </c>
      <c r="E255" s="195"/>
      <c r="F255" s="196" t="n">
        <f aca="false">(B254-F254)+B255</f>
        <v>690.726606817658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0.0995</v>
      </c>
      <c r="C260" s="43"/>
      <c r="D260" s="163" t="s">
        <v>212</v>
      </c>
      <c r="E260" s="163"/>
      <c r="F260" s="143" t="n">
        <f aca="false">B254</f>
        <v>631.032606817658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94.704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690.726606817658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644.568528797354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644.568528797354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20500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644.568528797354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644.568528797354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644.568528797354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2547.125</v>
      </c>
      <c r="C64" s="465" t="n">
        <v>10000</v>
      </c>
      <c r="D64" s="290" t="n">
        <f aca="false">B64</f>
        <v>2547.125</v>
      </c>
      <c r="E64" s="466" t="n">
        <f aca="false">D64/(B58+B57)</f>
        <v>72.775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3322.125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94.9178571428572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644.568528797354</v>
      </c>
      <c r="C83" s="473"/>
      <c r="D83" s="211"/>
      <c r="E83" s="466" t="n">
        <f aca="false">B83+E80+E77+E64</f>
        <v>739.486385940211</v>
      </c>
      <c r="F83" s="63"/>
      <c r="G83" s="304" t="s">
        <v>104</v>
      </c>
      <c r="H83" s="305" t="n">
        <f aca="false">H47</f>
        <v>644.568528797354</v>
      </c>
      <c r="I83" s="211"/>
      <c r="J83" s="211"/>
      <c r="K83" s="212"/>
      <c r="L83" s="63"/>
      <c r="M83" s="304" t="s">
        <v>104</v>
      </c>
      <c r="N83" s="305" t="n">
        <f aca="false">H47</f>
        <v>644.568528797354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7" t="s">
        <v>114</v>
      </c>
      <c r="H85" s="127" t="n">
        <f aca="false">((H83*H29)+H81)*1.2</f>
        <v>28328.8782094889</v>
      </c>
      <c r="I85" s="211"/>
      <c r="J85" s="211"/>
      <c r="K85" s="212"/>
      <c r="L85" s="63"/>
      <c r="M85" s="287" t="s">
        <v>114</v>
      </c>
      <c r="N85" s="127" t="n">
        <f aca="false">((N83*H29)+N81)</f>
        <v>23277.3985079074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219.25070337477</v>
      </c>
      <c r="C86" s="473" t="s">
        <v>227</v>
      </c>
      <c r="D86" s="211"/>
      <c r="E86" s="466" t="n">
        <f aca="false">B86/(B58+B57)</f>
        <v>6.26430581070772</v>
      </c>
      <c r="F86" s="63"/>
      <c r="G86" s="210" t="s">
        <v>115</v>
      </c>
      <c r="H86" s="299" t="n">
        <f aca="false">((((H83*H29)+H81))/(1-H70))*H70</f>
        <v>199.981996234794</v>
      </c>
      <c r="I86" s="211"/>
      <c r="J86" s="211"/>
      <c r="K86" s="212"/>
      <c r="L86" s="63"/>
      <c r="M86" s="210" t="s">
        <v>115</v>
      </c>
      <c r="N86" s="299" t="n">
        <f aca="false">(N85/(1-N70))*N70</f>
        <v>197.186514185581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4" t="s">
        <v>116</v>
      </c>
      <c r="H87" s="129" t="n">
        <f aca="false">IF(H110="YES",((H85+H86)-K114),(H85+H86))</f>
        <v>28528.8602057237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23474.585022093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745.750691750919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713.221505143092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586.864625552324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745.750691750919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713.221505143092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586.864625552324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0</v>
      </c>
      <c r="E113" s="103" t="n">
        <v>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0</v>
      </c>
      <c r="E114" s="164" t="n">
        <f aca="false">E112-E113</f>
        <v>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1239.988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713.221505143092</v>
      </c>
      <c r="H127" s="174" t="n">
        <f aca="false">IF(G105="YES", H89*H57, 0)</f>
        <v>0</v>
      </c>
      <c r="I127" s="174"/>
      <c r="J127" s="333" t="n">
        <f aca="false">H91</f>
        <v>713.221505143092</v>
      </c>
      <c r="K127" s="212"/>
      <c r="L127" s="63"/>
      <c r="M127" s="332" t="n">
        <f aca="false">N90</f>
        <v>586.864625552324</v>
      </c>
      <c r="N127" s="174" t="n">
        <f aca="false">IF(M105="YES", N89*N57, 0)</f>
        <v>0</v>
      </c>
      <c r="O127" s="174"/>
      <c r="P127" s="174" t="n">
        <f aca="false">N91</f>
        <v>586.864625552324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745.750691750919</v>
      </c>
      <c r="B128" s="320" t="n">
        <f aca="false">IF(A105="YES", B89, 0)</f>
        <v>0</v>
      </c>
      <c r="C128" s="324"/>
      <c r="D128" s="320" t="n">
        <f aca="false">B91</f>
        <v>745.750691750919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745.750691750919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4279.32903085855</v>
      </c>
      <c r="H133" s="99" t="n">
        <f aca="false">IF(G105="YES", H89*H57, 0)</f>
        <v>0</v>
      </c>
      <c r="I133" s="217"/>
      <c r="J133" s="181" t="n">
        <f aca="false">H91*H57</f>
        <v>4279.32903085855</v>
      </c>
      <c r="K133" s="212"/>
      <c r="L133" s="63"/>
      <c r="M133" s="182" t="n">
        <f aca="false">N90*N57</f>
        <v>3521.18775331395</v>
      </c>
      <c r="N133" s="99" t="n">
        <f aca="false">IF(M105="YES", N89*N57, 0)</f>
        <v>0</v>
      </c>
      <c r="O133" s="217"/>
      <c r="P133" s="181" t="n">
        <f aca="false">N91*N57</f>
        <v>3521.18775331395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745.750691750919</v>
      </c>
      <c r="B134" s="38" t="n">
        <f aca="false">E114</f>
        <v>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745.750691750919</v>
      </c>
      <c r="B137" s="38" t="n">
        <f aca="false">IF(A105="YES", B89, 0)</f>
        <v>0</v>
      </c>
      <c r="C137" s="316"/>
      <c r="D137" s="38" t="n">
        <f aca="false">B91</f>
        <v>745.750691750919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713.221505143092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586.864625552324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745.750691750919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745.750691750919</v>
      </c>
      <c r="B177" s="354" t="n">
        <f aca="false">IF(A105="YES", B89, 0)</f>
        <v>0</v>
      </c>
      <c r="C177" s="356"/>
      <c r="D177" s="354" t="n">
        <f aca="false">B91</f>
        <v>745.750691750919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745.750691750919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745.750691750919</v>
      </c>
      <c r="B183" s="99" t="n">
        <f aca="false">E114</f>
        <v>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745.750691750919</v>
      </c>
      <c r="B186" s="99" t="n">
        <f aca="false">IF(A105="YES", B89, 0)</f>
        <v>0</v>
      </c>
      <c r="C186" s="352"/>
      <c r="D186" s="99" t="n">
        <f aca="false">B91</f>
        <v>745.750691750919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893.624166666667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2547.125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1853.48083333333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2547.125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351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372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36.9408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2052.01670334017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2088.95750334017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401.167058823529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2052.01670334017</v>
      </c>
      <c r="B128" s="320" t="n">
        <f aca="false">IF(A105="YES", B89, 0)</f>
        <v>36.9408</v>
      </c>
      <c r="C128" s="324"/>
      <c r="D128" s="320" t="n">
        <f aca="false">B91</f>
        <v>2088.95750334017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2052.01670334017</v>
      </c>
      <c r="C131" s="316"/>
      <c r="D131" s="38" t="n">
        <f aca="false">IF(A105="YES", B89*B57, 0)</f>
        <v>36.9408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401.167058823529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2088.95750334017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2052.01670334017</v>
      </c>
      <c r="B137" s="38" t="n">
        <f aca="false">IF(A105="YES", B89, 0)</f>
        <v>36.9408</v>
      </c>
      <c r="C137" s="316"/>
      <c r="D137" s="38" t="n">
        <f aca="false">B91</f>
        <v>2088.95750334017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2088.95750334017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2052.01670334017</v>
      </c>
      <c r="B177" s="354" t="n">
        <f aca="false">IF(A105="YES", B89, 0)</f>
        <v>36.9408</v>
      </c>
      <c r="C177" s="356"/>
      <c r="D177" s="354" t="n">
        <f aca="false">B91</f>
        <v>2088.95750334017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2052.01670334017</v>
      </c>
      <c r="C180" s="352"/>
      <c r="D180" s="99" t="n">
        <f aca="false">IF(A105="YES", B89*B57, 0)</f>
        <v>36.9408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2088.95750334017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2052.01670334017</v>
      </c>
      <c r="B186" s="99" t="n">
        <f aca="false">IF(A105="YES", B89, 0)</f>
        <v>36.9408</v>
      </c>
      <c r="C186" s="352"/>
      <c r="D186" s="99" t="n">
        <f aca="false">B91</f>
        <v>2088.95750334017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913.776466666667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425.239666666667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1741.97966666667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1886.54203550445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1886.54203550445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15474.0904686288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372</v>
      </c>
      <c r="H45" s="234" t="n">
        <f aca="false">(H39-H44)</f>
        <v>60000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1886.54203550445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1886.54203550445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1886.54203550445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7455</v>
      </c>
      <c r="C64" s="465" t="n">
        <v>10000</v>
      </c>
      <c r="D64" s="290" t="n">
        <f aca="false">B64</f>
        <v>7455</v>
      </c>
      <c r="E64" s="466" t="n">
        <f aca="false">D64/(B58+B57)</f>
        <v>213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793.634166666667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825</v>
      </c>
      <c r="C76" s="211"/>
      <c r="D76" s="290" t="n">
        <f aca="false">B76</f>
        <v>825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45.7142857142857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9721.66666666667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277.761904761905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1886.54203550445</v>
      </c>
      <c r="C83" s="473"/>
      <c r="D83" s="211"/>
      <c r="E83" s="466" t="n">
        <f aca="false">B83+E80+E77+E64</f>
        <v>2157.95473391715</v>
      </c>
      <c r="F83" s="63"/>
      <c r="G83" s="304" t="s">
        <v>104</v>
      </c>
      <c r="H83" s="305" t="n">
        <f aca="false">H47</f>
        <v>1886.54203550445</v>
      </c>
      <c r="I83" s="211"/>
      <c r="J83" s="211"/>
      <c r="K83" s="212"/>
      <c r="L83" s="63"/>
      <c r="M83" s="304" t="s">
        <v>104</v>
      </c>
      <c r="N83" s="305" t="n">
        <f aca="false">H47</f>
        <v>1886.54203550445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75750.6379093224</v>
      </c>
      <c r="C85" s="473"/>
      <c r="D85" s="473"/>
      <c r="E85" s="466" t="n">
        <f aca="false">B85/(B58+B57)</f>
        <v>2164.30394026635</v>
      </c>
      <c r="F85" s="63"/>
      <c r="G85" s="287" t="s">
        <v>114</v>
      </c>
      <c r="H85" s="127" t="n">
        <f aca="false">((H83*H29)+H81)*1.2</f>
        <v>80491.7654911869</v>
      </c>
      <c r="I85" s="211"/>
      <c r="J85" s="211"/>
      <c r="K85" s="212"/>
      <c r="L85" s="63"/>
      <c r="M85" s="287" t="s">
        <v>114</v>
      </c>
      <c r="N85" s="127" t="n">
        <f aca="false">((N83*H29)+N81)</f>
        <v>66746.4712426558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641.695601490831</v>
      </c>
      <c r="C86" s="473" t="s">
        <v>227</v>
      </c>
      <c r="D86" s="211"/>
      <c r="E86" s="466" t="n">
        <f aca="false">B86/(B58+B57)</f>
        <v>18.3341600425952</v>
      </c>
      <c r="F86" s="63"/>
      <c r="G86" s="210" t="s">
        <v>115</v>
      </c>
      <c r="H86" s="299" t="n">
        <f aca="false">((((H83*H29)+H81))/(1-H70))*H70</f>
        <v>568.215367525523</v>
      </c>
      <c r="I86" s="211"/>
      <c r="J86" s="211"/>
      <c r="K86" s="212"/>
      <c r="L86" s="63"/>
      <c r="M86" s="210" t="s">
        <v>115</v>
      </c>
      <c r="N86" s="299" t="n">
        <f aca="false">(N85/(1-N70))*N70</f>
        <v>565.419885476309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76392.3335108133</v>
      </c>
      <c r="C87" s="473"/>
      <c r="D87" s="475"/>
      <c r="E87" s="466" t="n">
        <f aca="false">E86+E85</f>
        <v>2182.63810030895</v>
      </c>
      <c r="F87" s="63"/>
      <c r="G87" s="284" t="s">
        <v>116</v>
      </c>
      <c r="H87" s="129" t="n">
        <f aca="false">IF(H110="YES",((H85+H86)-K114),(H85+H86))</f>
        <v>81059.9808587124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67311.8911281321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2182.63810030895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2026.49952146781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1682.7972782033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2182.63810030895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2026.49952146781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1682.7972782033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2026.49952146781</v>
      </c>
      <c r="H127" s="174" t="n">
        <f aca="false">IF(G105="YES", H89*H57, 0)</f>
        <v>0</v>
      </c>
      <c r="I127" s="174"/>
      <c r="J127" s="333" t="n">
        <f aca="false">H91</f>
        <v>2026.49952146781</v>
      </c>
      <c r="K127" s="212"/>
      <c r="L127" s="63"/>
      <c r="M127" s="332" t="n">
        <f aca="false">N90</f>
        <v>1682.7972782033</v>
      </c>
      <c r="N127" s="174" t="n">
        <f aca="false">IF(M105="YES", N89*N57, 0)</f>
        <v>0</v>
      </c>
      <c r="O127" s="174"/>
      <c r="P127" s="174" t="n">
        <f aca="false">N91</f>
        <v>1682.7972782033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2182.63810030895</v>
      </c>
      <c r="B128" s="320" t="n">
        <f aca="false">IF(A105="YES", B89, 0)</f>
        <v>0</v>
      </c>
      <c r="C128" s="324"/>
      <c r="D128" s="320" t="n">
        <f aca="false">B91</f>
        <v>2182.63810030895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2182.63810030895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12158.9971288069</v>
      </c>
      <c r="H133" s="99" t="n">
        <f aca="false">IF(G105="YES", H89*H57, 0)</f>
        <v>0</v>
      </c>
      <c r="I133" s="217"/>
      <c r="J133" s="181" t="n">
        <f aca="false">H91*H57</f>
        <v>12158.9971288069</v>
      </c>
      <c r="K133" s="212"/>
      <c r="L133" s="63"/>
      <c r="M133" s="182" t="n">
        <f aca="false">N90*N57</f>
        <v>10096.7836692198</v>
      </c>
      <c r="N133" s="99" t="n">
        <f aca="false">IF(M105="YES", N89*N57, 0)</f>
        <v>0</v>
      </c>
      <c r="O133" s="217"/>
      <c r="P133" s="181" t="n">
        <f aca="false">N91*N57</f>
        <v>10096.7836692198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2182.63810030895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2182.63810030895</v>
      </c>
      <c r="B137" s="38" t="n">
        <f aca="false">IF(A105="YES", B89, 0)</f>
        <v>0</v>
      </c>
      <c r="C137" s="316"/>
      <c r="D137" s="38" t="n">
        <f aca="false">B91</f>
        <v>2182.63810030895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793.634166666667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1293.62416666667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2026.49952146781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1682.7972782033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2182.63810030895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2182.63810030895</v>
      </c>
      <c r="B177" s="354" t="n">
        <f aca="false">IF(A105="YES", B89, 0)</f>
        <v>0</v>
      </c>
      <c r="C177" s="356"/>
      <c r="D177" s="354" t="n">
        <f aca="false">B91</f>
        <v>2182.63810030895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2182.63810030895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2182.63810030895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2182.63810030895</v>
      </c>
      <c r="B186" s="99" t="n">
        <f aca="false">IF(A105="YES", B89, 0)</f>
        <v>0</v>
      </c>
      <c r="C186" s="352"/>
      <c r="D186" s="99" t="n">
        <f aca="false">B91</f>
        <v>2182.63810030895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793.634166666667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1293.62416666667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7455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793.634166666667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7001.35583333333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7455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793.634166666667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7001.35583333333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641.695601490831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396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402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389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403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386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404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386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24375.0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0.0</v>
      </c>
      <c r="F152" s="107"/>
      <c r="G152" s="33" t="n">
        <v>0.0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0.0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403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407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396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0.0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211.6945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671.107404571736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200.0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0</v>
      </c>
      <c r="C134" s="324"/>
      <c r="D134" s="320" t="n">
        <f aca="false">B97</f>
        <v>671.107404571736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671.107404571736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0</v>
      </c>
      <c r="C143" s="316"/>
      <c r="D143" s="38" t="n">
        <f aca="false">B97</f>
        <v>671.107404571736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671.107404571736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0</v>
      </c>
      <c r="C177" s="356"/>
      <c r="D177" s="354" t="n">
        <f aca="false">A177+B177</f>
        <v>671.107404571736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671.107404571736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0</v>
      </c>
      <c r="C186" s="352"/>
      <c r="D186" s="99" t="n">
        <f aca="false">B97</f>
        <v>671.107404571736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402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B66*B69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0.0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390</v>
      </c>
      <c r="B111" s="311" t="n">
        <v>20.0</v>
      </c>
      <c r="C111" s="311"/>
      <c r="D111" s="103" t="n">
        <v>200.0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560.040226793958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560.040226793958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560.040226793958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560.040226793958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3" t="n">
        <v>0.0</v>
      </c>
      <c r="C111" s="313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1025.03014357859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78</v>
      </c>
      <c r="C134" s="325"/>
      <c r="D134" s="320" t="n">
        <f aca="false">B97</f>
        <v>1025.03014357859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78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1025.03014357859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78</v>
      </c>
      <c r="C143" s="316"/>
      <c r="D143" s="38" t="n">
        <f aca="false">B97</f>
        <v>1025.03014357859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1025.03014357859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78</v>
      </c>
      <c r="C177" s="357"/>
      <c r="D177" s="354" t="n">
        <f aca="false">B97</f>
        <v>1025.03014357859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78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1025.03014357859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78</v>
      </c>
      <c r="C186" s="352"/>
      <c r="D186" s="99" t="n">
        <f aca="false">B97</f>
        <v>1025.03014357859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2032.45138666667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2032.45138666667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2546.49972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212.20831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8558.49972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72.5004010165389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8631.00012101654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719.250010084712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719.250010084712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200.0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719.250010084712</v>
      </c>
      <c r="B134" s="320" t="n">
        <f aca="false">IF(A111="YES", B95, 0)</f>
        <v>0</v>
      </c>
      <c r="C134" s="325"/>
      <c r="D134" s="320" t="n">
        <f aca="false">B97</f>
        <v>719.250010084712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719.250010084712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719.250010084712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719.250010084712</v>
      </c>
      <c r="B143" s="38" t="n">
        <f aca="false">IF(A111="YES", B95, 0)</f>
        <v>0</v>
      </c>
      <c r="C143" s="316"/>
      <c r="D143" s="38" t="n">
        <f aca="false">B97</f>
        <v>719.250010084712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474.03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719.250010084712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719.250010084712</v>
      </c>
      <c r="B177" s="354" t="n">
        <f aca="false">IF(A111="YES", B95, 0)</f>
        <v>0</v>
      </c>
      <c r="C177" s="357"/>
      <c r="D177" s="354" t="n">
        <f aca="false">B91</f>
        <v>8558.49972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719.250010084712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719.250010084712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719.250010084712</v>
      </c>
      <c r="B186" s="99" t="n">
        <f aca="false">IF(A111="YES", B95, 0)</f>
        <v>0</v>
      </c>
      <c r="C186" s="352"/>
      <c r="D186" s="99" t="n">
        <f aca="false">B97</f>
        <v>719.250010084712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474.03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1612.44972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1612.44972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72.5004010165389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10000.0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0.0</v>
      </c>
      <c r="C108" s="103"/>
      <c r="D108" s="103" t="n">
        <v>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403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10000.0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0.0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20.0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n">
        <f aca="false">IF(B26="YES", K42, "0.00")</f>
        <v>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n">
        <f aca="false">IF(B26="YES", K42, "0.00")</f>
        <v>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7190.41907907213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236.25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28350</v>
      </c>
      <c r="C81" s="130"/>
      <c r="D81" s="130"/>
      <c r="E81" s="109"/>
      <c r="F81" s="25" t="s">
        <v>105</v>
      </c>
      <c r="G81" s="27" t="n">
        <f aca="false">G158</f>
        <v>28350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15616.5453595405</v>
      </c>
      <c r="C88" s="130"/>
      <c r="D88" s="130"/>
      <c r="E88" s="109"/>
      <c r="F88" s="31" t="s">
        <v>112</v>
      </c>
      <c r="G88" s="33" t="n">
        <f aca="false">G81-G86</f>
        <v>13572.3435525266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527.306406628238</v>
      </c>
      <c r="C89" s="130"/>
      <c r="D89" s="130"/>
      <c r="E89" s="109"/>
      <c r="F89" s="31" t="s">
        <v>113</v>
      </c>
      <c r="G89" s="33" t="n">
        <f aca="false">(G88/G87)</f>
        <v>426.746610535822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18455.7242319883</v>
      </c>
      <c r="C90" s="130"/>
      <c r="D90" s="130"/>
      <c r="E90" s="109"/>
      <c r="F90" s="31" t="s">
        <v>114</v>
      </c>
      <c r="G90" s="33" t="n">
        <f aca="false">((G89*(G85))+G77)</f>
        <v>14936.1313687538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18455.7242319883</v>
      </c>
      <c r="C92" s="130"/>
      <c r="D92" s="130"/>
      <c r="E92" s="109"/>
      <c r="F92" s="56" t="s">
        <v>116</v>
      </c>
      <c r="G92" s="65" t="n">
        <f aca="false">(G90+G91)</f>
        <v>14936.1313687538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527.306406628238</v>
      </c>
      <c r="C95" s="130"/>
      <c r="D95" s="130"/>
      <c r="E95" s="109"/>
      <c r="F95" s="91" t="s">
        <v>118</v>
      </c>
      <c r="G95" s="92" t="n">
        <f aca="false">G92/(G85)</f>
        <v>426.746610535822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527.306406628238</v>
      </c>
      <c r="C96" s="130"/>
      <c r="D96" s="130"/>
      <c r="E96" s="109"/>
      <c r="F96" s="93" t="s">
        <v>119</v>
      </c>
      <c r="G96" s="94" t="n">
        <f aca="false">G94+G95</f>
        <v>426.746610535822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-22027.775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28350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527.306406628238</v>
      </c>
      <c r="B167" s="174" t="n">
        <f aca="false">B94</f>
        <v>0</v>
      </c>
      <c r="C167" s="171"/>
      <c r="D167" s="171"/>
      <c r="E167" s="174" t="n">
        <f aca="false">B96</f>
        <v>527.306406628238</v>
      </c>
      <c r="F167" s="23"/>
      <c r="G167" s="23" t="n">
        <f aca="false">ROUND(G95, 2)</f>
        <v>426.75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28350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8055.72423198832</v>
      </c>
      <c r="B182" s="99" t="str">
        <f aca="false">B114</f>
        <v>239.99</v>
      </c>
      <c r="C182" s="99"/>
      <c r="D182" s="23"/>
      <c r="E182" s="99" t="n">
        <f aca="false">E179+A182+B182+A185</f>
        <v>36655.7142319883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236.25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336.241666666667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527.306406628238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4536.25</v>
      </c>
      <c r="B201" s="183" t="n">
        <f aca="false">E179+A201+B182+A185</f>
        <v>33136.24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527.306406628238</v>
      </c>
      <c r="B212" s="174" t="n">
        <f aca="false">B167</f>
        <v>0</v>
      </c>
      <c r="C212" s="171"/>
      <c r="D212" s="171"/>
      <c r="E212" s="174" t="n">
        <f aca="false">E167</f>
        <v>527.306406628238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28350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8055.72423198832</v>
      </c>
      <c r="B224" s="99" t="str">
        <f aca="false">B182</f>
        <v>239.99</v>
      </c>
      <c r="C224" s="99"/>
      <c r="D224" s="109"/>
      <c r="E224" s="99" t="n">
        <f aca="false">E182</f>
        <v>36655.7142319883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527.306406628238</v>
      </c>
      <c r="B230" s="99" t="n">
        <f aca="false">B167</f>
        <v>0</v>
      </c>
      <c r="C230" s="183"/>
      <c r="D230" s="183"/>
      <c r="E230" s="99" t="n">
        <f aca="false">E167</f>
        <v>527.306406628238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8.9772</v>
      </c>
      <c r="B236" s="99" t="n">
        <f aca="false">E233+A236</f>
        <v>35.9088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236.25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2252.91166666666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3529.47423198832</v>
      </c>
      <c r="C254" s="194"/>
      <c r="D254" s="195" t="s">
        <v>213</v>
      </c>
      <c r="E254" s="195"/>
      <c r="F254" s="196" t="n">
        <f aca="false">F261+F267+F269+B270+B271</f>
        <v>283.5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3345.96589865499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3529.47423198832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283.5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3345.96589865499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300.052130927544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270.052130927544</v>
      </c>
      <c r="B36" s="228" t="n">
        <f aca="false">IF(B26="YES", K42, "0.00")</f>
        <v>30</v>
      </c>
      <c r="C36" s="228"/>
      <c r="D36" s="228"/>
      <c r="E36" s="228" t="n">
        <f aca="false">K31</f>
        <v>20000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38770.3735299912</v>
      </c>
      <c r="N39" s="1" t="n">
        <f aca="false">K39-L39</f>
        <v>-16312.0435299912</v>
      </c>
      <c r="P39" s="208"/>
    </row>
    <row r="40" customFormat="false" ht="17.35" hidden="false" customHeight="false" outlineLevel="0" collapsed="false">
      <c r="A40" s="103" t="n">
        <f aca="false">E36*A45/100</f>
        <v>17950.0</v>
      </c>
      <c r="B40" s="103" t="n">
        <f aca="false">IF(B26="YES", K42, "0.00")</f>
        <v>30</v>
      </c>
      <c r="C40" s="103"/>
      <c r="D40" s="103"/>
      <c r="E40" s="179" t="n">
        <f aca="false">K32</f>
        <v>2160</v>
      </c>
      <c r="F40" s="183"/>
      <c r="G40" s="183"/>
      <c r="H40" s="47"/>
      <c r="J40" s="2" t="s">
        <v>106</v>
      </c>
      <c r="K40" s="2" t="n">
        <f aca="false">(A40)/1.2</f>
        <v>16666.6666666667</v>
      </c>
      <c r="L40" s="2" t="n">
        <f aca="false">K39-L39</f>
        <v>-16312.0435299912</v>
      </c>
      <c r="N40" s="1" t="n">
        <f aca="false">N38-N39</f>
        <v>19223.7235299912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30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13647.2071058677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8811.1228941323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270.052130927544</v>
      </c>
      <c r="L47" s="2" t="n">
        <f aca="false">L49-K42</f>
        <v>770</v>
      </c>
      <c r="M47" s="1" t="n">
        <f aca="false">K47-L47</f>
        <v>-499.947869072456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300.052130927544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300.052130927544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3288.10423421165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270.052130927544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270.052130927544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300.052130927544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300.052130927544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130"/>
      <c r="D82" s="130"/>
      <c r="E82" s="109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20000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20000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130"/>
      <c r="D86" s="130"/>
      <c r="E86" s="109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13529.3569525544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13529.3569525544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11421.4434489359</v>
      </c>
      <c r="C88" s="130"/>
      <c r="D88" s="130"/>
      <c r="E88" s="109"/>
      <c r="F88" s="31" t="s">
        <v>112</v>
      </c>
      <c r="G88" s="33" t="n">
        <f aca="false">G81-G86</f>
        <v>10284.6446267706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371.713741360092</v>
      </c>
      <c r="C89" s="130"/>
      <c r="D89" s="130"/>
      <c r="E89" s="109"/>
      <c r="F89" s="31" t="s">
        <v>113</v>
      </c>
      <c r="G89" s="33" t="n">
        <f aca="false">(G88/G87)</f>
        <v>323.373573477129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13009.9809476032</v>
      </c>
      <c r="C90" s="130"/>
      <c r="D90" s="130"/>
      <c r="E90" s="109"/>
      <c r="F90" s="31" t="s">
        <v>114</v>
      </c>
      <c r="G90" s="33" t="n">
        <f aca="false">((G89*(G85))+G77)</f>
        <v>11318.0750716995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13009.9809476032</v>
      </c>
      <c r="C92" s="130"/>
      <c r="D92" s="130"/>
      <c r="E92" s="109"/>
      <c r="F92" s="56" t="s">
        <v>116</v>
      </c>
      <c r="G92" s="65" t="n">
        <f aca="false">(G90+G91)</f>
        <v>11318.0750716995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37.0285714285714</v>
      </c>
      <c r="C94" s="130"/>
      <c r="D94" s="130"/>
      <c r="E94" s="109"/>
      <c r="F94" s="88" t="s">
        <v>117</v>
      </c>
      <c r="G94" s="259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74.0571428571429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88.8685714285714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371.713741360092</v>
      </c>
      <c r="C95" s="130"/>
      <c r="D95" s="130"/>
      <c r="E95" s="109"/>
      <c r="F95" s="91" t="s">
        <v>118</v>
      </c>
      <c r="G95" s="92" t="n">
        <f aca="false">G92/(G85)</f>
        <v>323.373573477129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408.742312788664</v>
      </c>
      <c r="C96" s="130"/>
      <c r="D96" s="130"/>
      <c r="E96" s="109"/>
      <c r="F96" s="93" t="s">
        <v>119</v>
      </c>
      <c r="G96" s="94" t="n">
        <f aca="false">G94+G95</f>
        <v>360.402144905701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371.713741360092</v>
      </c>
      <c r="B167" s="174" t="n">
        <f aca="false">B94</f>
        <v>37.0285714285714</v>
      </c>
      <c r="C167" s="171"/>
      <c r="D167" s="171"/>
      <c r="E167" s="174" t="n">
        <f aca="false">B96</f>
        <v>408.742312788664</v>
      </c>
      <c r="F167" s="23"/>
      <c r="G167" s="23" t="n">
        <f aca="false">ROUND(G95, 2)</f>
        <v>323.37</v>
      </c>
      <c r="H167" s="33"/>
      <c r="J167" s="173" t="e">
        <f aca="false">K95</f>
        <v>#VALUE!</v>
      </c>
      <c r="K167" s="174" t="n">
        <f aca="false">K94</f>
        <v>93.6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74.0571428571429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88.8685714285714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20000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20000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20000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6259.98094760323</v>
      </c>
      <c r="B182" s="99" t="str">
        <f aca="false">B114</f>
        <v>199.99</v>
      </c>
      <c r="C182" s="99"/>
      <c r="D182" s="23"/>
      <c r="E182" s="99" t="n">
        <f aca="false">E179+A182+(B182*1.2)+A185</f>
        <v>33259.9689476032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20010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20020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20010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20010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7.481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21.6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64.8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43.2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344.506666666667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408.742312788664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4567.95</v>
      </c>
      <c r="B201" s="183" t="n">
        <f aca="false">E179+A201+(B182*1.2)+A185</f>
        <v>31567.938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371.713741360092</v>
      </c>
      <c r="B212" s="174" t="n">
        <f aca="false">B167</f>
        <v>37.0285714285714</v>
      </c>
      <c r="C212" s="171"/>
      <c r="D212" s="171"/>
      <c r="E212" s="174" t="n">
        <f aca="false">E167</f>
        <v>408.742312788664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6259.98094760323</v>
      </c>
      <c r="B224" s="99" t="str">
        <f aca="false">B182</f>
        <v>199.99</v>
      </c>
      <c r="C224" s="99"/>
      <c r="D224" s="109"/>
      <c r="E224" s="99" t="n">
        <f aca="false">E182</f>
        <v>33259.9689476032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371.713741360092</v>
      </c>
      <c r="B230" s="99" t="n">
        <f aca="false">B167</f>
        <v>37.0285714285714</v>
      </c>
      <c r="C230" s="183"/>
      <c r="D230" s="183"/>
      <c r="E230" s="99" t="n">
        <f aca="false">E167</f>
        <v>408.742312788664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20000</v>
      </c>
      <c r="B233" s="99" t="n">
        <f aca="false">E185</f>
        <v>20010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7.481</v>
      </c>
      <c r="B236" s="99" t="n">
        <f aca="false">E233+A236</f>
        <v>29.924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21.6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2261.17666666666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1702.03094760323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315.99</v>
      </c>
      <c r="C255" s="194"/>
      <c r="D255" s="195" t="s">
        <v>215</v>
      </c>
      <c r="E255" s="195"/>
      <c r="F255" s="196" t="n">
        <f aca="false">(B254-F254)+B255</f>
        <v>1750.52094760323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1702.03094760323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1750.52094760323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4500.0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351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40.0</v>
      </c>
      <c r="B45" s="130"/>
      <c r="C45" s="62" t="n">
        <v>40.0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24375.0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-20694.4416666667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239.99</v>
      </c>
      <c r="C182" s="99"/>
      <c r="D182" s="23"/>
      <c r="E182" s="99" t="n">
        <f aca="false">E179+A182+B182+A185</f>
        <v>32999.6732327355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E179+A201+B182+A185</f>
        <v>31375.39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239.99</v>
      </c>
      <c r="C224" s="99"/>
      <c r="D224" s="109"/>
      <c r="E224" s="99" t="n">
        <f aca="false">E182</f>
        <v>32999.6732327355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1466.77489940213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1466.77489940213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22916.67</v>
      </c>
      <c r="C2" s="4" t="s">
        <v>2</v>
      </c>
      <c r="D2" s="5" t="n">
        <f aca="false">C9</f>
        <v>4583.334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27500.004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22916.67</v>
      </c>
      <c r="C9" s="14" t="n">
        <f aca="false">B9*0.2</f>
        <v>4583.334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22916.67</v>
      </c>
      <c r="C15" s="14" t="n">
        <f aca="false">SUM(C9:C13)</f>
        <v>4583.334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27500.004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22916.67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326.97280711498</v>
      </c>
      <c r="F33" s="228"/>
      <c r="G33" s="228"/>
      <c r="H33" s="47"/>
      <c r="I33" s="2"/>
      <c r="J33" s="34" t="s">
        <v>351</v>
      </c>
      <c r="K33" s="48" t="n">
        <f aca="false">E21</f>
        <v>22916.67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326.97280711498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22916.67</v>
      </c>
      <c r="L39" s="2" t="n">
        <f aca="false">(L47*K46)+K44</f>
        <v>38350.3594675147</v>
      </c>
      <c r="N39" s="1" t="n">
        <f aca="false">K39-L39</f>
        <v>-15433.6894675147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-15433.6894675147</v>
      </c>
      <c r="N40" s="1" t="n">
        <f aca="false">N38-N39</f>
        <v>18345.3694675147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10668.3016224837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326.97280711498</v>
      </c>
      <c r="L47" s="2" t="n">
        <f aca="false">L49-K42</f>
        <v>800</v>
      </c>
      <c r="M47" s="1" t="n">
        <f aca="false">K47-L47</f>
        <v>-473.02719288502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326.97280711498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326.97280711498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3028.66217659618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326.97280711498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326.97280711498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326.97280711498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326.97280711498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25" t="s">
        <v>105</v>
      </c>
      <c r="G81" s="27" t="n">
        <f aca="false">G158</f>
        <v>26750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31" t="s">
        <v>106</v>
      </c>
      <c r="G82" s="33" t="n">
        <f aca="false">IF(A111 = "Yes", A40, 0)</f>
        <v>17950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31" t="s">
        <v>110</v>
      </c>
      <c r="G86" s="33" t="n">
        <f aca="false">(G82/((1+G84)^(G85+1)))</f>
        <v>14777.6564474734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31" t="s">
        <v>112</v>
      </c>
      <c r="G88" s="33" t="n">
        <f aca="false">G81-G86</f>
        <v>11972.3435525266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31" t="s">
        <v>113</v>
      </c>
      <c r="G89" s="33" t="n">
        <f aca="false">(G88/G87)</f>
        <v>376.43882292237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31" t="s">
        <v>114</v>
      </c>
      <c r="G90" s="33" t="n">
        <f aca="false">((G89*(G85))+G77)</f>
        <v>13175.3588022829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56" t="s">
        <v>116</v>
      </c>
      <c r="G92" s="65" t="n">
        <f aca="false">(G90+G91)</f>
        <v>13175.3588022829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91" t="s">
        <v>118</v>
      </c>
      <c r="G95" s="92" t="n">
        <f aca="false">G92/(G85)</f>
        <v>376.43882292237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93" t="s">
        <v>119</v>
      </c>
      <c r="G96" s="94" t="n">
        <f aca="false">G94+G95</f>
        <v>376.43882292237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390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0.0</v>
      </c>
      <c r="C108" s="103"/>
      <c r="D108" s="103" t="n">
        <v>0.0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22916.67</v>
      </c>
      <c r="C121" s="117" t="n">
        <v>24375.0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27500.004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27500.004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27500.004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22916.67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22916.67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4583.334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27500.004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27500.004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1458.33</v>
      </c>
      <c r="I148" s="1" t="n">
        <f aca="false">(H148-G81)/1.2</f>
        <v>-21076.3916666667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 t="n">
        <f aca="false">ROUND(G95, 2)</f>
        <v>376.44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E179+A182+(B182*1.2)+A185</f>
        <v>32999.6712327355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4375.4</v>
      </c>
      <c r="B201" s="183" t="n">
        <f aca="false">E179+A201+(B182*1.2)+A185</f>
        <v>31375.388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32999.6712327355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1458.33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1781.23666666667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1634.28323273547</v>
      </c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1466.77323273547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1634.28323273547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1466.77323273547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374.05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200.0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0.0</v>
      </c>
      <c r="C108" s="213"/>
      <c r="D108" s="213" t="n">
        <v>0.0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374.05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886.04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374.05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886.04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374.05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1972.43972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374.05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1972.43972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8811.12289413229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91.3836873663667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237.845087609551</v>
      </c>
      <c r="E33" s="212"/>
      <c r="F33" s="63"/>
      <c r="G33" s="215" t="s">
        <v>351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237.845087609551</v>
      </c>
      <c r="B36" s="99" t="n">
        <f aca="false">IF(B26="YES", H42, "")</f>
        <v>0</v>
      </c>
      <c r="C36" s="217"/>
      <c r="D36" s="181" t="n">
        <f aca="false">H31</f>
        <v>21540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60376.5264605168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21540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17950</v>
      </c>
      <c r="I40" s="234" t="n">
        <f aca="false">H39-I39</f>
        <v>-37918.1964605167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14698.0420530195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7760.28794698049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237.845087609551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237.845087609551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237.845087609551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10000.0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4118.49958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114.402766111111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237.845087609551</v>
      </c>
      <c r="C83" s="473"/>
      <c r="D83" s="211"/>
      <c r="E83" s="466" t="n">
        <f aca="false">B83+E80+E77+E64</f>
        <v>352.247853720662</v>
      </c>
      <c r="F83" s="63"/>
      <c r="G83" s="304" t="s">
        <v>104</v>
      </c>
      <c r="H83" s="305" t="n">
        <f aca="false">H47</f>
        <v>237.845087609551</v>
      </c>
      <c r="I83" s="211"/>
      <c r="J83" s="211"/>
      <c r="K83" s="212"/>
      <c r="L83" s="63"/>
      <c r="M83" s="304" t="s">
        <v>104</v>
      </c>
      <c r="N83" s="305" t="n">
        <f aca="false">H47</f>
        <v>237.845087609551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15217.1072807326</v>
      </c>
      <c r="C85" s="473"/>
      <c r="D85" s="473"/>
      <c r="E85" s="466" t="n">
        <f aca="false">B85/(B58+B57)</f>
        <v>422.697424464794</v>
      </c>
      <c r="F85" s="63"/>
      <c r="G85" s="287" t="s">
        <v>114</v>
      </c>
      <c r="H85" s="127" t="n">
        <f aca="false">((H83*H29)+H81)*1.2</f>
        <v>11553.8077847326</v>
      </c>
      <c r="I85" s="211"/>
      <c r="J85" s="211"/>
      <c r="K85" s="212"/>
      <c r="L85" s="63"/>
      <c r="M85" s="287" t="s">
        <v>114</v>
      </c>
      <c r="N85" s="127" t="n">
        <f aca="false">((N83*H29)+N81)</f>
        <v>9284.42315394383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107.42209657637</v>
      </c>
      <c r="C86" s="473" t="s">
        <v>227</v>
      </c>
      <c r="D86" s="211"/>
      <c r="E86" s="466" t="n">
        <f aca="false">B86/(B58+B57)</f>
        <v>2.98394712712138</v>
      </c>
      <c r="F86" s="63"/>
      <c r="G86" s="210" t="s">
        <v>115</v>
      </c>
      <c r="H86" s="299" t="n">
        <f aca="false">((((H83*H29)+H81))/(1-H70))*H70</f>
        <v>81.5617733896008</v>
      </c>
      <c r="I86" s="211"/>
      <c r="J86" s="211"/>
      <c r="K86" s="212"/>
      <c r="L86" s="63"/>
      <c r="M86" s="210" t="s">
        <v>115</v>
      </c>
      <c r="N86" s="299" t="n">
        <f aca="false">(N85/(1-N70))*N70</f>
        <v>78.6498129216702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15324.529377309</v>
      </c>
      <c r="C87" s="473"/>
      <c r="D87" s="475"/>
      <c r="E87" s="466" t="n">
        <f aca="false">E86+E85</f>
        <v>425.681371591916</v>
      </c>
      <c r="F87" s="63"/>
      <c r="G87" s="284" t="s">
        <v>116</v>
      </c>
      <c r="H87" s="129" t="n">
        <f aca="false">IF(H110="YES",((H85+H86)-K114),(H85+H86))</f>
        <v>11635.3695581222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9363.0729668655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425.681371591916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283.789501417615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228.367633338183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425.681371591916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283.789501417615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228.367633338183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0.2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283.789501417615</v>
      </c>
      <c r="H127" s="174" t="n">
        <f aca="false">IF(G105="YES", H89*H57, 0)</f>
        <v>0</v>
      </c>
      <c r="I127" s="174"/>
      <c r="J127" s="333" t="n">
        <f aca="false">H91</f>
        <v>283.789501417615</v>
      </c>
      <c r="K127" s="212"/>
      <c r="L127" s="63"/>
      <c r="M127" s="332" t="n">
        <f aca="false">N90</f>
        <v>228.367633338183</v>
      </c>
      <c r="N127" s="174" t="n">
        <f aca="false">IF(M105="YES", N89*N57, 0)</f>
        <v>0</v>
      </c>
      <c r="O127" s="174"/>
      <c r="P127" s="174" t="n">
        <f aca="false">N91</f>
        <v>228.367633338183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425.681371591916</v>
      </c>
      <c r="B128" s="320" t="n">
        <f aca="false">IF(A105="YES", B89, 0)</f>
        <v>0</v>
      </c>
      <c r="C128" s="324"/>
      <c r="D128" s="320" t="n">
        <f aca="false">B91</f>
        <v>425.681371591916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425.681371591916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1702.73700850569</v>
      </c>
      <c r="H133" s="99" t="n">
        <f aca="false">IF(G105="YES", H89*H57, 0)</f>
        <v>0</v>
      </c>
      <c r="I133" s="217"/>
      <c r="J133" s="181" t="n">
        <f aca="false">H91*H57</f>
        <v>1702.73700850569</v>
      </c>
      <c r="K133" s="212"/>
      <c r="L133" s="63"/>
      <c r="M133" s="182" t="n">
        <f aca="false">N90*N57</f>
        <v>1370.2058000291</v>
      </c>
      <c r="N133" s="99" t="n">
        <f aca="false">IF(M105="YES", N89*N57, 0)</f>
        <v>0</v>
      </c>
      <c r="O133" s="217"/>
      <c r="P133" s="181" t="n">
        <f aca="false">N91*N57</f>
        <v>1370.2058000291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425.681371591916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425.681371591916</v>
      </c>
      <c r="B137" s="38" t="n">
        <f aca="false">IF(A105="YES", B89, 0)</f>
        <v>0</v>
      </c>
      <c r="C137" s="316"/>
      <c r="D137" s="38" t="n">
        <f aca="false">B91</f>
        <v>425.681371591916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888.07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283.789501417615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228.367633338183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425.681371591916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425.681371591916</v>
      </c>
      <c r="B177" s="354" t="n">
        <f aca="false">IF(A105="YES", B89, 0)</f>
        <v>0</v>
      </c>
      <c r="C177" s="356"/>
      <c r="D177" s="354" t="n">
        <f aca="false">B91</f>
        <v>425.681371591916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425.681371591916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425.681371591916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425.681371591916</v>
      </c>
      <c r="B186" s="99" t="n">
        <f aca="false">IF(A105="YES", B89, 0)</f>
        <v>0</v>
      </c>
      <c r="C186" s="352"/>
      <c r="D186" s="99" t="n">
        <f aca="false">B91</f>
        <v>425.681371591916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888.07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139.99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2221.65958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2221.65958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107.42209657637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0.0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0.0</v>
      </c>
      <c r="C4" s="485" t="n">
        <v>0.0</v>
      </c>
      <c r="D4" s="485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0.0</v>
      </c>
      <c r="C5" s="484" t="n">
        <v>0.0</v>
      </c>
      <c r="D5" s="484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402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-167.958333333333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3367.74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3391.51388059702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282.626156716418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360.626156716418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410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282.626156716418</v>
      </c>
      <c r="B134" s="320" t="n">
        <f aca="false">IF(A111="YES", B95, 0)</f>
        <v>78</v>
      </c>
      <c r="C134" s="324"/>
      <c r="D134" s="320" t="n">
        <f aca="false">B97</f>
        <v>360.626156716418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2543.63541044776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3245.63541044776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282.626156716418</v>
      </c>
      <c r="B143" s="38" t="n">
        <f aca="false">IF(A111="YES", B95, 0)</f>
        <v>78</v>
      </c>
      <c r="C143" s="316"/>
      <c r="D143" s="38" t="n">
        <f aca="false">B97</f>
        <v>360.626156716418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360.626156716418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282.626156716418</v>
      </c>
      <c r="B177" s="354" t="n">
        <f aca="false">IF(A111="YES", B95, 0)</f>
        <v>78</v>
      </c>
      <c r="C177" s="356"/>
      <c r="D177" s="354" t="n">
        <f aca="false">A177+B177</f>
        <v>360.626156716418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2543.63541044776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3245.63541044776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282.626156716418</v>
      </c>
      <c r="B186" s="99" t="n">
        <f aca="false">IF(A111="YES", B95, 0)</f>
        <v>78</v>
      </c>
      <c r="C186" s="352"/>
      <c r="D186" s="99" t="n">
        <f aca="false">B97</f>
        <v>360.626156716418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1096.84166666667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46854.17</v>
      </c>
      <c r="C3" s="484" t="n">
        <v>0.0</v>
      </c>
      <c r="D3" s="484" t="n">
        <v>833.33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0.0</v>
      </c>
      <c r="C4" s="485" t="n">
        <v>0.0</v>
      </c>
      <c r="D4" s="485" t="n">
        <v>0.0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0.0</v>
      </c>
      <c r="C5" s="484" t="n">
        <v>0.0</v>
      </c>
      <c r="D5" s="484" t="n">
        <v>0.0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640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550.0</v>
      </c>
      <c r="F10" s="387"/>
      <c r="G10" s="387"/>
      <c r="H10" s="387"/>
      <c r="I10" s="16" t="s">
        <v>1</v>
      </c>
      <c r="J10" s="14" t="n">
        <f aca="false">E15-E11-J8</f>
        <v>48237.5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585.0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55.0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58525</v>
      </c>
      <c r="F15" s="387"/>
      <c r="G15" s="17" t="n">
        <f aca="false">E15</f>
        <v>58525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0.0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57885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0.0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58525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45128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12.0</v>
      </c>
      <c r="B32" s="219" t="n">
        <v>5000.0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48877.5</v>
      </c>
      <c r="B35" s="219" t="s">
        <v>402</v>
      </c>
      <c r="C35" s="219"/>
      <c r="D35" s="278" t="n">
        <f aca="false">A35-B35</f>
        <v>47877.5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396</v>
      </c>
      <c r="B38" s="237" t="n">
        <f aca="false">A32-1</f>
        <v>11</v>
      </c>
      <c r="C38" s="237"/>
      <c r="D38" s="100" t="s">
        <v>393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9647.5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395</v>
      </c>
      <c r="B41" s="100" t="s">
        <v>405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389</v>
      </c>
      <c r="B44" s="100" t="s">
        <v>397</v>
      </c>
      <c r="C44" s="100"/>
      <c r="D44" s="100" t="s">
        <v>397</v>
      </c>
      <c r="E44" s="100"/>
      <c r="F44" s="387"/>
      <c r="G44" s="2" t="s">
        <v>65</v>
      </c>
      <c r="H44" s="2" t="n">
        <f aca="false">((H40-(((H42/(1.2))*0.2)))/(H43))</f>
        <v>720.625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-170.625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-167.958333333333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-217.958333333333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-167.958333333333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57885</v>
      </c>
      <c r="C67" s="316"/>
      <c r="D67" s="316"/>
      <c r="E67" s="317"/>
      <c r="F67" s="387"/>
      <c r="G67" s="315" t="s">
        <v>14</v>
      </c>
      <c r="H67" s="32" t="n">
        <f aca="false">G18</f>
        <v>57885</v>
      </c>
      <c r="I67" s="316"/>
      <c r="J67" s="316"/>
      <c r="K67" s="317"/>
      <c r="L67" s="387"/>
      <c r="M67" s="315" t="s">
        <v>14</v>
      </c>
      <c r="N67" s="32" t="n">
        <f aca="false">G18</f>
        <v>57885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4051.95</v>
      </c>
      <c r="C70" s="316" t="n">
        <v>10000.0</v>
      </c>
      <c r="D70" s="32" t="n">
        <f aca="false">B70-A149</f>
        <v>4051.95</v>
      </c>
      <c r="E70" s="317" t="n">
        <f aca="false">D70/12</f>
        <v>337.6625</v>
      </c>
      <c r="F70" s="387"/>
      <c r="G70" s="365" t="s">
        <v>90</v>
      </c>
      <c r="H70" s="65" t="n">
        <f aca="false">H67*H69</f>
        <v>4051.95</v>
      </c>
      <c r="I70" s="316"/>
      <c r="J70" s="32" t="n">
        <f aca="false">H70-G151</f>
        <v>4051.95</v>
      </c>
      <c r="K70" s="317"/>
      <c r="L70" s="387"/>
      <c r="M70" s="365" t="s">
        <v>90</v>
      </c>
      <c r="N70" s="65" t="n">
        <f aca="false">N67*N69</f>
        <v>4051.95</v>
      </c>
      <c r="O70" s="316"/>
      <c r="P70" s="32" t="n">
        <f aca="false">N70-M151</f>
        <v>4051.95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B67*B72</f>
        <v>578.85</v>
      </c>
      <c r="C73" s="316"/>
      <c r="D73" s="32"/>
      <c r="E73" s="317"/>
      <c r="F73" s="387"/>
      <c r="G73" s="365" t="s">
        <v>93</v>
      </c>
      <c r="H73" s="65" t="n">
        <f aca="false">H67*H72</f>
        <v>289.425</v>
      </c>
      <c r="I73" s="316"/>
      <c r="J73" s="32"/>
      <c r="K73" s="317"/>
      <c r="L73" s="387"/>
      <c r="M73" s="365" t="s">
        <v>93</v>
      </c>
      <c r="N73" s="65" t="n">
        <f aca="false">N67*N72</f>
        <v>289.425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200.0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5.0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165.0</v>
      </c>
      <c r="C80" s="316"/>
      <c r="D80" s="316"/>
      <c r="E80" s="403" t="n">
        <f aca="false">E79+D82</f>
        <v>703.333333333333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355.0</v>
      </c>
      <c r="C81" s="316"/>
      <c r="D81" s="316"/>
      <c r="E81" s="317" t="n">
        <f aca="false">E80/12</f>
        <v>58.6111111111111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43.3333333333333</v>
      </c>
      <c r="C82" s="316"/>
      <c r="D82" s="32" t="n">
        <f aca="false">IF(A50="YES", 0, B82)</f>
        <v>43.3333333333333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200.0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200.0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5421.95</v>
      </c>
      <c r="C87" s="316"/>
      <c r="D87" s="316"/>
      <c r="E87" s="317"/>
      <c r="F87" s="387"/>
      <c r="G87" s="411" t="s">
        <v>102</v>
      </c>
      <c r="H87" s="412" t="n">
        <f aca="false">SUM(J70:J86)</f>
        <v>7205.53333333333</v>
      </c>
      <c r="I87" s="316"/>
      <c r="J87" s="316"/>
      <c r="K87" s="317"/>
      <c r="L87" s="387"/>
      <c r="M87" s="411" t="s">
        <v>102</v>
      </c>
      <c r="N87" s="412" t="n">
        <f aca="false">SUM(P70:P86)</f>
        <v>7165.95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451.829166666667</v>
      </c>
      <c r="C88" s="316"/>
      <c r="D88" s="316"/>
      <c r="E88" s="317"/>
      <c r="F88" s="387"/>
      <c r="G88" s="315" t="s">
        <v>103</v>
      </c>
      <c r="H88" s="33" t="n">
        <f aca="false">H87/H29</f>
        <v>600.461111111111</v>
      </c>
      <c r="I88" s="316"/>
      <c r="J88" s="316"/>
      <c r="K88" s="317"/>
      <c r="L88" s="387"/>
      <c r="M88" s="315" t="s">
        <v>103</v>
      </c>
      <c r="N88" s="33" t="n">
        <f aca="false">N87/H29</f>
        <v>597.1625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-217.958333333333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2806.45</v>
      </c>
      <c r="C91" s="316"/>
      <c r="D91" s="316"/>
      <c r="E91" s="317"/>
      <c r="F91" s="387"/>
      <c r="G91" s="395" t="s">
        <v>114</v>
      </c>
      <c r="H91" s="27" t="n">
        <f aca="false">((H89*H29)+H87)*1.2</f>
        <v>8646.64</v>
      </c>
      <c r="I91" s="316"/>
      <c r="J91" s="316"/>
      <c r="K91" s="317"/>
      <c r="L91" s="387"/>
      <c r="M91" s="395" t="s">
        <v>114</v>
      </c>
      <c r="N91" s="27" t="n">
        <f aca="false">((N89*H29)+N87)</f>
        <v>7165.95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23.7738805970149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61.0392093586123</v>
      </c>
      <c r="I92" s="316"/>
      <c r="J92" s="316"/>
      <c r="K92" s="317"/>
      <c r="L92" s="387"/>
      <c r="M92" s="315" t="s">
        <v>115</v>
      </c>
      <c r="N92" s="33" t="n">
        <f aca="false">(N91/(1-N76))*N76</f>
        <v>60.7038926986688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2830.22388059702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10707.6792093586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9226.65389269867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235.851990049751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300.851990049751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1000.0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386</v>
      </c>
      <c r="B111" s="311" t="n">
        <v>30.0</v>
      </c>
      <c r="C111" s="311"/>
      <c r="D111" s="103" t="s">
        <v>410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390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0.0</v>
      </c>
      <c r="E118" s="103" t="n">
        <v>6000.0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2000.0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235.851990049751</v>
      </c>
      <c r="B134" s="320" t="n">
        <f aca="false">IF(A111="YES", B95, 0)</f>
        <v>65</v>
      </c>
      <c r="C134" s="325"/>
      <c r="D134" s="320" t="n">
        <f aca="false">B97</f>
        <v>300.851990049751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2122.66791044776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2707.66791044776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0.35115</v>
      </c>
      <c r="H142" s="38" t="n">
        <f aca="false">IF(G111="YES", E15*0.000002, 0)</f>
        <v>0.11705</v>
      </c>
      <c r="I142" s="38"/>
      <c r="J142" s="38" t="n">
        <f aca="false">G142+H142</f>
        <v>0.4682</v>
      </c>
      <c r="K142" s="101"/>
      <c r="L142" s="387"/>
      <c r="M142" s="107" t="n">
        <f aca="false">E15*0.000006</f>
        <v>0.35115</v>
      </c>
      <c r="N142" s="38" t="n">
        <f aca="false">IF(M111="YES", E15*0.000002, 0)</f>
        <v>0.11705</v>
      </c>
      <c r="O142" s="38"/>
      <c r="P142" s="38" t="n">
        <f aca="false">M142+N142</f>
        <v>0.4682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235.851990049751</v>
      </c>
      <c r="B143" s="38" t="n">
        <f aca="false">IF(A111="YES", B95, 0)</f>
        <v>65</v>
      </c>
      <c r="C143" s="316"/>
      <c r="D143" s="38" t="n">
        <f aca="false">B97</f>
        <v>300.851990049751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9647.5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300.851990049751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235.851990049751</v>
      </c>
      <c r="B177" s="354" t="n">
        <f aca="false">IF(A111="YES", B95, 0)</f>
        <v>65</v>
      </c>
      <c r="C177" s="357"/>
      <c r="D177" s="354" t="n">
        <f aca="false">B91</f>
        <v>2806.45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2122.66791044776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2707.66791044776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235.851990049751</v>
      </c>
      <c r="B186" s="99" t="n">
        <f aca="false">IF(A111="YES", B95, 0)</f>
        <v>65</v>
      </c>
      <c r="C186" s="352"/>
      <c r="D186" s="99" t="n">
        <f aca="false">B97</f>
        <v>300.851990049751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4051.95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23.7738805970149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408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402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406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199.99</v>
      </c>
      <c r="C191" s="99"/>
      <c r="D191" s="23"/>
      <c r="E191" s="99" t="n">
        <f aca="false">E188+A191+B191+A194</f>
        <v>56924.1148437457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11.577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557.2165625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199.99</v>
      </c>
      <c r="C233" s="99"/>
      <c r="D233" s="109"/>
      <c r="E233" s="99" t="n">
        <f aca="false">E191</f>
        <v>56924.1148437457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34.731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11.577</v>
      </c>
      <c r="B245" s="99" t="n">
        <f aca="false">E242+A245</f>
        <v>46.308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557.2165625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-448.681875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-448.681875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/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/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/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408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48877.5</v>
      </c>
      <c r="B37" s="32"/>
      <c r="C37" s="41" t="s">
        <v>402</v>
      </c>
      <c r="D37" s="41"/>
      <c r="E37" s="32"/>
      <c r="F37" s="43" t="n">
        <f aca="false">A37-C37</f>
        <v>47877.5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396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414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50702.1248437457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548.671875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47877.5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43497.6467407538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1584.81640136705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50714.1248437457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50714.1248437457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1584.81640136705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1569.706327631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1674.61110912406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1584.81640136705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1569.706327631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1674.61110912406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390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386</v>
      </c>
      <c r="B120" s="103" t="n">
        <v>0.0</v>
      </c>
      <c r="C120" s="103"/>
      <c r="D120" s="103"/>
      <c r="E120" s="103" t="n">
        <v>0.0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400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18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18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18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47687.5</v>
      </c>
      <c r="H144" s="150" t="n">
        <f aca="false">C134+E134+G134+H137</f>
        <v>47687.5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47687.5</v>
      </c>
      <c r="Q144" s="150" t="n">
        <f aca="false">L134+N134+P134+Q137</f>
        <v>29462.5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47687.5</v>
      </c>
      <c r="Z144" s="150" t="n">
        <f aca="false">U134+W134+Y134+Z137</f>
        <v>35973.9575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47687.5</v>
      </c>
      <c r="AI144" s="150" t="n">
        <f aca="false">AD134+AF134+AH134+AI137</f>
        <v>35973.9575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550</v>
      </c>
      <c r="H145" s="33" t="n">
        <f aca="false">G145</f>
        <v>550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550</v>
      </c>
      <c r="Q145" s="33" t="n">
        <f aca="false">P145</f>
        <v>550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550</v>
      </c>
      <c r="Z145" s="33" t="n">
        <f aca="false">Y145</f>
        <v>550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9647.5</v>
      </c>
      <c r="H146" s="33" t="n">
        <f aca="false">(H144+H145)*20%</f>
        <v>9647.5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9647.5</v>
      </c>
      <c r="Q146" s="33" t="n">
        <f aca="false">(Q144+Q145)*20%</f>
        <v>6002.5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9647.5</v>
      </c>
      <c r="Z146" s="33" t="n">
        <f aca="false">(Z144+Z145)*20%</f>
        <v>7304.7915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585</v>
      </c>
      <c r="H148" s="33" t="n">
        <f aca="false">G148</f>
        <v>585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585</v>
      </c>
      <c r="Q148" s="33" t="n">
        <f aca="false">P148</f>
        <v>585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585</v>
      </c>
      <c r="Z148" s="33" t="n">
        <f aca="false">Y148</f>
        <v>585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58525</v>
      </c>
      <c r="H150" s="154" t="n">
        <f aca="false">(H144+H145+H148+H149+H146)-H147</f>
        <v>58525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58525</v>
      </c>
      <c r="Q150" s="154" t="n">
        <f aca="false">(Q144+Q145+Q148+Q149+Q146)-Q147</f>
        <v>36655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58525</v>
      </c>
      <c r="Z150" s="154" t="n">
        <f aca="false">(Z144+Z145+Z148+Z149+Z146)-Z147</f>
        <v>44468.749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58525</v>
      </c>
      <c r="AI150" s="154" t="n">
        <f aca="false">(AI144+AI145+AI148+AI149+AI146)-AI147</f>
        <v>44468.749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58525</v>
      </c>
      <c r="H156" s="161" t="n">
        <f aca="false">H150-((H153*1.2)+(H154*1.2)+(H155*1.2)+(H151*1.2))</f>
        <v>58525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58525</v>
      </c>
      <c r="Q156" s="161" t="n">
        <f aca="false">Q150-((Q153*1.2)+(Q154*1.2)+(Q155*1.2)+(Q151*1.2))</f>
        <v>36655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58525</v>
      </c>
      <c r="Z156" s="161" t="n">
        <f aca="false">Z150-((Z153*1.2)+(Z154*1.2)+(Z155*1.2)+(Z151*1.2))</f>
        <v>44468.749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58525</v>
      </c>
      <c r="AI156" s="161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-21870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-14056.251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0.0</v>
      </c>
      <c r="F161" s="103"/>
      <c r="G161" s="103" t="n">
        <v>0.0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0.0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58525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37655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45468.749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45468.749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1584.81640136705</v>
      </c>
      <c r="B176" s="174" t="n">
        <f aca="false">B103</f>
        <v>0</v>
      </c>
      <c r="C176" s="171"/>
      <c r="D176" s="171"/>
      <c r="E176" s="174" t="n">
        <f aca="false">B105</f>
        <v>1584.81640136705</v>
      </c>
      <c r="F176" s="23"/>
      <c r="G176" s="23"/>
      <c r="H176" s="33"/>
      <c r="J176" s="173" t="n">
        <f aca="false">K104</f>
        <v>1569.706327631</v>
      </c>
      <c r="K176" s="175" t="n">
        <f aca="false">K103</f>
        <v>0</v>
      </c>
      <c r="L176" s="172"/>
      <c r="M176" s="172"/>
      <c r="N176" s="175" t="n">
        <f aca="false">K105</f>
        <v>1569.706327631</v>
      </c>
      <c r="O176" s="23"/>
      <c r="P176" s="23"/>
      <c r="Q176" s="33"/>
      <c r="S176" s="173" t="n">
        <f aca="false">T104</f>
        <v>1674.61110912406</v>
      </c>
      <c r="T176" s="175" t="n">
        <f aca="false">T103</f>
        <v>0</v>
      </c>
      <c r="U176" s="172"/>
      <c r="V176" s="172"/>
      <c r="W176" s="175" t="n">
        <f aca="false">T105</f>
        <v>1674.61110912406</v>
      </c>
      <c r="X176" s="23"/>
      <c r="Y176" s="23"/>
      <c r="Z176" s="33"/>
      <c r="AB176" s="173" t="n">
        <f aca="false">AC104</f>
        <v>1674.61110912406</v>
      </c>
      <c r="AC176" s="175" t="n">
        <f aca="false">AC103</f>
        <v>0</v>
      </c>
      <c r="AD176" s="172"/>
      <c r="AE176" s="172"/>
      <c r="AF176" s="175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6000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48237.5</v>
      </c>
      <c r="B182" s="99" t="n">
        <f aca="false">H146</f>
        <v>9647.5</v>
      </c>
      <c r="C182" s="183"/>
      <c r="D182" s="23"/>
      <c r="E182" s="179" t="n">
        <f aca="false">H148+H149</f>
        <v>640</v>
      </c>
      <c r="F182" s="23"/>
      <c r="G182" s="23"/>
      <c r="H182" s="33"/>
      <c r="J182" s="182" t="n">
        <f aca="false">Q150-Q146-Q148-Q149</f>
        <v>30012.5</v>
      </c>
      <c r="K182" s="38" t="n">
        <f aca="false">Q146</f>
        <v>6002.5</v>
      </c>
      <c r="L182" s="43"/>
      <c r="M182" s="23"/>
      <c r="N182" s="181" t="n">
        <f aca="false">Q148+Q149</f>
        <v>640</v>
      </c>
      <c r="O182" s="23"/>
      <c r="P182" s="23"/>
      <c r="Q182" s="33"/>
      <c r="S182" s="182" t="n">
        <f aca="false">Z150-Z146-Z148-Z149</f>
        <v>36523.9575</v>
      </c>
      <c r="T182" s="38" t="n">
        <f aca="false">Z146</f>
        <v>7304.7915</v>
      </c>
      <c r="U182" s="43"/>
      <c r="V182" s="23"/>
      <c r="W182" s="181" t="n">
        <f aca="false">Z148+Z149</f>
        <v>640</v>
      </c>
      <c r="X182" s="23"/>
      <c r="Y182" s="23"/>
      <c r="Z182" s="33"/>
      <c r="AB182" s="182" t="n">
        <f aca="false">AI150-AI146-AI148-AI149</f>
        <v>36523.9575</v>
      </c>
      <c r="AC182" s="38" t="n">
        <f aca="false">AI146</f>
        <v>7304.7915</v>
      </c>
      <c r="AD182" s="43"/>
      <c r="AE182" s="23"/>
      <c r="AF182" s="181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58525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58525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-1810.8751562543</v>
      </c>
      <c r="B191" s="99" t="str">
        <f aca="false">B123</f>
        <v>239.99</v>
      </c>
      <c r="C191" s="99"/>
      <c r="D191" s="23"/>
      <c r="E191" s="99" t="n">
        <f aca="false">E188+A191+B191+A194</f>
        <v>56964.1148437457</v>
      </c>
      <c r="F191" s="23"/>
      <c r="G191" s="23"/>
      <c r="H191" s="101"/>
      <c r="J191" s="107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1"/>
      <c r="S191" s="107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1"/>
      <c r="AB191" s="107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13.8924</v>
      </c>
      <c r="B197" s="99" t="n">
        <f aca="false">(G167*B76)/1.2</f>
        <v>457.2265625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0.11705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557.218229166667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-21870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1584.81640136705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1584.81640136705</v>
      </c>
      <c r="B221" s="174" t="n">
        <f aca="false">B176</f>
        <v>0</v>
      </c>
      <c r="C221" s="171"/>
      <c r="D221" s="171"/>
      <c r="E221" s="174" t="n">
        <f aca="false">E176</f>
        <v>1584.81640136705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48237.5</v>
      </c>
      <c r="B224" s="99" t="n">
        <f aca="false">B182</f>
        <v>9647.5</v>
      </c>
      <c r="C224" s="183"/>
      <c r="D224" s="109"/>
      <c r="E224" s="179" t="n">
        <f aca="false">E182</f>
        <v>640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58525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58525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-1810.8751562543</v>
      </c>
      <c r="B233" s="99" t="str">
        <f aca="false">B191</f>
        <v>239.99</v>
      </c>
      <c r="C233" s="99"/>
      <c r="D233" s="109"/>
      <c r="E233" s="99" t="n">
        <f aca="false">E191</f>
        <v>56964.1148437457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1584.81640136705</v>
      </c>
      <c r="B239" s="99" t="n">
        <f aca="false">B176</f>
        <v>0</v>
      </c>
      <c r="C239" s="183"/>
      <c r="D239" s="183"/>
      <c r="E239" s="99" t="n">
        <f aca="false">E176</f>
        <v>1584.81640136705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41.6772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13.8924</v>
      </c>
      <c r="B245" s="99" t="n">
        <f aca="false">E242+A245</f>
        <v>55.5696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457.2265625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557.218229166667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548.671875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-448.680208333333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50714.1248437457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548.671875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-448.680208333333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36.0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1470.66688274653</v>
      </c>
      <c r="E33" s="212"/>
      <c r="F33" s="63"/>
      <c r="G33" s="215" t="s">
        <v>351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1420.66688274653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60000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2305.68292975996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1"/>
      <c r="C45" s="463" t="n">
        <v>30.0</v>
      </c>
      <c r="D45" s="463"/>
      <c r="E45" s="212"/>
      <c r="F45" s="63"/>
      <c r="G45" s="63" t="s">
        <v>372</v>
      </c>
      <c r="H45" s="234" t="n">
        <f aca="false">(H39-H44)</f>
        <v>46352.7928941323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1420.66688274653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1470.66688274653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1470.66688274653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374</v>
      </c>
      <c r="B60" s="211" t="n">
        <f aca="false">E19</f>
        <v>72000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C64</f>
        <v>7560</v>
      </c>
      <c r="C64" s="465" t="n">
        <v>10000.0</v>
      </c>
      <c r="D64" s="290" t="n">
        <f aca="false">B64</f>
        <v>7560</v>
      </c>
      <c r="E64" s="466" t="n">
        <f aca="false">D64/(B58+B57)</f>
        <v>210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0.005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160.0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4.5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180.0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300.0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100.0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9515.41666666667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264.31712962963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1420.66688274653</v>
      </c>
      <c r="C83" s="473"/>
      <c r="D83" s="211"/>
      <c r="E83" s="466" t="n">
        <f aca="false">B83+E80+E77+E64</f>
        <v>1678.81117286999</v>
      </c>
      <c r="F83" s="63"/>
      <c r="G83" s="304" t="s">
        <v>104</v>
      </c>
      <c r="H83" s="305" t="n">
        <f aca="false">H47</f>
        <v>1420.66688274653</v>
      </c>
      <c r="I83" s="211"/>
      <c r="J83" s="211"/>
      <c r="K83" s="212"/>
      <c r="L83" s="63"/>
      <c r="M83" s="304" t="s">
        <v>104</v>
      </c>
      <c r="N83" s="305" t="n">
        <f aca="false">H47</f>
        <v>1420.66688274653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60659.4244455419</v>
      </c>
      <c r="C85" s="473"/>
      <c r="D85" s="473"/>
      <c r="E85" s="466" t="n">
        <f aca="false">B85/(B58+B57)</f>
        <v>1684.98401237616</v>
      </c>
      <c r="F85" s="63"/>
      <c r="G85" s="287" t="s">
        <v>114</v>
      </c>
      <c r="H85" s="127" t="n">
        <f aca="false">((H83*H29)+H81)*1.2</f>
        <v>62651.7093346502</v>
      </c>
      <c r="I85" s="211"/>
      <c r="J85" s="211"/>
      <c r="K85" s="212"/>
      <c r="L85" s="63"/>
      <c r="M85" s="287" t="s">
        <v>114</v>
      </c>
      <c r="N85" s="127" t="n">
        <f aca="false">((N83*H29)+N81)</f>
        <v>51866.0077788752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513.855551979177</v>
      </c>
      <c r="C86" s="473" t="s">
        <v>227</v>
      </c>
      <c r="D86" s="211"/>
      <c r="E86" s="466" t="n">
        <f aca="false">B86/(B58+B57)</f>
        <v>14.2737653327549</v>
      </c>
      <c r="F86" s="63"/>
      <c r="G86" s="210" t="s">
        <v>115</v>
      </c>
      <c r="H86" s="299" t="n">
        <f aca="false">((((H83*H29)+H81))/(1-H70))*H70</f>
        <v>442.277092923106</v>
      </c>
      <c r="I86" s="211"/>
      <c r="J86" s="211"/>
      <c r="K86" s="212"/>
      <c r="L86" s="63"/>
      <c r="M86" s="210" t="s">
        <v>115</v>
      </c>
      <c r="N86" s="299" t="n">
        <f aca="false">(N85/(1-N70))*N70</f>
        <v>439.365132455175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61173.279997521</v>
      </c>
      <c r="C87" s="473"/>
      <c r="D87" s="475"/>
      <c r="E87" s="466" t="n">
        <f aca="false">E86+E85</f>
        <v>1699.25777770892</v>
      </c>
      <c r="F87" s="63"/>
      <c r="G87" s="284" t="s">
        <v>116</v>
      </c>
      <c r="H87" s="129" t="n">
        <f aca="false">IF(H110="YES",((H85+H86)-K114),(H85+H86))</f>
        <v>63093.9864275733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52305.3729113304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1699.25777770892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1538.87771774569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1275.74080271537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1764.25777770892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1749.60942506276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1451.35055881294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1538.87771774569</v>
      </c>
      <c r="H127" s="174" t="n">
        <f aca="false">IF(G105="YES", H89*H57, 0)</f>
        <v>1264.39024390244</v>
      </c>
      <c r="I127" s="174"/>
      <c r="J127" s="333" t="n">
        <f aca="false">H91</f>
        <v>1749.60942506276</v>
      </c>
      <c r="K127" s="212"/>
      <c r="L127" s="63"/>
      <c r="M127" s="332" t="n">
        <f aca="false">N90</f>
        <v>1275.74080271537</v>
      </c>
      <c r="N127" s="174" t="n">
        <f aca="false">IF(M105="YES", N89*N57, 0)</f>
        <v>1053.65853658537</v>
      </c>
      <c r="O127" s="174"/>
      <c r="P127" s="174" t="n">
        <f aca="false">N91</f>
        <v>1451.35055881294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1699.25777770892</v>
      </c>
      <c r="B128" s="320" t="n">
        <f aca="false">IF(A105="YES", B89, 0)</f>
        <v>65</v>
      </c>
      <c r="C128" s="324"/>
      <c r="D128" s="320" t="n">
        <f aca="false">B91</f>
        <v>1764.25777770892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1699.25777770892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9233.26630647415</v>
      </c>
      <c r="H133" s="99" t="n">
        <f aca="false">IF(G105="YES", H89*H57, 0)</f>
        <v>1264.39024390244</v>
      </c>
      <c r="I133" s="217"/>
      <c r="J133" s="181" t="n">
        <f aca="false">H91*H57</f>
        <v>10497.6565503766</v>
      </c>
      <c r="K133" s="212"/>
      <c r="L133" s="63"/>
      <c r="M133" s="182" t="n">
        <f aca="false">N90*N57</f>
        <v>7654.44481629225</v>
      </c>
      <c r="N133" s="99" t="n">
        <f aca="false">IF(M105="YES", N89*N57, 0)</f>
        <v>1053.65853658537</v>
      </c>
      <c r="O133" s="217"/>
      <c r="P133" s="181" t="n">
        <f aca="false">N91*N57</f>
        <v>8708.10335287761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1764.25777770892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1699.25777770892</v>
      </c>
      <c r="B137" s="38" t="n">
        <f aca="false">IF(A105="YES", B89, 0)</f>
        <v>65</v>
      </c>
      <c r="C137" s="316"/>
      <c r="D137" s="38" t="n">
        <f aca="false">B91</f>
        <v>1764.25777770892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1749.60942506276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1451.35055881294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1764.25777770892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1699.25777770892</v>
      </c>
      <c r="B177" s="354" t="n">
        <f aca="false">IF(A105="YES", B89, 0)</f>
        <v>65</v>
      </c>
      <c r="C177" s="356"/>
      <c r="D177" s="354" t="n">
        <f aca="false">B91</f>
        <v>1764.25777770892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1699.25777770892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1764.25777770892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1699.25777770892</v>
      </c>
      <c r="B186" s="99" t="n">
        <f aca="false">IF(A105="YES", B89, 0)</f>
        <v>65</v>
      </c>
      <c r="C186" s="352"/>
      <c r="D186" s="99" t="n">
        <f aca="false">B91</f>
        <v>1764.25777770892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7560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7691.89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7560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7691.89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513.855551979177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51975.9696614779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4125.32107917265</v>
      </c>
      <c r="C86" s="130" t="n">
        <f aca="false">(B82/((1+B84)^(B85+1)))</f>
        <v>4125.32107917265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43752.1789208274</v>
      </c>
      <c r="C88" s="130" t="n">
        <f aca="false">B81-B86</f>
        <v>43752.1789208274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1639.88541555755</v>
      </c>
      <c r="C89" s="130" t="n">
        <f aca="false">(B88/B87)</f>
        <v>1639.88541555755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52476.3332978415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52476.3332978415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1639.88541555755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1639.88541555755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404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1639.88541555755</v>
      </c>
      <c r="B167" s="174" t="str">
        <f aca="false">B94</f>
        <v>0</v>
      </c>
      <c r="C167" s="171"/>
      <c r="D167" s="171"/>
      <c r="E167" s="174" t="n">
        <f aca="false">B96</f>
        <v>1639.88541555755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-48.666702158509</v>
      </c>
      <c r="B182" s="99" t="str">
        <f aca="false">B114</f>
        <v>199.99</v>
      </c>
      <c r="C182" s="99"/>
      <c r="D182" s="23"/>
      <c r="E182" s="99" t="n">
        <f aca="false">E179+A182+(B182*1.2)+A185</f>
        <v>58726.3212978415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1639.88541555755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1639.88541555755</v>
      </c>
      <c r="B212" s="174" t="str">
        <f aca="false">B167</f>
        <v>0</v>
      </c>
      <c r="C212" s="171"/>
      <c r="D212" s="171"/>
      <c r="E212" s="174" t="n">
        <f aca="false">E167</f>
        <v>1639.88541555755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-48.666702158509</v>
      </c>
      <c r="B224" s="99" t="str">
        <f aca="false">B182</f>
        <v>199.99</v>
      </c>
      <c r="C224" s="99"/>
      <c r="D224" s="109"/>
      <c r="E224" s="99" t="n">
        <f aca="false">E182</f>
        <v>58726.3212978415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1639.88541555755</v>
      </c>
      <c r="B230" s="99" t="str">
        <f aca="false">B167</f>
        <v>0</v>
      </c>
      <c r="C230" s="183"/>
      <c r="D230" s="183"/>
      <c r="E230" s="99" t="n">
        <f aca="false">E167</f>
        <v>1639.88541555755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11.577</v>
      </c>
      <c r="B236" s="99" t="n">
        <f aca="false">E233+A236</f>
        <v>46.308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-4837.50670215851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-5286.18857715851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-4837.50670215851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-5286.18857715851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239.99</v>
      </c>
      <c r="C182" s="99"/>
      <c r="D182" s="23"/>
      <c r="E182" s="99" t="n">
        <f aca="false">E179+A182+B182+A185</f>
        <v>56964.1148437457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13.8924</v>
      </c>
      <c r="B188" s="99" t="n">
        <f aca="false">(G158*B67)/1.2</f>
        <v>457.2265625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557.218229166667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E179+A201+B182+A185</f>
        <v>63573.83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239.99</v>
      </c>
      <c r="C224" s="99"/>
      <c r="D224" s="109"/>
      <c r="E224" s="99" t="n">
        <f aca="false">E182</f>
        <v>56964.1148437457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13.8924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557.218229166667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-7048.39536458763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-7048.39536458763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6.864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964.123031419479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6.864</v>
      </c>
      <c r="C134" s="325"/>
      <c r="D134" s="320" t="n">
        <f aca="false">B97</f>
        <v>964.123031419479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61.776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8677.10728277531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6.864</v>
      </c>
      <c r="C143" s="316"/>
      <c r="D143" s="38" t="n">
        <f aca="false">B97</f>
        <v>964.123031419479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1080.7408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964.123031419479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6.864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61.776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8677.10728277531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6.864</v>
      </c>
      <c r="C186" s="352"/>
      <c r="D186" s="99" t="n">
        <f aca="false">B97</f>
        <v>964.123031419479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1.9008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1080.7408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358.998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3832.098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3832.098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19.008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5.28</v>
      </c>
      <c r="E32" s="222"/>
      <c r="F32" s="63"/>
      <c r="G32" s="223" t="s">
        <v>241</v>
      </c>
      <c r="H32" s="221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505.28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412</v>
      </c>
      <c r="B41" s="237" t="n">
        <f aca="false">IF(B38="YES", D38+A41, D38)</f>
        <v>505.28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5.28</v>
      </c>
      <c r="I44" s="393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506.28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506.28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4755.28333333333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396.273611111111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12920.74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91.211355385236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13011.9513553852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6.336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1084.32927961544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1084.32927961544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1084.32927961544</v>
      </c>
      <c r="B134" s="320" t="n">
        <f aca="false">IF(A111="YES", B95, 0)</f>
        <v>0</v>
      </c>
      <c r="C134" s="325"/>
      <c r="D134" s="320" t="n">
        <f aca="false">B97</f>
        <v>1084.32927961544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9758.96351653893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9758.96351653893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1084.32927961544</v>
      </c>
      <c r="B143" s="38" t="n">
        <f aca="false">IF(A111="YES", B95, 0)</f>
        <v>0</v>
      </c>
      <c r="C143" s="316"/>
      <c r="D143" s="38" t="n">
        <f aca="false">B97</f>
        <v>1084.32927961544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1.2672</v>
      </c>
      <c r="H148" s="99" t="n">
        <f aca="false">G108-100</f>
        <v>139.988</v>
      </c>
      <c r="I148" s="99"/>
      <c r="J148" s="99" t="n">
        <f aca="false">(H145+J145+G148+H148)-H151</f>
        <v>1462.4427</v>
      </c>
      <c r="K148" s="101"/>
      <c r="L148" s="63"/>
      <c r="M148" s="107" t="n">
        <f aca="false">IF(M111="YES", ((A41*N111)*0.1)*(M133), 0)</f>
        <v>1.2672</v>
      </c>
      <c r="N148" s="99" t="n">
        <f aca="false">M108-100</f>
        <v>99.99</v>
      </c>
      <c r="O148" s="99"/>
      <c r="P148" s="99" t="n">
        <f aca="false">(N145+P145+M148+N148)-N151</f>
        <v>1422.4447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678.841666666667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1084.32927961544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1084.32927961544</v>
      </c>
      <c r="B177" s="354" t="n">
        <f aca="false">IF(A111="YES", B95, 0)</f>
        <v>0</v>
      </c>
      <c r="C177" s="357"/>
      <c r="D177" s="354" t="n">
        <f aca="false">B91</f>
        <v>12920.74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9758.96351653893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9758.96351653893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1084.32927961544</v>
      </c>
      <c r="B186" s="99" t="n">
        <f aca="false">IF(A111="YES", B95, 0)</f>
        <v>0</v>
      </c>
      <c r="C186" s="352"/>
      <c r="D186" s="99" t="n">
        <f aca="false">B97</f>
        <v>1084.32927961544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678.841666666667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3573.09166666667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3573.09166666667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91.211355385236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960.900732822375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0</v>
      </c>
      <c r="C134" s="325"/>
      <c r="D134" s="320" t="n">
        <f aca="false">B97</f>
        <v>960.900732822375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8648.10659540137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0</v>
      </c>
      <c r="C143" s="316"/>
      <c r="D143" s="38" t="n">
        <f aca="false">B97</f>
        <v>960.900732822375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960.900732822375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0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8648.10659540137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0</v>
      </c>
      <c r="C186" s="352"/>
      <c r="D186" s="99" t="n">
        <f aca="false">B97</f>
        <v>960.900732822375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1078.84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413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402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408</v>
      </c>
      <c r="C35" s="219"/>
      <c r="D35" s="219" t="s">
        <v>401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396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50213.7612073821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43497.6467407538</v>
      </c>
      <c r="C88" s="130" t="n">
        <f aca="false">B81-B86</f>
        <v>43497.6467407538</v>
      </c>
      <c r="D88" s="130"/>
      <c r="E88" s="109"/>
      <c r="F88" s="31" t="s">
        <v>112</v>
      </c>
      <c r="G88" s="33" t="n">
        <f aca="false">G81-G86</f>
        <v>52500.6270487144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1584.81640136705</v>
      </c>
      <c r="C89" s="130" t="n">
        <f aca="false">(B88/B87)</f>
        <v>1584.81640136705</v>
      </c>
      <c r="D89" s="130"/>
      <c r="E89" s="109"/>
      <c r="F89" s="31" t="s">
        <v>113</v>
      </c>
      <c r="G89" s="33" t="n">
        <f aca="false">(G88/G87)</f>
        <v>1791.36776953147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50714.1248437457</v>
      </c>
      <c r="C90" s="130"/>
      <c r="D90" s="130"/>
      <c r="E90" s="109"/>
      <c r="F90" s="31" t="s">
        <v>114</v>
      </c>
      <c r="G90" s="33" t="n">
        <f aca="false">((G89*(G85))+G77)</f>
        <v>57323.768625007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50714.1248437457</v>
      </c>
      <c r="C92" s="130"/>
      <c r="D92" s="130"/>
      <c r="E92" s="109"/>
      <c r="F92" s="56" t="s">
        <v>116</v>
      </c>
      <c r="G92" s="65" t="n">
        <f aca="false">(G90+G91)</f>
        <v>57323.768625007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1584.81640136705</v>
      </c>
      <c r="C95" s="130"/>
      <c r="D95" s="130"/>
      <c r="E95" s="109"/>
      <c r="F95" s="91" t="s">
        <v>118</v>
      </c>
      <c r="G95" s="92" t="n">
        <f aca="false">G92/(G85)</f>
        <v>1791.36776953147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1584.81640136705</v>
      </c>
      <c r="C96" s="130"/>
      <c r="D96" s="130"/>
      <c r="E96" s="109"/>
      <c r="F96" s="93" t="s">
        <v>119</v>
      </c>
      <c r="G96" s="94" t="n">
        <f aca="false">G94+G95</f>
        <v>1791.36776953147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1584.81640136705</v>
      </c>
      <c r="B167" s="174" t="str">
        <f aca="false">B94</f>
        <v>0</v>
      </c>
      <c r="C167" s="171"/>
      <c r="D167" s="171"/>
      <c r="E167" s="174" t="n">
        <f aca="false">B96</f>
        <v>1584.81640136705</v>
      </c>
      <c r="F167" s="23"/>
      <c r="G167" s="23" t="n">
        <f aca="false">ROUND(G95, 2)</f>
        <v>1791.37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-1810.8751562543</v>
      </c>
      <c r="B182" s="99" t="str">
        <f aca="false">B114</f>
        <v>199.99</v>
      </c>
      <c r="C182" s="99"/>
      <c r="D182" s="23"/>
      <c r="E182" s="99" t="n">
        <f aca="false">E179+A182+(B182*1.2)+A185</f>
        <v>56964.1128437457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1584.81640136705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4798.84</v>
      </c>
      <c r="B201" s="183" t="n">
        <f aca="false">E179+A201+(B182*1.2)+A185</f>
        <v>63573.828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1584.81640136705</v>
      </c>
      <c r="B212" s="174" t="str">
        <f aca="false">B167</f>
        <v>0</v>
      </c>
      <c r="C212" s="171"/>
      <c r="D212" s="171"/>
      <c r="E212" s="174" t="n">
        <f aca="false">E167</f>
        <v>1584.81640136705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-1810.8751562543</v>
      </c>
      <c r="B224" s="99" t="str">
        <f aca="false">B182</f>
        <v>199.99</v>
      </c>
      <c r="C224" s="99"/>
      <c r="D224" s="109"/>
      <c r="E224" s="99" t="n">
        <f aca="false">E182</f>
        <v>56964.1128437457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1584.81640136705</v>
      </c>
      <c r="B230" s="99" t="str">
        <f aca="false">B167</f>
        <v>0</v>
      </c>
      <c r="C230" s="183"/>
      <c r="D230" s="183"/>
      <c r="E230" s="99" t="n">
        <f aca="false">E167</f>
        <v>1584.81640136705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-6599.71515625429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-7048.39703125429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-6599.71515625429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-7048.39703125429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60</v>
      </c>
      <c r="E32" s="222"/>
      <c r="F32" s="63"/>
      <c r="G32" s="223" t="s">
        <v>241</v>
      </c>
      <c r="H32" s="221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560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394</v>
      </c>
      <c r="B41" s="237" t="n">
        <f aca="false">IF(B38="YES", D38+A41, D38)</f>
        <v>560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398</v>
      </c>
      <c r="E44" s="100"/>
      <c r="F44" s="63"/>
      <c r="G44" s="63" t="s">
        <v>255</v>
      </c>
      <c r="H44" s="234" t="str">
        <f aca="false">H32</f>
        <v>60</v>
      </c>
      <c r="I44" s="393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561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0.0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0.0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5378.61666666667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448.218055555556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11390.6166666667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96.4917103670835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11487.1083770338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957.259031419479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1035.25903141948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3" t="n">
        <v>30.0</v>
      </c>
      <c r="C111" s="313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957.259031419479</v>
      </c>
      <c r="B134" s="320" t="n">
        <f aca="false">IF(A111="YES", B95, 0)</f>
        <v>78</v>
      </c>
      <c r="C134" s="325"/>
      <c r="D134" s="320" t="n">
        <f aca="false">B97</f>
        <v>1035.25903141948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8615.33128277531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9317.33128277531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957.259031419479</v>
      </c>
      <c r="B143" s="38" t="n">
        <f aca="false">IF(A111="YES", B95, 0)</f>
        <v>78</v>
      </c>
      <c r="C143" s="316"/>
      <c r="D143" s="38" t="n">
        <f aca="false">B97</f>
        <v>1035.25903141948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14.4</v>
      </c>
      <c r="H148" s="99" t="n">
        <f aca="false">G108-100</f>
        <v>139.988</v>
      </c>
      <c r="I148" s="99"/>
      <c r="J148" s="99" t="n">
        <f aca="false">(H145+J145+G148+H148)-H151</f>
        <v>1475.5755</v>
      </c>
      <c r="K148" s="101"/>
      <c r="L148" s="63"/>
      <c r="M148" s="107" t="n">
        <f aca="false">IF(M111="YES", ((A41*N111)*0.1)*(M133), 0)</f>
        <v>14.4</v>
      </c>
      <c r="N148" s="99" t="n">
        <f aca="false">M108-100</f>
        <v>99.99</v>
      </c>
      <c r="O148" s="99"/>
      <c r="P148" s="99" t="n">
        <f aca="false">(N145+P145+M148+N148)-N151</f>
        <v>1435.5775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99" t="n">
        <f aca="false">B108</f>
        <v>400</v>
      </c>
      <c r="C154" s="38"/>
      <c r="D154" s="38" t="n">
        <f aca="false">IF(A111="YES", (A41/100*B111)*B131, 0)*0.1</f>
        <v>21.6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1035.25903141948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957.259031419479</v>
      </c>
      <c r="B177" s="354" t="n">
        <f aca="false">IF(A111="YES", B95, 0)</f>
        <v>78</v>
      </c>
      <c r="C177" s="357"/>
      <c r="D177" s="354" t="n">
        <f aca="false">B91</f>
        <v>11390.6166666667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8615.33128277531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9317.33128277531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957.259031419479</v>
      </c>
      <c r="B186" s="99" t="n">
        <f aca="false">IF(A111="YES", B95, 0)</f>
        <v>78</v>
      </c>
      <c r="C186" s="352"/>
      <c r="D186" s="99" t="n">
        <f aca="false">B97</f>
        <v>1035.25903141948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21.6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1100.44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555.99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4029.09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216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387</v>
      </c>
      <c r="B41" s="237" t="str">
        <f aca="false">IF(B38="YES", D38+A41, D38)</f>
        <v>500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387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13720.74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13817.5987938685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1151.46656615571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1151.46656615571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390</v>
      </c>
      <c r="B111" s="311" t="n">
        <v>0.0</v>
      </c>
      <c r="C111" s="311"/>
      <c r="D111" s="103" t="n">
        <v>200.0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1151.46656615571</v>
      </c>
      <c r="B134" s="320" t="n">
        <f aca="false">IF(A111="YES", B95, 0)</f>
        <v>0</v>
      </c>
      <c r="C134" s="325"/>
      <c r="D134" s="320" t="n">
        <f aca="false">B97</f>
        <v>1151.46656615571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1151.46656615571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1151.46656615571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1151.46656615571</v>
      </c>
      <c r="B143" s="38" t="n">
        <f aca="false">IF(A111="YES", B95, 0)</f>
        <v>0</v>
      </c>
      <c r="C143" s="316"/>
      <c r="D143" s="38" t="n">
        <f aca="false">B97</f>
        <v>1151.46656615571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1461.1755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1421.1775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1151.46656615571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1151.46656615571</v>
      </c>
      <c r="B177" s="354" t="n">
        <f aca="false">IF(A111="YES", B95, 0)</f>
        <v>0</v>
      </c>
      <c r="C177" s="357"/>
      <c r="D177" s="354" t="n">
        <f aca="false">B97</f>
        <v>1151.46656615571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1151.46656615571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1151.46656615571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1151.46656615571</v>
      </c>
      <c r="B186" s="99" t="n">
        <f aca="false">IF(A111="YES", B95, 0)</f>
        <v>0</v>
      </c>
      <c r="C186" s="352"/>
      <c r="D186" s="99" t="n">
        <f aca="false">B97</f>
        <v>1151.46656615571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1078.84166666667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3813.09166666667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s">
        <v>393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389</v>
      </c>
      <c r="B41" s="237" t="n">
        <f aca="false">IF(B38="YES", D38+A41, D38)</f>
        <v>550</v>
      </c>
      <c r="C41" s="237"/>
      <c r="D41" s="100" t="s">
        <v>395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396</v>
      </c>
      <c r="B44" s="100" t="s">
        <v>397</v>
      </c>
      <c r="C44" s="100"/>
      <c r="D44" s="100" t="s">
        <v>399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399</v>
      </c>
      <c r="C47" s="428"/>
      <c r="D47" s="100" t="s">
        <v>399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 t="n">
        <v>10000.0</v>
      </c>
      <c r="D70" s="290" t="n">
        <f aca="false">B70-A149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200.0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5.0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165.0</v>
      </c>
      <c r="C80" s="211"/>
      <c r="D80" s="211"/>
      <c r="E80" s="429" t="n">
        <f aca="false">E79+D82</f>
        <v>703.333333333333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355.0</v>
      </c>
      <c r="C81" s="211"/>
      <c r="D81" s="211"/>
      <c r="E81" s="212" t="n">
        <f aca="false">E80/12</f>
        <v>58.6111111111111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43.3333333333333</v>
      </c>
      <c r="C82" s="211"/>
      <c r="D82" s="290" t="n">
        <f aca="false">IF(A50="YES", 0, B82)</f>
        <v>43.3333333333333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200.0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200.0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5421.95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451.829166666667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11433.95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96.8587938684954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11530.8087938685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960.900732822375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1025.90073282237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1000.0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400.0</v>
      </c>
      <c r="C108" s="103"/>
      <c r="D108" s="103" t="n">
        <v>200.0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386</v>
      </c>
      <c r="B111" s="311" t="n">
        <v>30.0</v>
      </c>
      <c r="C111" s="311"/>
      <c r="D111" s="103" t="s">
        <v>410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390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0.0</v>
      </c>
      <c r="E118" s="103" t="n">
        <v>6000.0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2000.0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0.0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960.900732822375</v>
      </c>
      <c r="B134" s="320" t="n">
        <f aca="false">IF(A111="YES", B95, 0)</f>
        <v>65</v>
      </c>
      <c r="C134" s="325"/>
      <c r="D134" s="320" t="n">
        <f aca="false">B97</f>
        <v>1025.90073282237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8648.10659540137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9233.10659540137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960.900732822375</v>
      </c>
      <c r="B143" s="38" t="n">
        <f aca="false">IF(A111="YES", B95, 0)</f>
        <v>65</v>
      </c>
      <c r="C143" s="316"/>
      <c r="D143" s="38" t="n">
        <f aca="false">B97</f>
        <v>1025.90073282237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41.6772</v>
      </c>
      <c r="B146" s="342" t="n">
        <f aca="false">G18*0.000002 *1.2*100</f>
        <v>13.8924</v>
      </c>
      <c r="C146" s="316"/>
      <c r="D146" s="342" t="n">
        <f aca="false">A146+B146</f>
        <v>55.5696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1025.90073282237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960.900732822375</v>
      </c>
      <c r="B177" s="354" t="n">
        <f aca="false">IF(A111="YES", B95, 0)</f>
        <v>65</v>
      </c>
      <c r="C177" s="357"/>
      <c r="D177" s="354" t="n">
        <f aca="false">B91</f>
        <v>11433.95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8648.10659540137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9233.10659540137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960.900732822375</v>
      </c>
      <c r="B186" s="99" t="n">
        <f aca="false">IF(A111="YES", B95, 0)</f>
        <v>65</v>
      </c>
      <c r="C186" s="352"/>
      <c r="D186" s="99" t="n">
        <f aca="false">B97</f>
        <v>1025.90073282237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G18*0.000002 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578.85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1096.84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4051.95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578.85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3993.09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4051.95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578.85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3993.09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1" colorId="64" zoomScale="85" zoomScaleNormal="85" zoomScalePageLayoutView="100" workbookViewId="0">
      <selection pane="topLeft" activeCell="B201" activeCellId="0" sqref="B20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9600.0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/>
      <c r="J32" s="29" t="s">
        <v>36</v>
      </c>
      <c r="K32" s="448" t="n">
        <v>2344.6499999999996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1396.7304053987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1329.7404053987</v>
      </c>
      <c r="B36" s="228" t="n">
        <f aca="false">IF(B26="YES", K42, "0.00")</f>
        <v>66.99</v>
      </c>
      <c r="C36" s="228"/>
      <c r="D36" s="228"/>
      <c r="E36" s="228" t="n">
        <f aca="false">K31</f>
        <v>9600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(K32/K36)*C45/100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6586.14214929175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100.0</v>
      </c>
      <c r="D45" s="62"/>
      <c r="E45" s="62"/>
      <c r="F45" s="130"/>
      <c r="G45" s="130"/>
      <c r="H45" s="33"/>
      <c r="J45" s="2" t="s">
        <v>362</v>
      </c>
      <c r="K45" s="2" t="n">
        <f aca="false">(K39-K44)</f>
        <v>42291.3578507082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1396.7304053987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25053.9996087026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4672.71417168699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237.909775155269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237.909775155269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1329.7404053987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1396.7304053987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1396.7304053987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45468.749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130"/>
      <c r="D82" s="130"/>
      <c r="E82" s="109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9600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9600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6875.35612118848</v>
      </c>
      <c r="C86" s="130"/>
      <c r="D86" s="130"/>
      <c r="E86" s="109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6564.9851676575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6564.9851676575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60854.6478788115</v>
      </c>
      <c r="C88" s="130"/>
      <c r="D88" s="130"/>
      <c r="E88" s="109"/>
      <c r="F88" s="31" t="s">
        <v>112</v>
      </c>
      <c r="G88" s="33" t="n">
        <f aca="false">G81-G86</f>
        <v>59783.8234968795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38903.7638323425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38903.7638323425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2105.73275875463</v>
      </c>
      <c r="C89" s="130"/>
      <c r="D89" s="130"/>
      <c r="E89" s="109"/>
      <c r="F89" s="31" t="s">
        <v>113</v>
      </c>
      <c r="G89" s="33" t="n">
        <f aca="false">(G88/G87)</f>
        <v>1929.9738562329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1375.84776365029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1375.84776365029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71594.9137976573</v>
      </c>
      <c r="C90" s="130"/>
      <c r="D90" s="130"/>
      <c r="E90" s="109"/>
      <c r="F90" s="31" t="s">
        <v>114</v>
      </c>
      <c r="G90" s="33" t="n">
        <f aca="false">((G89*(G85))+G77)</f>
        <v>65619.1111119187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46778.8239641099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46778.8239641099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71594.9137976573</v>
      </c>
      <c r="C92" s="130"/>
      <c r="D92" s="130"/>
      <c r="E92" s="109"/>
      <c r="F92" s="56" t="s">
        <v>116</v>
      </c>
      <c r="G92" s="65" t="n">
        <f aca="false">(G90+G91)</f>
        <v>65619.1111119187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46778.8239641099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46778.8239641099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IF(B26="YES",((E40/B85)*(1+A108)*(C45/100)),"0")</f>
        <v>89.6483823529412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89.6483823529412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2105.73275875463</v>
      </c>
      <c r="C95" s="130"/>
      <c r="D95" s="130"/>
      <c r="E95" s="109"/>
      <c r="F95" s="91" t="s">
        <v>118</v>
      </c>
      <c r="G95" s="92" t="n">
        <f aca="false">G92/(G85)</f>
        <v>1929.9738562329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1375.84776365029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1375.84776365029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2195.38114110757</v>
      </c>
      <c r="C96" s="130"/>
      <c r="D96" s="130"/>
      <c r="E96" s="109"/>
      <c r="F96" s="93" t="s">
        <v>119</v>
      </c>
      <c r="G96" s="94" t="n">
        <f aca="false">G94+G95</f>
        <v>2019.62223858584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1458.60011659147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1475.1505871797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386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409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11713.5425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35140.6275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35973.9575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7304.7915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44468.749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44468.749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-14056.251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45468.749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2105.73275875463</v>
      </c>
      <c r="B167" s="174" t="n">
        <f aca="false">B94</f>
        <v>89.6483823529412</v>
      </c>
      <c r="C167" s="171"/>
      <c r="D167" s="171"/>
      <c r="E167" s="174" t="n">
        <f aca="false">B96</f>
        <v>2195.38114110757</v>
      </c>
      <c r="F167" s="23"/>
      <c r="G167" s="23" t="n">
        <f aca="false">ROUND(G95, 2)</f>
        <v>1929.97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1375.84776365029</v>
      </c>
      <c r="T167" s="174" t="n">
        <f aca="false">T94</f>
        <v>82.7523529411765</v>
      </c>
      <c r="U167" s="171"/>
      <c r="V167" s="171"/>
      <c r="W167" s="174" t="n">
        <f aca="false">T96</f>
        <v>1458.60011659147</v>
      </c>
      <c r="X167" s="23"/>
      <c r="Y167" s="23"/>
      <c r="Z167" s="33"/>
      <c r="AB167" s="173" t="n">
        <f aca="false">AC95</f>
        <v>1375.84776365029</v>
      </c>
      <c r="AC167" s="174" t="n">
        <f aca="false">AC94</f>
        <v>99.3028235294117</v>
      </c>
      <c r="AD167" s="171"/>
      <c r="AE167" s="171"/>
      <c r="AF167" s="174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9600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9600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9600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36523.9575</v>
      </c>
      <c r="T173" s="99" t="n">
        <f aca="false">Z137</f>
        <v>7304.7915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44468.749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45468.749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13464.9097976573</v>
      </c>
      <c r="B182" s="99" t="str">
        <f aca="false">B114</f>
        <v>199.99</v>
      </c>
      <c r="C182" s="99"/>
      <c r="D182" s="23"/>
      <c r="E182" s="99" t="n">
        <f aca="false">E179+A182+(B182*1.2)+A185</f>
        <v>81444.9017976573</v>
      </c>
      <c r="F182" s="23"/>
      <c r="G182" s="23"/>
      <c r="H182" s="101"/>
      <c r="J182" s="107" t="n">
        <f aca="false">(J167*K59)+N185-N179-J185</f>
        <v>23158.6283606416</v>
      </c>
      <c r="K182" s="99" t="n">
        <f aca="false">K114</f>
        <v>239.99</v>
      </c>
      <c r="L182" s="99"/>
      <c r="M182" s="23"/>
      <c r="N182" s="99" t="n">
        <f aca="false">N179+J182+K182+J185</f>
        <v>61073.6183606416</v>
      </c>
      <c r="O182" s="23"/>
      <c r="P182" s="23"/>
      <c r="Q182" s="101"/>
      <c r="S182" s="107" t="n">
        <f aca="false">(S167*T59)+W185-W179-S185</f>
        <v>10910.0749641099</v>
      </c>
      <c r="T182" s="99" t="n">
        <f aca="false">T114</f>
        <v>199.99</v>
      </c>
      <c r="U182" s="99"/>
      <c r="V182" s="23"/>
      <c r="W182" s="99" t="n">
        <f aca="false">W179+S182+T182+S185</f>
        <v>56588.8139641099</v>
      </c>
      <c r="X182" s="23"/>
      <c r="Y182" s="23"/>
      <c r="Z182" s="101"/>
      <c r="AB182" s="107" t="n">
        <f aca="false">(AB167*AC59)+AF185-AF179-AB185</f>
        <v>10910.0749641099</v>
      </c>
      <c r="AC182" s="99" t="n">
        <f aca="false">AC114</f>
        <v>239.99</v>
      </c>
      <c r="AD182" s="99"/>
      <c r="AE182" s="23"/>
      <c r="AF182" s="99" t="n">
        <f aca="false">AF179+AB182+AC182+AB185</f>
        <v>56628.8139641099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9610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9620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9610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9610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11.577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70.3395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371.012361631944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722.98751875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1517.89536163194</v>
      </c>
      <c r="U191" s="130"/>
      <c r="V191" s="130"/>
      <c r="W191" s="99" t="n">
        <f aca="false">Z148</f>
        <v>-14056.251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2195.38114110757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7488.976</v>
      </c>
      <c r="B201" s="183" t="n">
        <f aca="false">E179+A201+(B182*1.2)+A185</f>
        <v>75468.968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2105.73275875463</v>
      </c>
      <c r="B212" s="174" t="n">
        <f aca="false">B167</f>
        <v>89.6483823529412</v>
      </c>
      <c r="C212" s="171"/>
      <c r="D212" s="171"/>
      <c r="E212" s="174" t="n">
        <f aca="false">E167</f>
        <v>2195.38114110757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13464.9097976573</v>
      </c>
      <c r="B224" s="99" t="str">
        <f aca="false">B182</f>
        <v>199.99</v>
      </c>
      <c r="C224" s="99"/>
      <c r="D224" s="109"/>
      <c r="E224" s="99" t="n">
        <f aca="false">E182</f>
        <v>81444.9017976573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2105.73275875463</v>
      </c>
      <c r="B230" s="99" t="n">
        <f aca="false">B167</f>
        <v>89.6483823529412</v>
      </c>
      <c r="C230" s="183"/>
      <c r="D230" s="183"/>
      <c r="E230" s="99" t="n">
        <f aca="false">E167</f>
        <v>2195.38114110757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9600</v>
      </c>
      <c r="B233" s="99" t="n">
        <f aca="false">E185</f>
        <v>9610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70.3395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10477.15751875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5985.93379765727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803.385</v>
      </c>
      <c r="C255" s="194"/>
      <c r="D255" s="195" t="s">
        <v>215</v>
      </c>
      <c r="E255" s="195"/>
      <c r="F255" s="196" t="n">
        <f aca="false">(B254-F254)+B255</f>
        <v>6126.12917515727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5985.93379765727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6126.12917515727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5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409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0.0</v>
      </c>
      <c r="C111" s="103"/>
      <c r="D111" s="103"/>
      <c r="E111" s="103" t="n">
        <v>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239.99</v>
      </c>
      <c r="C182" s="99"/>
      <c r="D182" s="23"/>
      <c r="E182" s="99" t="n">
        <f aca="false">E179+A182+B182+A185</f>
        <v>80840.4202026159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0</v>
      </c>
      <c r="B188" s="99" t="n">
        <f aca="false">(G158*B67)</f>
        <v>663.1896225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763.181289166667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E179+A201+B182+A185</f>
        <v>75117.71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239.99</v>
      </c>
      <c r="C224" s="99"/>
      <c r="D224" s="109"/>
      <c r="E224" s="99" t="n">
        <f aca="false">E182</f>
        <v>80840.4202026159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10406.8196854167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5169.51224678252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5169.51224678252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A167" activeCellId="0" sqref="A16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386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35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7680.0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2813.65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1438.14718545353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1371.15718545353</v>
      </c>
      <c r="B36" s="228" t="n">
        <f aca="false">IF(B26="YES", K42, "0.00")</f>
        <v>66.99</v>
      </c>
      <c r="C36" s="228"/>
      <c r="D36" s="228"/>
      <c r="E36" s="228" t="n">
        <f aca="false">K31</f>
        <v>7680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28581.7258234265</v>
      </c>
      <c r="N39" s="1" t="n">
        <f aca="false">K39-L39</f>
        <v>20295.7741765735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n">
        <f aca="false">IF(B26="YES", K42, "0.00")</f>
        <v>66.99</v>
      </c>
      <c r="C40" s="103"/>
      <c r="D40" s="103"/>
      <c r="E40" s="179" t="n">
        <f aca="false">K32</f>
        <v>2344.65</v>
      </c>
      <c r="F40" s="183"/>
      <c r="G40" s="183"/>
      <c r="H40" s="47"/>
      <c r="J40" s="2" t="s">
        <v>106</v>
      </c>
      <c r="K40" s="2" t="n">
        <f aca="false">(A40)/1.2</f>
        <v>6400</v>
      </c>
      <c r="L40" s="2" t="n">
        <f aca="false">K39-L39</f>
        <v>20295.7741765735</v>
      </c>
      <c r="N40" s="1" t="n">
        <f aca="false">N38-N39</f>
        <v>-17384.0941765735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66.99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5268.9137194334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43608.5862805666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1371.15718545353</v>
      </c>
      <c r="L47" s="2" t="n">
        <f aca="false">L49-K42</f>
        <v>733.01</v>
      </c>
      <c r="M47" s="1" t="n">
        <f aca="false">K47-L47</f>
        <v>638.147185453526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1438.14718545353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1438.14718545353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23972.5732812235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3223.12686976823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17099.6612521809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367.101774942719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565.713574305556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1371.15718545353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1371.15718545353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1438.14718545353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1438.14718545353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69330.004</v>
      </c>
      <c r="C81" s="130"/>
      <c r="D81" s="130"/>
      <c r="E81" s="109"/>
      <c r="F81" s="25" t="s">
        <v>105</v>
      </c>
      <c r="G81" s="27" t="n">
        <f aca="false">G158</f>
        <v>69330.004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7680</v>
      </c>
      <c r="C82" s="130"/>
      <c r="D82" s="130"/>
      <c r="E82" s="109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7680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7680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130"/>
      <c r="D86" s="130"/>
      <c r="E86" s="109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5251.988134126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5251.988134126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63400.182555334</v>
      </c>
      <c r="C88" s="130"/>
      <c r="D88" s="130"/>
      <c r="E88" s="109"/>
      <c r="F88" s="31" t="s">
        <v>112</v>
      </c>
      <c r="G88" s="33" t="n">
        <f aca="false">G81-G86</f>
        <v>62973.0595975036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54132.449355874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40216.760865874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2116.56102270873</v>
      </c>
      <c r="C89" s="130"/>
      <c r="D89" s="130"/>
      <c r="E89" s="109"/>
      <c r="F89" s="31" t="s">
        <v>113</v>
      </c>
      <c r="G89" s="33" t="n">
        <f aca="false">(G88/G87)</f>
        <v>2032.93050797466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1914.4165512663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1422.28244899459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71963.0747720969</v>
      </c>
      <c r="C90" s="130"/>
      <c r="D90" s="130"/>
      <c r="E90" s="109"/>
      <c r="F90" s="31" t="s">
        <v>114</v>
      </c>
      <c r="G90" s="33" t="n">
        <f aca="false">((G89*(G85))+G77)</f>
        <v>69119.6372711383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65090.1627430543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48357.6032658161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71963.0747720969</v>
      </c>
      <c r="C92" s="130"/>
      <c r="D92" s="130"/>
      <c r="E92" s="109"/>
      <c r="F92" s="56" t="s">
        <v>116</v>
      </c>
      <c r="G92" s="65" t="n">
        <f aca="false">(G90+G91)</f>
        <v>69119.6372711383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65090.1627430543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48357.6032658161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99.3028235294117</v>
      </c>
      <c r="C94" s="130"/>
      <c r="D94" s="130"/>
      <c r="E94" s="109"/>
      <c r="F94" s="88" t="s">
        <v>117</v>
      </c>
      <c r="G94" s="259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82.7523529411765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99.3028235294117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2116.56102270873</v>
      </c>
      <c r="C95" s="130"/>
      <c r="D95" s="130"/>
      <c r="E95" s="109"/>
      <c r="F95" s="91" t="s">
        <v>118</v>
      </c>
      <c r="G95" s="92" t="n">
        <f aca="false">G92/(G85)</f>
        <v>2032.93050797466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1914.4165512663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1422.28244899459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2215.86384623815</v>
      </c>
      <c r="C96" s="130"/>
      <c r="D96" s="130"/>
      <c r="E96" s="109"/>
      <c r="F96" s="93" t="s">
        <v>119</v>
      </c>
      <c r="G96" s="94" t="n">
        <f aca="false">G94+G95</f>
        <v>2115.68286091583</v>
      </c>
      <c r="H96" s="33"/>
      <c r="J96" s="93" t="s">
        <v>119</v>
      </c>
      <c r="K96" s="94" t="n">
        <f aca="false">(K94+K95)</f>
        <v>1610.7875870777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1997.16890420748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1521.585272524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386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409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200.0</v>
      </c>
      <c r="C111" s="103"/>
      <c r="D111" s="103"/>
      <c r="E111" s="103" t="n">
        <v>200.0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400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-49646.5283333333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69330.004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2116.56102270873</v>
      </c>
      <c r="B167" s="174" t="n">
        <f aca="false">B94</f>
        <v>99.3028235294117</v>
      </c>
      <c r="C167" s="171"/>
      <c r="D167" s="171"/>
      <c r="E167" s="174" t="n">
        <f aca="false">B96</f>
        <v>2215.86384623815</v>
      </c>
      <c r="F167" s="23"/>
      <c r="G167" s="23" t="n">
        <f aca="false">ROUND(G95, 2)</f>
        <v>2032.93</v>
      </c>
      <c r="H167" s="33"/>
      <c r="J167" s="173" t="n">
        <f aca="false">K95</f>
        <v>1506.2831870777</v>
      </c>
      <c r="K167" s="174" t="n">
        <f aca="false">K94</f>
        <v>104.5044</v>
      </c>
      <c r="L167" s="171"/>
      <c r="M167" s="171"/>
      <c r="N167" s="174" t="n">
        <f aca="false">K96</f>
        <v>1610.7875870777</v>
      </c>
      <c r="O167" s="23"/>
      <c r="P167" s="23"/>
      <c r="Q167" s="33"/>
      <c r="S167" s="173" t="n">
        <f aca="false">T95</f>
        <v>1914.4165512663</v>
      </c>
      <c r="T167" s="174" t="n">
        <f aca="false">T94</f>
        <v>82.7523529411765</v>
      </c>
      <c r="U167" s="171"/>
      <c r="V167" s="171"/>
      <c r="W167" s="174" t="n">
        <f aca="false">T96</f>
        <v>1997.16890420748</v>
      </c>
      <c r="X167" s="23"/>
      <c r="Y167" s="23"/>
      <c r="Z167" s="33"/>
      <c r="AB167" s="173" t="n">
        <f aca="false">AC95</f>
        <v>1422.28244899459</v>
      </c>
      <c r="AC167" s="174" t="n">
        <f aca="false">AC94</f>
        <v>99.3028235294117</v>
      </c>
      <c r="AD167" s="171"/>
      <c r="AE167" s="171"/>
      <c r="AF167" s="174" t="n">
        <f aca="false">AC96</f>
        <v>1521.585272524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7680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7680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7680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69330.004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10313.0707720969</v>
      </c>
      <c r="B182" s="99" t="str">
        <f aca="false">B114</f>
        <v>239.99</v>
      </c>
      <c r="C182" s="99"/>
      <c r="D182" s="23"/>
      <c r="E182" s="99" t="n">
        <f aca="false">E179+A182+B182+A185</f>
        <v>79893.0647720969</v>
      </c>
      <c r="F182" s="23"/>
      <c r="G182" s="23"/>
      <c r="H182" s="101"/>
      <c r="J182" s="107" t="n">
        <f aca="false">(J167*K59)+N185-N179-J185</f>
        <v>21238.6283606416</v>
      </c>
      <c r="K182" s="99" t="n">
        <f aca="false">K114</f>
        <v>239.99</v>
      </c>
      <c r="L182" s="99"/>
      <c r="M182" s="23"/>
      <c r="N182" s="99" t="n">
        <f aca="false">N179+J182+K182+J185</f>
        <v>59153.6183606416</v>
      </c>
      <c r="O182" s="23"/>
      <c r="P182" s="23"/>
      <c r="Q182" s="101"/>
      <c r="S182" s="107" t="n">
        <f aca="false">(S167*T59)+W185-W179-S185</f>
        <v>13385.7252530543</v>
      </c>
      <c r="T182" s="99" t="n">
        <f aca="false">T114</f>
        <v>199.99</v>
      </c>
      <c r="U182" s="99"/>
      <c r="V182" s="23"/>
      <c r="W182" s="99" t="n">
        <f aca="false">W179+S182+T182+S185</f>
        <v>72980.1527430544</v>
      </c>
      <c r="X182" s="23"/>
      <c r="Y182" s="23"/>
      <c r="Z182" s="101"/>
      <c r="AB182" s="107" t="n">
        <f aca="false">(AB167*AC59)+AF185-AF179-AB185</f>
        <v>10568.8542658161</v>
      </c>
      <c r="AC182" s="99" t="n">
        <f aca="false">AC114</f>
        <v>239.99</v>
      </c>
      <c r="AD182" s="99"/>
      <c r="AE182" s="23"/>
      <c r="AF182" s="99" t="n">
        <f aca="false">AF179+AB182+AC182+AB185</f>
        <v>56287.5932658161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7690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7700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7690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7690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0.11577</v>
      </c>
      <c r="B188" s="99" t="n">
        <f aca="false">(G158*B67)/1.2</f>
        <v>565.713574305556</v>
      </c>
      <c r="C188" s="130"/>
      <c r="D188" s="130"/>
      <c r="E188" s="99" t="n">
        <f aca="false">(E40*A108)*0.1*C45/100</f>
        <v>46.893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70.3395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46.893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712.598240972222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3531.08036805556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1631.44351424132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1557.89536163194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2215.86384623815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1997.16890420748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1521.585272524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7469.616</v>
      </c>
      <c r="B201" s="183" t="n">
        <f aca="false">E179+A201+B182+A185</f>
        <v>77049.61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2116.56102270873</v>
      </c>
      <c r="B212" s="174" t="n">
        <f aca="false">B167</f>
        <v>99.3028235294117</v>
      </c>
      <c r="C212" s="171"/>
      <c r="D212" s="171"/>
      <c r="E212" s="174" t="n">
        <f aca="false">E167</f>
        <v>2215.86384623815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69330.004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10313.0707720969</v>
      </c>
      <c r="B224" s="99" t="str">
        <f aca="false">B182</f>
        <v>239.99</v>
      </c>
      <c r="C224" s="99"/>
      <c r="D224" s="109"/>
      <c r="E224" s="99" t="n">
        <f aca="false">E182</f>
        <v>79893.0647720969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2116.56102270873</v>
      </c>
      <c r="B230" s="99" t="n">
        <f aca="false">B167</f>
        <v>99.3028235294117</v>
      </c>
      <c r="C230" s="183"/>
      <c r="D230" s="183"/>
      <c r="E230" s="99" t="n">
        <f aca="false">E167</f>
        <v>2215.86384623815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7680</v>
      </c>
      <c r="B233" s="99" t="n">
        <f aca="false">E185</f>
        <v>7690</v>
      </c>
      <c r="C233" s="130"/>
      <c r="D233" s="130"/>
      <c r="E233" s="99" t="n">
        <f aca="false">J18*0.000006*100*1.2</f>
        <v>41.6772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13.8924</v>
      </c>
      <c r="B236" s="99" t="n">
        <f aca="false">E233+A236</f>
        <v>55.5696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565.713574305556</v>
      </c>
      <c r="C240" s="130"/>
      <c r="D240" s="130"/>
      <c r="E240" s="99" t="n">
        <f aca="false">E188</f>
        <v>46.893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10466.7682409722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2853.45477209694</v>
      </c>
      <c r="C254" s="194"/>
      <c r="D254" s="195" t="s">
        <v>213</v>
      </c>
      <c r="E254" s="195"/>
      <c r="F254" s="196" t="n">
        <f aca="false">F261+F267+F269+B270+B271</f>
        <v>678.856289166667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568.921666666667</v>
      </c>
      <c r="C255" s="194"/>
      <c r="D255" s="195" t="s">
        <v>215</v>
      </c>
      <c r="E255" s="195"/>
      <c r="F255" s="196" t="n">
        <f aca="false">(B254-F254)+B255</f>
        <v>2743.52014959694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2853.45477209694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678.856289166667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2743.52014959694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6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379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349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390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387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5760.0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350</v>
      </c>
      <c r="F32" s="130"/>
      <c r="G32" s="130"/>
      <c r="H32" s="33"/>
      <c r="I32" s="2" t="n">
        <v>0</v>
      </c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1412.57396550835</v>
      </c>
      <c r="F33" s="228"/>
      <c r="G33" s="228"/>
      <c r="H33" s="47"/>
      <c r="I33" s="2"/>
      <c r="J33" s="34" t="s">
        <v>351</v>
      </c>
      <c r="K33" s="48" t="n">
        <f aca="false">H21-H11+(H16*20%)</f>
        <v>48877.5</v>
      </c>
      <c r="L33" s="1" t="n">
        <f aca="false">H21-H11+(H16*20%)</f>
        <v>48877.5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352</v>
      </c>
      <c r="B35" s="130" t="s">
        <v>353</v>
      </c>
      <c r="C35" s="130"/>
      <c r="D35" s="208"/>
      <c r="E35" s="130" t="s">
        <v>354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1412.57396550835</v>
      </c>
      <c r="B36" s="228" t="str">
        <f aca="false">IF(B26="YES", K42, "0.00")</f>
        <v>0.00</v>
      </c>
      <c r="C36" s="228"/>
      <c r="D36" s="228"/>
      <c r="E36" s="228" t="n">
        <f aca="false">K31</f>
        <v>5760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355</v>
      </c>
      <c r="B39" s="130" t="s">
        <v>356</v>
      </c>
      <c r="C39" s="130"/>
      <c r="D39" s="208"/>
      <c r="E39" s="130" t="s">
        <v>357</v>
      </c>
      <c r="F39" s="183"/>
      <c r="G39" s="183"/>
      <c r="H39" s="47"/>
      <c r="J39" s="2" t="s">
        <v>84</v>
      </c>
      <c r="K39" s="2" t="n">
        <f aca="false">K33</f>
        <v>48877.5</v>
      </c>
      <c r="L39" s="2" t="n">
        <f aca="false">(L47*K46)+K44</f>
        <v>29395.0621646443</v>
      </c>
      <c r="N39" s="1" t="n">
        <f aca="false">K39-L39</f>
        <v>19482.4378353557</v>
      </c>
      <c r="P39" s="208"/>
    </row>
    <row r="40" customFormat="false" ht="17.35" hidden="false" customHeight="false" outlineLevel="0" collapsed="false">
      <c r="A40" s="312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4800</v>
      </c>
      <c r="L40" s="2" t="n">
        <f aca="false">K39-L39</f>
        <v>19482.4378353557</v>
      </c>
      <c r="N40" s="1" t="n">
        <f aca="false">N38-N39</f>
        <v>-16570.7578353557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358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359</v>
      </c>
      <c r="K42" s="2" t="n">
        <f aca="false">(K32/K36/100)*C45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360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361</v>
      </c>
      <c r="K44" s="2" t="n">
        <f aca="false">(K40/(1+K41)^(K36+1))</f>
        <v>3951.68528957505</v>
      </c>
      <c r="L44" s="2"/>
      <c r="P44" s="208"/>
    </row>
    <row r="45" customFormat="false" ht="17.35" hidden="false" customHeight="false" outlineLevel="0" collapsed="false">
      <c r="A45" s="507" t="n">
        <v>100.0</v>
      </c>
      <c r="B45" s="130"/>
      <c r="C45" s="506" t="n">
        <v>100.0</v>
      </c>
      <c r="D45" s="506"/>
      <c r="E45" s="506"/>
      <c r="F45" s="130"/>
      <c r="G45" s="130"/>
      <c r="H45" s="33"/>
      <c r="J45" s="2" t="s">
        <v>362</v>
      </c>
      <c r="K45" s="2" t="n">
        <f aca="false">(K39-K44)</f>
        <v>44925.814710425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363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364</v>
      </c>
      <c r="K47" s="2" t="n">
        <f aca="false">K45/K46</f>
        <v>1412.57396550835</v>
      </c>
      <c r="L47" s="2" t="n">
        <f aca="false">L49-K42</f>
        <v>800</v>
      </c>
      <c r="M47" s="1" t="n">
        <f aca="false">K47-L47</f>
        <v>612.573965508348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365</v>
      </c>
      <c r="K48" s="2" t="n">
        <f aca="false">IF(B26="YES", K47+K42, K47)</f>
        <v>1412.57396550835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366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1412.57396550835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57885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57885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57885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25390.3414098237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1773.53956784947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17228.8532519684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496.293774730148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552.65801875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4281.078125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566.790625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445.214833958333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1412.57396550835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1412.57396550835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1412.57396550835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1412.57396550835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67730.004</v>
      </c>
      <c r="C81" s="130"/>
      <c r="D81" s="130"/>
      <c r="E81" s="109"/>
      <c r="F81" s="25" t="s">
        <v>105</v>
      </c>
      <c r="G81" s="27" t="n">
        <f aca="false">G158</f>
        <v>67730.004</v>
      </c>
      <c r="H81" s="33"/>
      <c r="J81" s="25" t="s">
        <v>105</v>
      </c>
      <c r="K81" s="27" t="n">
        <f aca="false">P158</f>
        <v>37655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59384.43749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45468.749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5760</v>
      </c>
      <c r="C82" s="130"/>
      <c r="D82" s="130"/>
      <c r="E82" s="109"/>
      <c r="F82" s="31" t="s">
        <v>106</v>
      </c>
      <c r="G82" s="33" t="n">
        <f aca="false">IF(A111 = "Yes", A40, 0)</f>
        <v>5760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5760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5760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4125.21367271309</v>
      </c>
      <c r="C86" s="130"/>
      <c r="D86" s="130"/>
      <c r="E86" s="109"/>
      <c r="F86" s="31" t="s">
        <v>110</v>
      </c>
      <c r="G86" s="33" t="n">
        <f aca="false">(G82/((1+G84)^(G85+1)))</f>
        <v>4767.7083018723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3938.9911005945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3938.9911005945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63604.7903272869</v>
      </c>
      <c r="C88" s="130"/>
      <c r="D88" s="130"/>
      <c r="E88" s="109"/>
      <c r="F88" s="31" t="s">
        <v>112</v>
      </c>
      <c r="G88" s="33" t="n">
        <f aca="false">G81-G86</f>
        <v>62962.2956981277</v>
      </c>
      <c r="H88" s="33"/>
      <c r="J88" s="31" t="s">
        <v>112</v>
      </c>
      <c r="K88" s="33" t="n">
        <f aca="false">K81-K86</f>
        <v>37655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55445.4463894055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41529.7578994055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2200.89500595929</v>
      </c>
      <c r="C89" s="130"/>
      <c r="D89" s="130"/>
      <c r="E89" s="109"/>
      <c r="F89" s="31" t="s">
        <v>113</v>
      </c>
      <c r="G89" s="33" t="n">
        <f aca="false">(G88/G87)</f>
        <v>2032.58302192958</v>
      </c>
      <c r="H89" s="33"/>
      <c r="J89" s="31" t="s">
        <v>113</v>
      </c>
      <c r="K89" s="33" t="n">
        <f aca="false">(K88/K87)</f>
        <v>1506.2831870777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1960.8512366106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1468.71713433889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74830.4302026159</v>
      </c>
      <c r="C90" s="130"/>
      <c r="D90" s="130"/>
      <c r="E90" s="109"/>
      <c r="F90" s="31" t="s">
        <v>114</v>
      </c>
      <c r="G90" s="33" t="n">
        <f aca="false">((G89*(G85))+G77)</f>
        <v>69107.8227456056</v>
      </c>
      <c r="H90" s="33"/>
      <c r="J90" s="31" t="s">
        <v>114</v>
      </c>
      <c r="K90" s="33" t="n">
        <f aca="false">((K89*(K85))+K77)</f>
        <v>52719.9115477193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66668.9420447605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49936.3825675223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74830.4302026159</v>
      </c>
      <c r="C92" s="130"/>
      <c r="D92" s="130"/>
      <c r="E92" s="109"/>
      <c r="F92" s="56" t="s">
        <v>116</v>
      </c>
      <c r="G92" s="65" t="n">
        <f aca="false">(G90+G91)</f>
        <v>69107.8227456056</v>
      </c>
      <c r="H92" s="33"/>
      <c r="J92" s="56" t="s">
        <v>116</v>
      </c>
      <c r="K92" s="65" t="n">
        <f aca="false">(K90+K91)</f>
        <v>52719.9115477193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66668.9420447605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49936.3825675223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2200.89500595929</v>
      </c>
      <c r="C95" s="130"/>
      <c r="D95" s="130"/>
      <c r="E95" s="109"/>
      <c r="F95" s="91" t="s">
        <v>118</v>
      </c>
      <c r="G95" s="92" t="n">
        <f aca="false">G92/(G85)</f>
        <v>2032.58302192958</v>
      </c>
      <c r="H95" s="33"/>
      <c r="J95" s="91" t="s">
        <v>118</v>
      </c>
      <c r="K95" s="92" t="n">
        <f aca="false">K92/(K85)</f>
        <v>1506.2831870777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1960.8512366106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1468.71713433889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2200.89500595929</v>
      </c>
      <c r="C96" s="130"/>
      <c r="D96" s="130"/>
      <c r="E96" s="109"/>
      <c r="F96" s="93" t="s">
        <v>119</v>
      </c>
      <c r="G96" s="94" t="n">
        <f aca="false">G94+G95</f>
        <v>2032.58302192958</v>
      </c>
      <c r="H96" s="33"/>
      <c r="J96" s="93" t="s">
        <v>119</v>
      </c>
      <c r="K96" s="94" t="n">
        <f aca="false">(K94+K95)</f>
        <v>1506.2831870777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1960.8512366106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1468.71713433889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390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404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386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406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25" t="s">
        <v>149</v>
      </c>
      <c r="K121" s="116" t="n">
        <f aca="false">B3</f>
        <v>46854.17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833.33</v>
      </c>
      <c r="P121" s="117" t="n">
        <f aca="false">O121</f>
        <v>833.33</v>
      </c>
      <c r="Q121" s="118" t="n">
        <f aca="false">H3</f>
        <v>0</v>
      </c>
      <c r="S121" s="25" t="s">
        <v>149</v>
      </c>
      <c r="T121" s="116" t="n">
        <f aca="false">B3</f>
        <v>46854.17</v>
      </c>
      <c r="U121" s="117" t="n">
        <f aca="false">T121</f>
        <v>46854.17</v>
      </c>
      <c r="V121" s="116" t="n">
        <f aca="false">D3</f>
        <v>0</v>
      </c>
      <c r="W121" s="117" t="n">
        <f aca="false">V121</f>
        <v>0</v>
      </c>
      <c r="X121" s="116" t="n">
        <f aca="false">F3</f>
        <v>833.33</v>
      </c>
      <c r="Y121" s="117" t="n">
        <f aca="false">X121</f>
        <v>833.33</v>
      </c>
      <c r="Z121" s="118" t="n">
        <f aca="false">H3</f>
        <v>0</v>
      </c>
      <c r="AB121" s="25" t="s">
        <v>149</v>
      </c>
      <c r="AC121" s="116" t="n">
        <f aca="false">B3</f>
        <v>46854.17</v>
      </c>
      <c r="AD121" s="117" t="n">
        <f aca="false">AC121</f>
        <v>46854.17</v>
      </c>
      <c r="AE121" s="116" t="n">
        <f aca="false">D3</f>
        <v>0</v>
      </c>
      <c r="AF121" s="117" t="n">
        <f aca="false">AE121</f>
        <v>0</v>
      </c>
      <c r="AG121" s="116" t="n">
        <f aca="false">F3</f>
        <v>833.33</v>
      </c>
      <c r="AH121" s="117" t="n">
        <f aca="false">AG121</f>
        <v>833.33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-9754.17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117.135425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11713.5425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56608.34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56" t="s">
        <v>153</v>
      </c>
      <c r="K125" s="128" t="n">
        <f aca="false">K121-K124</f>
        <v>46854.17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833.33</v>
      </c>
      <c r="P125" s="129" t="n">
        <f aca="false">P121-P124</f>
        <v>833.33</v>
      </c>
      <c r="Q125" s="65"/>
      <c r="S125" s="56" t="s">
        <v>153</v>
      </c>
      <c r="T125" s="128" t="n">
        <f aca="false">T121-T124</f>
        <v>46854.17</v>
      </c>
      <c r="U125" s="129" t="n">
        <f aca="false">U121-U124</f>
        <v>46737.034575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833.33</v>
      </c>
      <c r="Y125" s="129" t="n">
        <f aca="false">Y121-Y124</f>
        <v>833.33</v>
      </c>
      <c r="Z125" s="65"/>
      <c r="AB125" s="56" t="s">
        <v>153</v>
      </c>
      <c r="AC125" s="128" t="n">
        <f aca="false">AC121-AC124</f>
        <v>46854.17</v>
      </c>
      <c r="AD125" s="129" t="n">
        <f aca="false">AD121-AD124</f>
        <v>35140.6275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833.33</v>
      </c>
      <c r="AH125" s="129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57441.67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47687.5</v>
      </c>
      <c r="Q135" s="150" t="n">
        <f aca="false">L125+N125+P125+Q128</f>
        <v>29462.5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47687.5</v>
      </c>
      <c r="Z135" s="150" t="n">
        <f aca="false">U125+W125+Y125+Z128</f>
        <v>47570.364575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47687.5</v>
      </c>
      <c r="AI135" s="150" t="n">
        <f aca="false">AD125+AF125+AH125+AI128</f>
        <v>35973.9575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550</v>
      </c>
      <c r="Q136" s="33" t="n">
        <f aca="false">P136</f>
        <v>550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550</v>
      </c>
      <c r="Z136" s="33" t="n">
        <f aca="false">Y136</f>
        <v>550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11598.334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9647.5</v>
      </c>
      <c r="Q137" s="33" t="n">
        <f aca="false">(Q135+Q136)*20%</f>
        <v>6002.5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9647.5</v>
      </c>
      <c r="Z137" s="33" t="n">
        <f aca="false">(Z135+Z136)*20%</f>
        <v>9624.072915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585</v>
      </c>
      <c r="Q139" s="33" t="n">
        <f aca="false">P139</f>
        <v>585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585</v>
      </c>
      <c r="Z139" s="33" t="n">
        <f aca="false">Y139</f>
        <v>585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70230.004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58525</v>
      </c>
      <c r="Q141" s="154" t="n">
        <f aca="false">(Q135+Q136+Q139+Q140+Q137)-Q138</f>
        <v>36655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58525</v>
      </c>
      <c r="Z141" s="154" t="n">
        <f aca="false">(Z135+Z136+Z139+Z140+Z137)-Z138</f>
        <v>58384.43749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58525</v>
      </c>
      <c r="AI141" s="154" t="n">
        <f aca="false">(AI135+AI136+AI139+AI140+AI137)-AI138</f>
        <v>44468.749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70230.004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58525</v>
      </c>
      <c r="Q147" s="161" t="n">
        <f aca="false">Q141-((Q144*1.2)+(Q145*1.2)+(Q146*1.2)+(Q142*1.2))</f>
        <v>36655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58525</v>
      </c>
      <c r="Z147" s="161" t="n">
        <f aca="false">Z141-((Z144*1.2)+(Z145*1.2)+(Z146*1.2)+(Z142*1.2))</f>
        <v>58384.43749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58525</v>
      </c>
      <c r="AI147" s="161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9754.17</v>
      </c>
      <c r="I148" s="1" t="n">
        <f aca="false">(H148-G81)/1.2</f>
        <v>-48313.195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-21870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-140.562510000003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67730.004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37655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59384.43749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45468.749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367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2200.89500595929</v>
      </c>
      <c r="B167" s="174" t="str">
        <f aca="false">B94</f>
        <v>0</v>
      </c>
      <c r="C167" s="171"/>
      <c r="D167" s="171"/>
      <c r="E167" s="174" t="n">
        <f aca="false">B96</f>
        <v>2200.89500595929</v>
      </c>
      <c r="F167" s="23"/>
      <c r="G167" s="23" t="n">
        <f aca="false">ROUND(G95, 2)</f>
        <v>2032.58</v>
      </c>
      <c r="H167" s="33"/>
      <c r="J167" s="173" t="n">
        <f aca="false">K95</f>
        <v>1506.2831870777</v>
      </c>
      <c r="K167" s="174" t="n">
        <f aca="false">K94</f>
        <v>0</v>
      </c>
      <c r="L167" s="171"/>
      <c r="M167" s="171"/>
      <c r="N167" s="174" t="n">
        <f aca="false">K96</f>
        <v>1506.2831870777</v>
      </c>
      <c r="O167" s="23"/>
      <c r="P167" s="23"/>
      <c r="Q167" s="33"/>
      <c r="S167" s="173" t="n">
        <f aca="false">T95</f>
        <v>1960.8512366106</v>
      </c>
      <c r="T167" s="174" t="n">
        <f aca="false">T94</f>
        <v>0</v>
      </c>
      <c r="U167" s="171"/>
      <c r="V167" s="171"/>
      <c r="W167" s="174" t="n">
        <f aca="false">T96</f>
        <v>1960.8512366106</v>
      </c>
      <c r="X167" s="23"/>
      <c r="Y167" s="23"/>
      <c r="Z167" s="33"/>
      <c r="AB167" s="173" t="n">
        <f aca="false">AC95</f>
        <v>1468.71713433889</v>
      </c>
      <c r="AC167" s="174" t="n">
        <f aca="false">AC94</f>
        <v>0</v>
      </c>
      <c r="AD167" s="171"/>
      <c r="AE167" s="171"/>
      <c r="AF167" s="174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5760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5760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5760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57991.67</v>
      </c>
      <c r="B173" s="99" t="n">
        <f aca="false">H137</f>
        <v>11598.334</v>
      </c>
      <c r="C173" s="183"/>
      <c r="D173" s="23"/>
      <c r="E173" s="179" t="n">
        <f aca="false">H139+H140</f>
        <v>640</v>
      </c>
      <c r="F173" s="23"/>
      <c r="G173" s="23"/>
      <c r="H173" s="33"/>
      <c r="J173" s="182" t="n">
        <f aca="false">Q141-Q137-Q139-Q140</f>
        <v>30012.5</v>
      </c>
      <c r="K173" s="99" t="n">
        <f aca="false">Q137</f>
        <v>6002.5</v>
      </c>
      <c r="L173" s="183"/>
      <c r="M173" s="23"/>
      <c r="N173" s="179" t="n">
        <f aca="false">Q139+Q140</f>
        <v>640</v>
      </c>
      <c r="O173" s="23"/>
      <c r="P173" s="23"/>
      <c r="Q173" s="33"/>
      <c r="S173" s="182" t="n">
        <f aca="false">Z141-Z137-Z139-Z140</f>
        <v>48120.364575</v>
      </c>
      <c r="T173" s="99" t="n">
        <f aca="false">Z137</f>
        <v>9624.072915</v>
      </c>
      <c r="U173" s="183"/>
      <c r="V173" s="23"/>
      <c r="W173" s="179" t="n">
        <f aca="false">Z139+Z140</f>
        <v>640</v>
      </c>
      <c r="X173" s="23"/>
      <c r="Y173" s="23"/>
      <c r="Z173" s="33"/>
      <c r="AB173" s="182" t="n">
        <f aca="false">AI141-AI137-AI139-AI140</f>
        <v>36523.9575</v>
      </c>
      <c r="AC173" s="99" t="n">
        <f aca="false">AI137</f>
        <v>7304.7915</v>
      </c>
      <c r="AD173" s="183"/>
      <c r="AE173" s="23"/>
      <c r="AF173" s="179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70230.004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36655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58384.43749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44468.749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67730.004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37655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59384.43749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45468.749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12860.4262026159</v>
      </c>
      <c r="B182" s="99" t="str">
        <f aca="false">B114</f>
        <v>199.99</v>
      </c>
      <c r="C182" s="99"/>
      <c r="D182" s="23"/>
      <c r="E182" s="99" t="n">
        <f aca="false">E179+A182+(B182*1.2)+A185</f>
        <v>80840.4182026159</v>
      </c>
      <c r="F182" s="23"/>
      <c r="G182" s="23"/>
      <c r="H182" s="101"/>
      <c r="J182" s="107" t="n">
        <f aca="false">(J167*K59)+N185-N179-J185</f>
        <v>19318.6283606416</v>
      </c>
      <c r="K182" s="99" t="n">
        <f aca="false">K114</f>
        <v>239.99</v>
      </c>
      <c r="L182" s="99"/>
      <c r="M182" s="23"/>
      <c r="N182" s="99" t="n">
        <f aca="false">N179+J182+K182+J185</f>
        <v>57233.6183606416</v>
      </c>
      <c r="O182" s="23"/>
      <c r="P182" s="23"/>
      <c r="Q182" s="101"/>
      <c r="S182" s="107" t="n">
        <f aca="false">(S167*T59)+W185-W179-S185</f>
        <v>13044.5045547605</v>
      </c>
      <c r="T182" s="99" t="n">
        <f aca="false">T114</f>
        <v>199.99</v>
      </c>
      <c r="U182" s="99"/>
      <c r="V182" s="23"/>
      <c r="W182" s="99" t="n">
        <f aca="false">W179+S182+T182+S185</f>
        <v>72638.9320447605</v>
      </c>
      <c r="X182" s="23"/>
      <c r="Y182" s="23"/>
      <c r="Z182" s="101"/>
      <c r="AB182" s="107" t="n">
        <f aca="false">(AB167*AC59)+AF185-AF179-AB185</f>
        <v>10227.6335675223</v>
      </c>
      <c r="AC182" s="99" t="n">
        <f aca="false">AC114</f>
        <v>239.99</v>
      </c>
      <c r="AD182" s="99"/>
      <c r="AE182" s="23"/>
      <c r="AF182" s="99" t="n">
        <f aca="false">AF179+AB182+AC182+AB185</f>
        <v>55946.3725675223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5770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5780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5770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5770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552.65801875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0.11705</v>
      </c>
      <c r="K188" s="99" t="n">
        <f aca="false">(P158*K67)/1.2</f>
        <v>2320.75086805556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484.560514241319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371.012361631944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652.64801875</v>
      </c>
      <c r="C191" s="130"/>
      <c r="D191" s="130"/>
      <c r="E191" s="99" t="n">
        <f aca="false">H148</f>
        <v>9754.17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3460.74086805556</v>
      </c>
      <c r="L191" s="130"/>
      <c r="M191" s="130"/>
      <c r="N191" s="99" t="n">
        <f aca="false">Q148</f>
        <v>-21870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1584.55051424132</v>
      </c>
      <c r="U191" s="130"/>
      <c r="V191" s="130"/>
      <c r="W191" s="99" t="n">
        <f aca="false">Z148</f>
        <v>-140.562510000003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1511.00236163194</v>
      </c>
      <c r="AD191" s="130"/>
      <c r="AE191" s="130"/>
      <c r="AF191" s="99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2200.89500595929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368</v>
      </c>
      <c r="B200" s="130" t="s">
        <v>369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7137.716</v>
      </c>
      <c r="B201" s="183" t="n">
        <f aca="false">E179+A201+(B182*1.2)+A185</f>
        <v>75117.708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2200.89500595929</v>
      </c>
      <c r="B212" s="174" t="str">
        <f aca="false">B167</f>
        <v>0</v>
      </c>
      <c r="C212" s="171"/>
      <c r="D212" s="171"/>
      <c r="E212" s="174" t="n">
        <f aca="false">E167</f>
        <v>2200.89500595929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57991.67</v>
      </c>
      <c r="B215" s="99" t="n">
        <f aca="false">B173</f>
        <v>11598.334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70230.004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67730.004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12860.4262026159</v>
      </c>
      <c r="B224" s="99" t="str">
        <f aca="false">B182</f>
        <v>199.99</v>
      </c>
      <c r="C224" s="99"/>
      <c r="D224" s="109"/>
      <c r="E224" s="99" t="n">
        <f aca="false">E182</f>
        <v>80840.4182026159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2200.89500595929</v>
      </c>
      <c r="B230" s="99" t="str">
        <f aca="false">B167</f>
        <v>0</v>
      </c>
      <c r="C230" s="183"/>
      <c r="D230" s="183"/>
      <c r="E230" s="99" t="n">
        <f aca="false">E167</f>
        <v>2200.89500595929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5760</v>
      </c>
      <c r="B233" s="99" t="n">
        <f aca="false">E185</f>
        <v>5770</v>
      </c>
      <c r="C233" s="130"/>
      <c r="D233" s="130"/>
      <c r="E233" s="99" t="n">
        <f aca="false">J18*0.000006*100</f>
        <v>34.731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34.731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9754.17</v>
      </c>
      <c r="B240" s="99" t="n">
        <f aca="false">B68</f>
        <v>552.65801875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10406.81801875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5732.71020261585</v>
      </c>
      <c r="C254" s="194"/>
      <c r="D254" s="195" t="s">
        <v>213</v>
      </c>
      <c r="E254" s="195"/>
      <c r="F254" s="196" t="n">
        <f aca="false">F261+F267+F269+B270+B271</f>
        <v>663.1896225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5169.51058011585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5732.71020261585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663.1896225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5169.51058011585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58345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234" t="n">
        <f aca="false">IF(C107="YES",H31,0)</f>
        <v>14750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1830.71247241309</v>
      </c>
      <c r="E33" s="212"/>
      <c r="F33" s="63"/>
      <c r="G33" s="215" t="s">
        <v>351</v>
      </c>
      <c r="H33" s="460" t="n">
        <f aca="false">E21-E11+((E16*20%)+(E19*20%)+(E20*20%))</f>
        <v>48727.5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1830.71247241309</v>
      </c>
      <c r="B36" s="99" t="str">
        <f aca="false">IF(B26="YES", H42, "")</f>
        <v/>
      </c>
      <c r="C36" s="217"/>
      <c r="D36" s="181" t="n">
        <f aca="false">I31</f>
        <v>14750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48727.5</v>
      </c>
      <c r="I39" s="234" t="n">
        <f aca="false">(I48*H46)+H44</f>
        <v>39817.3455221928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14750</v>
      </c>
      <c r="B40" s="103" t="str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12291.6666666667</v>
      </c>
      <c r="I40" s="234" t="n">
        <f aca="false">H39-I39</f>
        <v>8910.15447780716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10855.527446569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37871.972553431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1830.71247241309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1830.71247241309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1830.71247241309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4896.10625</v>
      </c>
      <c r="C64" s="211" t="n">
        <v>10000.0</v>
      </c>
      <c r="D64" s="290" t="n">
        <f aca="false">B64-A143</f>
        <v>4896.10625</v>
      </c>
      <c r="E64" s="212"/>
      <c r="F64" s="63"/>
      <c r="G64" s="284" t="s">
        <v>90</v>
      </c>
      <c r="H64" s="129" t="n">
        <f aca="false">H61*H63</f>
        <v>4896.10625</v>
      </c>
      <c r="I64" s="211"/>
      <c r="J64" s="290" t="n">
        <f aca="false">H64-G145</f>
        <v>4896.10625</v>
      </c>
      <c r="K64" s="212"/>
      <c r="L64" s="63"/>
      <c r="M64" s="284" t="s">
        <v>90</v>
      </c>
      <c r="N64" s="129" t="n">
        <f aca="false">N61*N63</f>
        <v>4896.10625</v>
      </c>
      <c r="O64" s="211"/>
      <c r="P64" s="290" t="n">
        <f aca="false">N64-M145</f>
        <v>4896.10625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820.0375</v>
      </c>
      <c r="C67" s="211"/>
      <c r="D67" s="290"/>
      <c r="E67" s="212"/>
      <c r="F67" s="63"/>
      <c r="G67" s="284" t="s">
        <v>93</v>
      </c>
      <c r="H67" s="129" t="n">
        <f aca="false">(H61*H66)/1.2</f>
        <v>683.364583333333</v>
      </c>
      <c r="I67" s="211"/>
      <c r="J67" s="290"/>
      <c r="K67" s="212"/>
      <c r="L67" s="63"/>
      <c r="M67" s="284" t="s">
        <v>93</v>
      </c>
      <c r="N67" s="129" t="n">
        <f aca="false">(N61*N66)/1.2</f>
        <v>683.364583333333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6272.77291666667</v>
      </c>
      <c r="C81" s="211"/>
      <c r="D81" s="211"/>
      <c r="E81" s="212"/>
      <c r="F81" s="63"/>
      <c r="G81" s="302" t="s">
        <v>102</v>
      </c>
      <c r="H81" s="303" t="n">
        <f aca="false">SUM(J64:J80)</f>
        <v>5706.35625</v>
      </c>
      <c r="I81" s="211"/>
      <c r="J81" s="211"/>
      <c r="K81" s="212"/>
      <c r="L81" s="63"/>
      <c r="M81" s="302" t="s">
        <v>102</v>
      </c>
      <c r="N81" s="303" t="n">
        <f aca="false">SUM(P64:P80)</f>
        <v>5555.10625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285.126041666667</v>
      </c>
      <c r="C82" s="211"/>
      <c r="D82" s="211"/>
      <c r="E82" s="212"/>
      <c r="F82" s="63"/>
      <c r="G82" s="210" t="s">
        <v>103</v>
      </c>
      <c r="H82" s="299" t="n">
        <f aca="false">H81/H29</f>
        <v>259.379829545455</v>
      </c>
      <c r="I82" s="211"/>
      <c r="J82" s="211"/>
      <c r="K82" s="212"/>
      <c r="L82" s="63"/>
      <c r="M82" s="210" t="s">
        <v>103</v>
      </c>
      <c r="N82" s="299" t="n">
        <f aca="false">N81/H29</f>
        <v>252.504829545455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1830.71247241309</v>
      </c>
      <c r="C83" s="211"/>
      <c r="D83" s="211"/>
      <c r="E83" s="212"/>
      <c r="F83" s="63"/>
      <c r="G83" s="304" t="s">
        <v>104</v>
      </c>
      <c r="H83" s="305" t="n">
        <f aca="false">H47</f>
        <v>1830.71247241309</v>
      </c>
      <c r="I83" s="211"/>
      <c r="J83" s="211"/>
      <c r="K83" s="212"/>
      <c r="L83" s="63"/>
      <c r="M83" s="304" t="s">
        <v>104</v>
      </c>
      <c r="N83" s="305" t="n">
        <f aca="false">H47</f>
        <v>1830.71247241309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46548.4473097546</v>
      </c>
      <c r="C85" s="211"/>
      <c r="D85" s="211"/>
      <c r="E85" s="212"/>
      <c r="F85" s="63"/>
      <c r="G85" s="287" t="s">
        <v>114</v>
      </c>
      <c r="H85" s="127" t="n">
        <f aca="false">((H83*H29)+H81)*1.2</f>
        <v>55178.4367717055</v>
      </c>
      <c r="I85" s="211"/>
      <c r="J85" s="211"/>
      <c r="K85" s="212"/>
      <c r="L85" s="63"/>
      <c r="M85" s="287" t="s">
        <v>114</v>
      </c>
      <c r="N85" s="127" t="n">
        <f aca="false">((N83*H29)+N81)</f>
        <v>45830.7806430879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394.31923900962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389.52103408828</v>
      </c>
      <c r="I86" s="211"/>
      <c r="J86" s="211"/>
      <c r="K86" s="212"/>
      <c r="L86" s="63"/>
      <c r="M86" s="210" t="s">
        <v>115</v>
      </c>
      <c r="N86" s="299" t="n">
        <f aca="false">(N85/(1-N70))*N70</f>
        <v>388.239771482391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46942.7665487642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55567.9578057938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46219.0204145703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0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2133.76211585292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2058.0725113257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1711.81557091001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2133.76211585292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2058.0725113257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1711.81557091001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410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386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2058.0725113257</v>
      </c>
      <c r="H127" s="174" t="n">
        <f aca="false">IF(G105="YES", H89*H57, 0)</f>
        <v>0</v>
      </c>
      <c r="I127" s="174"/>
      <c r="J127" s="333" t="n">
        <f aca="false">H91</f>
        <v>2058.0725113257</v>
      </c>
      <c r="K127" s="212"/>
      <c r="L127" s="63"/>
      <c r="M127" s="332" t="n">
        <f aca="false">N90</f>
        <v>1711.81557091001</v>
      </c>
      <c r="N127" s="174" t="n">
        <f aca="false">IF(M105="YES", N89*N57, 0)</f>
        <v>0</v>
      </c>
      <c r="O127" s="174"/>
      <c r="P127" s="174" t="n">
        <f aca="false">N91</f>
        <v>1711.81557091001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2133.76211585292</v>
      </c>
      <c r="B128" s="320" t="n">
        <f aca="false">IF(A105="YES", B89, 0)</f>
        <v>0</v>
      </c>
      <c r="C128" s="324"/>
      <c r="D128" s="320" t="n">
        <f aca="false">B91</f>
        <v>2133.76211585292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2133.76211585292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12348.4350679542</v>
      </c>
      <c r="H133" s="99" t="n">
        <f aca="false">IF(G105="YES", H89*H57, 0)</f>
        <v>0</v>
      </c>
      <c r="I133" s="217"/>
      <c r="J133" s="181" t="n">
        <f aca="false">H91*H57</f>
        <v>12348.4350679542</v>
      </c>
      <c r="K133" s="212"/>
      <c r="L133" s="63"/>
      <c r="M133" s="182" t="n">
        <f aca="false">N90*N57</f>
        <v>10270.8934254601</v>
      </c>
      <c r="N133" s="99" t="n">
        <f aca="false">IF(M105="YES", N89*N57, 0)</f>
        <v>0</v>
      </c>
      <c r="O133" s="217"/>
      <c r="P133" s="181" t="n">
        <f aca="false">N91*N57</f>
        <v>10270.8934254601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2133.76211585292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2133.76211585292</v>
      </c>
      <c r="B137" s="38" t="n">
        <f aca="false">IF(A105="YES", B89, 0)</f>
        <v>0</v>
      </c>
      <c r="C137" s="316"/>
      <c r="D137" s="38" t="n">
        <f aca="false">B91</f>
        <v>2133.76211585292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683.364583333333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683.364583333333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0</v>
      </c>
      <c r="C140" s="316"/>
      <c r="D140" s="342" t="n">
        <f aca="false">A140+B140</f>
        <v>41.6772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e">
        <f aca="false">IF(G105="YES", ((B36*H105)*0.1)*(G130), 0)</f>
        <v>#VALUE!</v>
      </c>
      <c r="H142" s="99" t="n">
        <f aca="false">G102-100</f>
        <v>99.99</v>
      </c>
      <c r="I142" s="99"/>
      <c r="J142" s="99" t="e">
        <f aca="false">(H139+J139+G142+H142)-H145</f>
        <v>#VALUE!</v>
      </c>
      <c r="K142" s="101"/>
      <c r="L142" s="63"/>
      <c r="M142" s="107" t="e">
        <f aca="false">IF(M105="YES", ((B36*N105)*0.1)*(M130), 0)</f>
        <v>#VALUE!</v>
      </c>
      <c r="N142" s="99" t="n">
        <f aca="false">M102-100</f>
        <v>99.99</v>
      </c>
      <c r="O142" s="99"/>
      <c r="P142" s="99" t="e">
        <f aca="false">(N139+P139+M142+N142)-N145</f>
        <v>#VALUE!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#VALUE!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#VALUE!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820.0375</v>
      </c>
      <c r="B148" s="38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1320.0275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2058.0725113257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1711.81557091001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2133.76211585292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2133.76211585292</v>
      </c>
      <c r="B177" s="354" t="n">
        <f aca="false">IF(A105="YES", B89, 0)</f>
        <v>0</v>
      </c>
      <c r="C177" s="356"/>
      <c r="D177" s="354" t="n">
        <f aca="false">B91</f>
        <v>2133.76211585292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2133.76211585292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2133.76211585292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2133.76211585292</v>
      </c>
      <c r="B186" s="99" t="n">
        <f aca="false">IF(A105="YES", B89, 0)</f>
        <v>0</v>
      </c>
      <c r="C186" s="352"/>
      <c r="D186" s="99" t="n">
        <f aca="false">B91</f>
        <v>2133.76211585292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0</v>
      </c>
      <c r="C189" s="352"/>
      <c r="D189" s="364" t="n">
        <f aca="false">A189+B189</f>
        <v>41.6772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820.0375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1320.0275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4896.10625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820.0375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4416.05875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4896.10625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820.0375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4416.05875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394.31923900962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1256.6365051246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133.98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53437.0642878025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133.98</v>
      </c>
      <c r="C40" s="103"/>
      <c r="D40" s="181" t="n">
        <f aca="false">I32</f>
        <v>4689.3</v>
      </c>
      <c r="E40" s="212"/>
      <c r="F40" s="63"/>
      <c r="G40" s="63" t="s">
        <v>106</v>
      </c>
      <c r="H40" s="234" t="n">
        <f aca="false">(A40)/1.2</f>
        <v>16000</v>
      </c>
      <c r="I40" s="234" t="n">
        <f aca="false">H39-I39</f>
        <v>-4559.56428780247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133.98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510" t="n">
        <v>100.0</v>
      </c>
      <c r="D45" s="510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1256.6365051246</v>
      </c>
      <c r="I48" s="234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1256.6365051246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26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211" t="n">
        <v>10000.0</v>
      </c>
      <c r="D64" s="290" t="n">
        <f aca="false">B64-A143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211"/>
      <c r="D67" s="290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290" t="n">
        <f aca="false">B73+B71</f>
        <v>375</v>
      </c>
      <c r="E73" s="212"/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211"/>
      <c r="D81" s="211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211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211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56521.784465233</v>
      </c>
      <c r="C85" s="211"/>
      <c r="D85" s="211"/>
      <c r="E85" s="466" t="n">
        <f aca="false">B85/(B58+B57)</f>
        <v>1614.90812757809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399.004125914311</v>
      </c>
      <c r="C86" s="211"/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56920.7885911473</v>
      </c>
      <c r="C87" s="211"/>
      <c r="D87" s="211"/>
      <c r="E87" s="466" t="n">
        <f aca="false">E86+E85</f>
        <v>1626.30824546135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209.0088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168.8148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140.679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1626.30824546135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1835.31704546135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1568.64697443984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1300.5213521168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0.0</v>
      </c>
      <c r="C102" s="103"/>
      <c r="D102" s="103" t="n">
        <v>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390</v>
      </c>
      <c r="B105" s="313" t="n">
        <v>0.0</v>
      </c>
      <c r="C105" s="313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1012.8888</v>
      </c>
      <c r="I127" s="174"/>
      <c r="J127" s="333" t="n">
        <f aca="false">H91</f>
        <v>1568.64697443984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844.074</v>
      </c>
      <c r="O127" s="174"/>
      <c r="P127" s="174" t="n">
        <f aca="false">N91</f>
        <v>1300.5213521168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1626.30824546135</v>
      </c>
      <c r="B128" s="320" t="n">
        <f aca="false">IF(A105="YES", B89, 0)</f>
        <v>209.0088</v>
      </c>
      <c r="C128" s="324"/>
      <c r="D128" s="320" t="n">
        <f aca="false">B91</f>
        <v>1835.31704546135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26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26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14636.7742091522</v>
      </c>
      <c r="C131" s="316"/>
      <c r="D131" s="38" t="n">
        <f aca="false">IF(A105="YES", B89*B57, 0)</f>
        <v>1881.0792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1012.8888</v>
      </c>
      <c r="I133" s="217"/>
      <c r="J133" s="181" t="n">
        <f aca="false">H91*H57</f>
        <v>9411.88184663902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844.074</v>
      </c>
      <c r="O133" s="217"/>
      <c r="P133" s="181" t="n">
        <f aca="false">N91*N57</f>
        <v>7803.12811270082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16517.8534091522</v>
      </c>
      <c r="B134" s="38" t="n">
        <f aca="false">E114</f>
        <v>4000</v>
      </c>
      <c r="C134" s="316"/>
      <c r="D134" s="336" t="n">
        <f aca="false">B58</f>
        <v>26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1626.30824546135</v>
      </c>
      <c r="B137" s="38" t="n">
        <f aca="false">IF(A105="YES", B89, 0)</f>
        <v>209.0088</v>
      </c>
      <c r="C137" s="316"/>
      <c r="D137" s="38" t="n">
        <f aca="false">B91</f>
        <v>1835.31704546135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93.786</v>
      </c>
      <c r="H142" s="99" t="n">
        <f aca="false">G102-100</f>
        <v>99.99</v>
      </c>
      <c r="I142" s="99"/>
      <c r="J142" s="99" t="n">
        <f aca="false">(H139+J139+G142+H142)-H145</f>
        <v>1138.42704166667</v>
      </c>
      <c r="K142" s="101"/>
      <c r="L142" s="63"/>
      <c r="M142" s="107" t="n">
        <f aca="false">IF(M105="YES", ((B36*N105)*0.1)*(M130), 0)</f>
        <v>93.786</v>
      </c>
      <c r="N142" s="99" t="n">
        <f aca="false">M102-100</f>
        <v>99.99</v>
      </c>
      <c r="O142" s="99"/>
      <c r="P142" s="99" t="n">
        <f aca="false">(N139+P139+M142+N142)-N145</f>
        <v>1138.42704166667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140.679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1374.25191666667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1568.64697443984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1300.5213521168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1835.31704546135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1626.30824546135</v>
      </c>
      <c r="B177" s="354" t="n">
        <f aca="false">IF(A105="YES", B89, 0)</f>
        <v>209.0088</v>
      </c>
      <c r="C177" s="356"/>
      <c r="D177" s="354" t="n">
        <f aca="false">B91</f>
        <v>1835.31704546135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14636.7742091522</v>
      </c>
      <c r="C180" s="352"/>
      <c r="D180" s="99" t="n">
        <f aca="false">IF(A105="YES", B89*B57, 0)</f>
        <v>1881.0792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16517.8534091522</v>
      </c>
      <c r="B183" s="99" t="n">
        <f aca="false">E114</f>
        <v>4000</v>
      </c>
      <c r="C183" s="352"/>
      <c r="D183" s="360" t="n">
        <f aca="false">B58</f>
        <v>26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1626.30824546135</v>
      </c>
      <c r="B186" s="99" t="n">
        <f aca="false">IF(A105="YES", B89, 0)</f>
        <v>209.0088</v>
      </c>
      <c r="C186" s="352"/>
      <c r="D186" s="99" t="n">
        <f aca="false">B91</f>
        <v>1835.31704546135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140.679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1374.25191666667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1506.78166666667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6366.70979166667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6366.70979166667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1406.79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58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0.0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0.0</v>
      </c>
      <c r="C4" s="0" t="n">
        <v>0.0</v>
      </c>
      <c r="D4" s="0" t="n">
        <v>0.0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349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386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22.0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387</v>
      </c>
      <c r="C30" s="169"/>
      <c r="D30" s="211"/>
      <c r="E30" s="212"/>
      <c r="F30" s="63"/>
      <c r="G30" s="214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350</v>
      </c>
      <c r="E32" s="212"/>
      <c r="F32" s="63"/>
      <c r="G32" s="214" t="s">
        <v>36</v>
      </c>
      <c r="I32" s="448" t="n">
        <v>831.5999999999999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1189.6465051246</v>
      </c>
      <c r="E33" s="212"/>
      <c r="F33" s="63"/>
      <c r="G33" s="215" t="s">
        <v>351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352</v>
      </c>
      <c r="B35" s="211" t="s">
        <v>353</v>
      </c>
      <c r="C35" s="211"/>
      <c r="D35" s="211" t="s">
        <v>354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1122.6565051246</v>
      </c>
      <c r="B36" s="99" t="n">
        <f aca="false">IF(B26="YES", H42, "")</f>
        <v>66.99</v>
      </c>
      <c r="C36" s="217"/>
      <c r="D36" s="181" t="n">
        <f aca="false">H31</f>
        <v>19200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355</v>
      </c>
      <c r="B39" s="211" t="s">
        <v>356</v>
      </c>
      <c r="C39" s="211"/>
      <c r="D39" s="211" t="s">
        <v>357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55567.6290588786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19200</v>
      </c>
      <c r="B40" s="103" t="n">
        <f aca="false">IF(B26="YES",H42,"0")</f>
        <v>66.99</v>
      </c>
      <c r="C40" s="103"/>
      <c r="D40" s="181" t="n">
        <f aca="false">I32</f>
        <v>2344.65</v>
      </c>
      <c r="E40" s="212"/>
      <c r="F40" s="63"/>
      <c r="G40" s="63" t="s">
        <v>106</v>
      </c>
      <c r="H40" s="234" t="n">
        <f aca="false">A40/1.2</f>
        <v>16000</v>
      </c>
      <c r="I40" s="234" t="n">
        <f aca="false">H39-I39</f>
        <v>-6690.12905887858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358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359</v>
      </c>
      <c r="H42" s="234" t="n">
        <f aca="false">(I32/H34)*(C45/100)</f>
        <v>66.99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360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371</v>
      </c>
      <c r="H44" s="234" t="n">
        <f aca="false">(H40/(1+H41)^(H34+1))</f>
        <v>13172.2842985835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1"/>
      <c r="C45" s="463" t="n">
        <v>100.0</v>
      </c>
      <c r="D45" s="463"/>
      <c r="E45" s="212"/>
      <c r="F45" s="63"/>
      <c r="G45" s="63" t="s">
        <v>372</v>
      </c>
      <c r="H45" s="234" t="n">
        <f aca="false">(H39-H44)</f>
        <v>35705.2157014165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373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364</v>
      </c>
      <c r="H47" s="234" t="n">
        <f aca="false">H45/H46</f>
        <v>1122.6565051246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365</v>
      </c>
      <c r="H48" s="234" t="n">
        <f aca="false">IF(B26="YES", H47+H42, H47)</f>
        <v>1189.6465051246</v>
      </c>
      <c r="I48" s="234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366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1189.6465051246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10000.0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1133.58125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165.0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355.0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1040</v>
      </c>
      <c r="C76" s="211"/>
      <c r="D76" s="290" t="n">
        <f aca="false">B76</f>
        <v>1040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473"/>
      <c r="D80" s="290" t="n">
        <f aca="false">B80</f>
        <v>200</v>
      </c>
      <c r="E80" s="466" t="n">
        <f aca="false">(D73+D76+D79+D80)/(B58+B57)</f>
        <v>51.8571428571429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7808.509375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223.100267857143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1122.6565051246</v>
      </c>
      <c r="C83" s="473"/>
      <c r="D83" s="211"/>
      <c r="E83" s="466" t="n">
        <f aca="false">B83+E80+E77+E64</f>
        <v>1345.75677298174</v>
      </c>
      <c r="F83" s="63"/>
      <c r="G83" s="304" t="s">
        <v>104</v>
      </c>
      <c r="H83" s="305" t="n">
        <f aca="false">H47</f>
        <v>1122.6565051246</v>
      </c>
      <c r="I83" s="211"/>
      <c r="J83" s="211"/>
      <c r="K83" s="212"/>
      <c r="L83" s="63"/>
      <c r="M83" s="304" t="s">
        <v>104</v>
      </c>
      <c r="N83" s="305" t="n">
        <f aca="false">H47</f>
        <v>1122.6565051246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47101.4870543609</v>
      </c>
      <c r="C85" s="473"/>
      <c r="D85" s="473"/>
      <c r="E85" s="466" t="n">
        <f aca="false">B85/(B58+B57)</f>
        <v>1345.75677298174</v>
      </c>
      <c r="F85" s="63"/>
      <c r="G85" s="287" t="s">
        <v>114</v>
      </c>
      <c r="H85" s="127" t="n">
        <f aca="false">((H83*H29)+H81)*1.2</f>
        <v>55600.784465233</v>
      </c>
      <c r="I85" s="211"/>
      <c r="J85" s="211"/>
      <c r="K85" s="212"/>
      <c r="L85" s="63"/>
      <c r="M85" s="287" t="s">
        <v>114</v>
      </c>
      <c r="N85" s="127" t="n">
        <f aca="false">((N83*H29)+N81)</f>
        <v>46003.9870543609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399.004125914311</v>
      </c>
      <c r="C86" s="473" t="s">
        <v>227</v>
      </c>
      <c r="D86" s="211"/>
      <c r="E86" s="466" t="n">
        <f aca="false">B86/(B58+B57)</f>
        <v>11.400117883266</v>
      </c>
      <c r="F86" s="63"/>
      <c r="G86" s="210" t="s">
        <v>115</v>
      </c>
      <c r="H86" s="299" t="n">
        <f aca="false">((((H83*H29)+H81))/(1-H70))*H70</f>
        <v>392.502512360459</v>
      </c>
      <c r="I86" s="211"/>
      <c r="J86" s="211"/>
      <c r="K86" s="212"/>
      <c r="L86" s="63"/>
      <c r="M86" s="210" t="s">
        <v>115</v>
      </c>
      <c r="N86" s="299" t="n">
        <f aca="false">(N85/(1-N70))*N70</f>
        <v>389.707030311246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47500.4911802752</v>
      </c>
      <c r="C87" s="473"/>
      <c r="D87" s="475"/>
      <c r="E87" s="466" t="n">
        <f aca="false">E86+E85</f>
        <v>1357.156890865</v>
      </c>
      <c r="F87" s="63"/>
      <c r="G87" s="284" t="s">
        <v>116</v>
      </c>
      <c r="H87" s="129" t="n">
        <f aca="false">IF(H110="YES",((H85+H86)-K114),(H85+H86))</f>
        <v>55993.2869775935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46393.6940846721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80.388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84.4074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70.3395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1357.156890865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1399.83217443984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1159.8423521168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1437.544890865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1484.23957443984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1230.1818521168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375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1000.0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376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386</v>
      </c>
      <c r="B105" s="313" t="n">
        <v>0.3</v>
      </c>
      <c r="C105" s="313"/>
      <c r="D105" s="103" t="s">
        <v>410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0.0</v>
      </c>
      <c r="E112" s="103" t="n">
        <v>6000.0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390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1399.83217443984</v>
      </c>
      <c r="H127" s="174" t="n">
        <f aca="false">IF(G105="YES", H89*H57, 0)</f>
        <v>506.4444</v>
      </c>
      <c r="I127" s="174"/>
      <c r="J127" s="333" t="n">
        <f aca="false">H91</f>
        <v>1484.23957443984</v>
      </c>
      <c r="K127" s="212"/>
      <c r="L127" s="63"/>
      <c r="M127" s="332" t="n">
        <f aca="false">N90</f>
        <v>1159.8423521168</v>
      </c>
      <c r="N127" s="174" t="n">
        <f aca="false">IF(M105="YES", N89*N57, 0)</f>
        <v>422.037</v>
      </c>
      <c r="O127" s="174"/>
      <c r="P127" s="174" t="n">
        <f aca="false">N91</f>
        <v>1230.1818521168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1357.156890865</v>
      </c>
      <c r="B128" s="320" t="n">
        <f aca="false">IF(A105="YES", B89, 0)</f>
        <v>80.388</v>
      </c>
      <c r="C128" s="324"/>
      <c r="D128" s="320" t="n">
        <f aca="false">B91</f>
        <v>1437.544890865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1357.156890865</v>
      </c>
      <c r="C131" s="316"/>
      <c r="D131" s="38" t="n">
        <f aca="false">IF(A105="YES", B89*B57, 0)</f>
        <v>80.388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8398.99304663902</v>
      </c>
      <c r="H133" s="99" t="n">
        <f aca="false">IF(G105="YES", H89*H57, 0)</f>
        <v>506.4444</v>
      </c>
      <c r="I133" s="217"/>
      <c r="J133" s="181" t="n">
        <f aca="false">H91*H57</f>
        <v>8905.43744663902</v>
      </c>
      <c r="K133" s="212"/>
      <c r="L133" s="63"/>
      <c r="M133" s="182" t="n">
        <f aca="false">N90*N57</f>
        <v>6959.05411270082</v>
      </c>
      <c r="N133" s="99" t="n">
        <f aca="false">IF(M105="YES", N89*N57, 0)</f>
        <v>422.037</v>
      </c>
      <c r="O133" s="217"/>
      <c r="P133" s="181" t="n">
        <f aca="false">N91*N57</f>
        <v>7381.09111270081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1437.544890865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1357.156890865</v>
      </c>
      <c r="B137" s="38" t="n">
        <f aca="false">IF(A105="YES", B89, 0)</f>
        <v>80.388</v>
      </c>
      <c r="C137" s="316"/>
      <c r="D137" s="38" t="n">
        <f aca="false">B91</f>
        <v>1437.544890865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46.893</v>
      </c>
      <c r="H142" s="99" t="n">
        <f aca="false">G102-100</f>
        <v>99.99</v>
      </c>
      <c r="I142" s="99"/>
      <c r="J142" s="99" t="n">
        <f aca="false">(H139+J139+G142+H142)-H145</f>
        <v>1091.53404166667</v>
      </c>
      <c r="K142" s="101"/>
      <c r="L142" s="63"/>
      <c r="M142" s="107" t="n">
        <f aca="false">IF(M105="YES", ((B36*N105)*0.1)*(M130), 0)</f>
        <v>46.893</v>
      </c>
      <c r="N142" s="99" t="n">
        <f aca="false">M102-100</f>
        <v>99.99</v>
      </c>
      <c r="O142" s="99"/>
      <c r="P142" s="99" t="n">
        <f aca="false">(N139+P139+M142+N142)-N145</f>
        <v>1091.53404166667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1133.58125</v>
      </c>
      <c r="B148" s="99" t="n">
        <f aca="false">B102</f>
        <v>0</v>
      </c>
      <c r="C148" s="38"/>
      <c r="D148" s="38" t="n">
        <f aca="false">IF(A105="YES", (B40*B105)*B125, 0)*0.1</f>
        <v>46.893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1484.23957443984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1230.1818521168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1437.544890865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1357.156890865</v>
      </c>
      <c r="B177" s="354" t="n">
        <f aca="false">IF(A105="YES", B89, 0)</f>
        <v>80.388</v>
      </c>
      <c r="C177" s="356"/>
      <c r="D177" s="354" t="n">
        <f aca="false">B91</f>
        <v>1437.544890865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1357.156890865</v>
      </c>
      <c r="C180" s="352"/>
      <c r="D180" s="99" t="n">
        <f aca="false">IF(A105="YES", B89*B57, 0)</f>
        <v>80.388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1437.544890865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1357.156890865</v>
      </c>
      <c r="B186" s="99" t="n">
        <f aca="false">IF(A105="YES", B89, 0)</f>
        <v>80.388</v>
      </c>
      <c r="C186" s="352"/>
      <c r="D186" s="99" t="n">
        <f aca="false">B91</f>
        <v>1437.544890865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1133.58125</v>
      </c>
      <c r="B197" s="99" t="n">
        <f aca="false">B102</f>
        <v>0</v>
      </c>
      <c r="C197" s="99"/>
      <c r="D197" s="99" t="n">
        <f aca="false">IF(A105="YES", (B40*B105)*B125, 0)*0.1</f>
        <v>46.893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1280.46425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1133.58125</v>
      </c>
      <c r="C211" s="319" t="s">
        <v>214</v>
      </c>
      <c r="D211" s="369" t="n">
        <f aca="false">B225+E221+B221+B223</f>
        <v>568.92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5428.848125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1133.58125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468.93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399.004125914311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385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11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390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0.0</v>
      </c>
      <c r="B41" s="237" t="n">
        <f aca="false">IF(B38="YES", D38+A41, D38)</f>
        <v>500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0.0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13668.74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13765.2317103671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1147.10264253059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1147.10264253059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390</v>
      </c>
      <c r="B105" s="311" t="n">
        <v>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1147.10264253059</v>
      </c>
      <c r="B128" s="320" t="n">
        <f aca="false">IF(A105="YES", B89, 0)</f>
        <v>0</v>
      </c>
      <c r="C128" s="325"/>
      <c r="D128" s="320" t="n">
        <f aca="false">B91</f>
        <v>1147.10264253059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1147.10264253059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1147.10264253059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1147.10264253059</v>
      </c>
      <c r="B137" s="38" t="n">
        <f aca="false">IF(A105="YES", B89, 0)</f>
        <v>0</v>
      </c>
      <c r="C137" s="316"/>
      <c r="D137" s="38" t="n">
        <f aca="false">B91</f>
        <v>1147.10264253059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1147.10264253059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1147.10264253059</v>
      </c>
      <c r="B171" s="354" t="n">
        <f aca="false">IF(A105="YES", B89, 0)</f>
        <v>0</v>
      </c>
      <c r="C171" s="357"/>
      <c r="D171" s="354" t="n">
        <f aca="false">B91</f>
        <v>1147.10264253059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1147.10264253059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1147.10264253059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1147.10264253059</v>
      </c>
      <c r="B180" s="99" t="n">
        <f aca="false">IF(A105="YES", B89, 0)</f>
        <v>0</v>
      </c>
      <c r="C180" s="352"/>
      <c r="D180" s="99" t="n">
        <f aca="false">B91</f>
        <v>1147.10264253059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0.0</v>
      </c>
      <c r="C4" s="500" t="n">
        <v>0.0</v>
      </c>
      <c r="D4" s="500" t="n">
        <v>0.0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0.0</v>
      </c>
      <c r="C5" s="498" t="n">
        <v>0.0</v>
      </c>
      <c r="D5" s="498" t="n">
        <v>0.0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45128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12.0</v>
      </c>
      <c r="C35" s="219"/>
      <c r="D35" s="219" t="n">
        <v>5000.0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386</v>
      </c>
      <c r="C38" s="219"/>
      <c r="D38" s="100" t="n">
        <v>500.0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50.0</v>
      </c>
      <c r="B41" s="237" t="n">
        <f aca="false">IF(B38="YES", D38+A41, D38)</f>
        <v>550</v>
      </c>
      <c r="C41" s="237"/>
      <c r="D41" s="100" t="n">
        <v>12.0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1.0</v>
      </c>
      <c r="B44" s="100" t="n">
        <v>1.0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10000.0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200.0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5.0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0.0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0.0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200.0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200.0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4711.95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392.6625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10723.95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90.8442718838241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10814.7942718838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50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901.232855990319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901.232855990319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1243.69258941778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400.0</v>
      </c>
      <c r="C102" s="103"/>
      <c r="D102" s="103" t="n">
        <v>200.0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386</v>
      </c>
      <c r="B105" s="311" t="n">
        <v>20.0</v>
      </c>
      <c r="C105" s="311"/>
      <c r="D105" s="103" t="n">
        <v>200.0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390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10000.0</v>
      </c>
      <c r="E112" s="103" t="n">
        <v>6000.0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2000.0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0.0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901.232855990319</v>
      </c>
      <c r="B128" s="320" t="n">
        <f aca="false">IF(A105="YES", B89, 0)</f>
        <v>0</v>
      </c>
      <c r="C128" s="325"/>
      <c r="D128" s="320" t="n">
        <f aca="false">B91</f>
        <v>901.232855990319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72</v>
      </c>
      <c r="I130" s="174"/>
      <c r="J130" s="333" t="n">
        <f aca="false">H91</f>
        <v>1243.69258941778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8111.09570391287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72</v>
      </c>
      <c r="I133" s="217"/>
      <c r="J133" s="181" t="n">
        <f aca="false">H91*H57</f>
        <v>1243.69258941778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8111.09570391287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901.232855990319</v>
      </c>
      <c r="B137" s="38" t="n">
        <f aca="false">IF(A105="YES", B89, 0)</f>
        <v>0</v>
      </c>
      <c r="C137" s="316"/>
      <c r="D137" s="38" t="n">
        <f aca="false">B91</f>
        <v>901.232855990319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1516.613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1243.69258941778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901.232855990319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901.232855990319</v>
      </c>
      <c r="B171" s="354" t="n">
        <f aca="false">IF(A105="YES", B89, 0)</f>
        <v>0</v>
      </c>
      <c r="C171" s="357"/>
      <c r="D171" s="354" t="n">
        <f aca="false">B91</f>
        <v>901.232855990319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8111.09570391287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8111.09570391287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901.232855990319</v>
      </c>
      <c r="B180" s="99" t="n">
        <f aca="false">IF(A105="YES", B89, 0)</f>
        <v>0</v>
      </c>
      <c r="C180" s="352"/>
      <c r="D180" s="99" t="n">
        <f aca="false">B91</f>
        <v>901.232855990319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678.84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99.99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3573.09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0</v>
      </c>
      <c r="C217" s="335" t="s">
        <v>215</v>
      </c>
      <c r="D217" s="316"/>
      <c r="E217" s="33" t="n">
        <f aca="false">(B211-B205+D205)</f>
        <v>3573.09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90.8442718838241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4753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2023-07-20T19:34:49Z</dcterms:modified>
  <cp:revision>842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