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FL (Formula 3) - FL" sheetId="57" state="visible" r:id="rId58"/>
    <sheet name="FL (Formula 3) - PCH" sheetId="58" state="visible" r:id="rId59"/>
    <sheet name="FL (Formula 3) - BCH" sheetId="59" state="visible" r:id="rId60"/>
    <sheet name="HPNR (Formula 3) - HPNR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<sst xmlns="http://schemas.openxmlformats.org/spreadsheetml/2006/main" count="32280" uniqueCount="391">
  <si>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</si>
  <si>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</si>
  <si>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</si>
  <si>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</si>
  <si>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</si>
  <si>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</si>
  <si>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</si>
  <si>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</si>
  <si>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</si>
  <si>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</si>
  <si>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</si>
  <si>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</si>
  <si>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</si>
  <si>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</si>
  <si>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</si>
  <si>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</si>
  <si>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</si>
  <si>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</si>
  <si>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</si>
  <si>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</si>
  <si>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</si>
  <si>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</si>
  <si>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</si>
  <si>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</si>
  <si>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</si>
  <si>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</si>
  <si>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</si>
  <si>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</si>
  <si>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</si>
  <si>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</si>
  <si>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</si>
  <si>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</si>
  <si>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</si>
  <si>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</si>
  <si>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</si>
  <si>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</si>
  <si>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</si>
  <si>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</si>
  <si>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</si>
  <si>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</si>
  <si>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</si>
  <si>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</si>
  <si>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</si>
  <si>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</si>
  <si>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</si>
  <si>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</si>
  <si>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</si>
  <si>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</si>
  <si>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</si>
  <si>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</si>
  <si>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</si>
  <si>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</si>
  <si>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</si>
  <si>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</si>
  <si>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</si>
  <si>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</si>
  <si>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</si>
  <si>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</si>
  <si>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</si>
  <si>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</si>
  <si>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</si>
  <si>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</si>
  <si>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</si>
  <si>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</si>
  <si>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</si>
  <si>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</si>
  <si>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</si>
  <si>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</si>
  <si>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</si>
  <si>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</si>
  <si>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50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</si>
  <si>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</si>
  <si>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</si>
  <si>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</si>
  <si>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</si>
  <si>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</si>
  <si>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</si>
  <si>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</si>
  <si>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</si>
  <si>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</si>
  <si>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437.00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</si>
  <si>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</si>
  <si>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</si>
  <si>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</si>
  <si>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</si>
  <si>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</si>
  <si>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</si>
  <si>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</si>
  <si>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</si>
  <si>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</si>
  <si>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</si>
  <si>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</si>
  <si>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</si>
  <si>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</si>
  <si>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</si>
  <si>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</si>
  <si>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</si>
  <si>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</si>
  <si>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</si>
  <si>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</si>
  <si>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</si>
  <si>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</si>
  <si>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</si>
  <si>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</si>
  <si>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</si>
  <si>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</si>
  <si>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</si>
  <si>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</si>
  <si>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</si>
  <si>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</si>
  <si>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</si>
  <si>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</si>
  <si>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</si>
  <si>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</si>
  <si>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</si>
  <si>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</si>
  <si>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</si>
  <si>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</si>
  <si>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</si>
  <si>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</si>
  <si>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</si>
  <si>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</si>
  <si>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</si>
  <si>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</si>
  <si>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</si>
  <si>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</si>
  <si>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</si>
  <si>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</si>
  <si>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</si>
  <si>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</si>
  <si>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</si>
  <si>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</si>
  <si>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</si>
  <si>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</si>
  <si>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</si>
  <si>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</si>
  <si>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</si>
  <si>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</si>
  <si>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</si>
  <si>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</si>
  <si>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</si>
  <si>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</si>
  <si>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</si>
  <si>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</si>
  <si>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</si>
  <si>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</si>
  <si>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</si>
  <si>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</si>
  <si>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</si>
  <si>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</si>
  <si>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</si>
  <si>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</si>
  <si>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</si>
  <si>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</si>
  <si>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</si>
  <si>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</si>
  <si>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</si>
  <si>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</si>
  <si>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</si>
  <si>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</si>
  <si>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</si>
  <si>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</si>
  <si>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</si>
  <si>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</si>
  <si>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</si>
  <si>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</si>
  <si>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</si>
  <si>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</si>
  <si>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</si>
  <si>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</si>
  <si>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</si>
  <si>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</si>
  <si>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</si>
  <si>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</si>
  <si>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</si>
  <si>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</si>
  <si>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</si>
  <si>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</si>
  <si>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</si>
  <si>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</si>
  <si>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</si>
  <si>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</si>
  <si>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</si>
  <si>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</si>
  <si>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</si>
  <si>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</si>
  <si>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</si>
  <si>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</si>
  <si>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</si>
  <si>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</si>
  <si>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</si>
  <si>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</si>
  <si>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</si>
  <si>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</si>
  <si>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</si>
  <si>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</si>
  <si>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</si>
  <si>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</si>
  <si>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</si>
  <si>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</si>
  <si>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</si>
  <si>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</si>
  <si>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</si>
  <si>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</si>
  <si>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</si>
  <si>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</si>
  <si>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</si>
  <si>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</si>
  <si>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</si>
  <si>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</si>
  <si>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</si>
  <si>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</si>
  <si>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</si>
  <si>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</si>
  <si>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</si>
  <si>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</si>
  <si>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</si>
  <si>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</si>
  <si>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</si>
  <si>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</si>
  <si>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</si>
  <si>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</si>
  <si>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</si>
  <si>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</si>
  <si>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</si>
  <si>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</si>
  <si>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</si>
  <si>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</si>
  <si>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</si>
  <si>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</si>
  <si>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</si>
  <si>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</si>
  <si>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</si>
  <si>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</si>
  <si>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254.00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</si>
  <si>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</si>
  <si>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</si>
  <si>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</si>
  <si>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</si>
  <si>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</si>
  <si>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</si>
  <si>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</si>
  <si>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</si>
  <si>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</si>
  <si>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21100.00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</si>
  <si>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</si>
  <si>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</si>
  <si>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</si>
  <si>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</si>
  <si>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</si>
  <si>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</si>
  <si>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</si>
  <si>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</si>
  <si>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</si>
  <si>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</si>
  <si>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</si>
  <si>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</si>
  <si>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</si>
  <si>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</si>
  <si>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</si>
  <si>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</si>
  <si>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</si>
  <si>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</si>
  <si>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</si>
  <si>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</si>
  <si>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</si>
  <si>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</si>
  <si>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Limited Credit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</si>
  <si>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</si>
  <si>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</si>
  <si>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</si>
  <si>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</si>
  <si>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</si>
  <si>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</si>
  <si>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</si>
  <si>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</si>
  <si>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</si>
  <si>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</si>
  <si>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</si>
  <si>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</si>
  <si>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</si>
  <si>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</si>
  <si>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</si>
  <si>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</si>
  <si>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</si>
  <si>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</si>
  <si>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</si>
  <si>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</si>
  <si>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Document fee (Inc. VAT)</t>
  </si>
  <si>
    <t xml:space="preserve">Upsell (Ex. VAT)</t>
  </si>
  <si>
    <t xml:space="preserve">Referral commission (Ex. VAT)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</si>
  <si>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</si>
  <si>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</si>
  <si>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</si>
  <si>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</si>
  <si>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</si>
  <si>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</si>
  <si>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</si>
  <si>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</si>
  <si>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</si>
  <si>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</si>
  <si>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</si>
  <si>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</si>
  <si>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</si>
  <si>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</si>
  <si>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</si>
  <si>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</si>
  <si>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</si>
  <si>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</si>
  <si>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</si>
  <si>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</si>
  <si>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</si>
  <si>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</si>
  <si>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</si>
  <si>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</si>
  <si>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</si>
  <si>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</si>
  <si>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</si>
  <si>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</si>
  <si>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</si>
  <si>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</si>
  <si>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</si>
  <si>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</si>
  <si>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</si>
  <si>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</si>
  <si>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</si>
  <si>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</si>
  <si>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</si>
  <si>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</si>
  <si>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</si>
  <si>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</si>
  <si>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</si>
  <si>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</si>
  <si>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</si>
  <si>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          Total Cash Price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</si>
  <si>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</si>
  <si>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</si>
  <si>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</si>
  <si>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</si>
  <si>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</si>
  <si>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</si>
  <si>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</si>
  <si>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</si>
  <si>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</si>
  <si>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</si>
  <si>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</si>
  <si>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</si>
  <si>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</si>
  <si>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Total Cash Price</t>
  </si>
  <si>
    <t xml:space="preserve">0</t>
  </si>
  <si>
    <t xml:space="preserve">1</t>
  </si>
  <si>
    <t xml:space="preserve">Customer Quote – Finance Lease</t>
  </si>
  <si>
    <t xml:space="preserve"> Terminal pause with 9 down </t>
  </si>
  <si>
    <t xml:space="preserve">200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</si>
  <si>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</si>
  <si>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</si>
  <si>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</si>
  <si>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</si>
  <si>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</si>
  <si>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</si>
  <si>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</si>
  <si>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</si>
  <si>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</si>
  <si>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</si>
  <si>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</si>
  <si>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</si>
  <si>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</si>
  <si>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</si>
  <si>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</si>
  <si>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</si>
  <si>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</si>
  <si>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</si>
  <si>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</si>
  <si>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</si>
  <si>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</si>
  <si>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</si>
  <si>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</si>
  <si>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</si>
  <si>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</si>
  <si>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</si>
  <si>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21600.00</t>
  </si>
  <si>
    <t xml:space="preserve">OTR Calculation</t>
  </si>
  <si>
    <t xml:space="preserve">315.00</t>
  </si>
  <si>
    <t xml:space="preserve">22653.00</t>
  </si>
  <si>
    <t xml:space="preserve">340.00</t>
  </si>
  <si>
    <t xml:space="preserve">21268.00</t>
  </si>
  <si>
    <t xml:space="preserve">RFL included?</t>
  </si>
  <si>
    <t>NO</t>
  </si>
  <si>
    <t>60</t>
  </si>
  <si>
    <t>Limited Credit</t>
  </si>
  <si>
    <t>YES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</si>
</sst>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0"/>
      <charset val="1"/>
    </font>
    <font>
      <b val="true"/>
      <sz val="32"/>
      <color rgb="FFFFFFFF"/>
      <name val="Calibri"/>
      <family val="0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0"/>
      <charset val="1"/>
    </font>
    <font>
      <sz val="11"/>
      <color rgb="FF000000"/>
      <name val="Calibri"/>
      <family val="0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0"/>
      <charset val="1"/>
    </font>
    <font>
      <b val="true"/>
      <sz val="18"/>
      <color rgb="FF000000"/>
      <name val="Calibri"/>
      <family val="0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0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0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0"/>
      <charset val="1"/>
    </font>
    <font>
      <b val="true"/>
      <sz val="16"/>
      <color rgb="FFFFFFFF"/>
      <name val="Calibri"/>
      <family val="0"/>
      <charset val="1"/>
    </font>
    <font>
      <b val="true"/>
      <sz val="14"/>
      <color rgb="FFC00000"/>
      <name val="Calibri"/>
      <family val="0"/>
      <charset val="1"/>
    </font>
    <font>
      <b val="true"/>
      <u val="single"/>
      <sz val="14"/>
      <color rgb="FF000000"/>
      <name val="Calibri"/>
      <family val="0"/>
      <charset val="1"/>
    </font>
    <font>
      <b val="true"/>
      <sz val="16"/>
      <color rgb="FF000000"/>
      <name val="Calibri"/>
      <family val="0"/>
      <charset val="1"/>
    </font>
    <font>
      <sz val="16"/>
      <color rgb="FF000000"/>
      <name val="Calibri"/>
      <family val="0"/>
      <charset val="1"/>
    </font>
    <font>
      <b val="true"/>
      <u val="single"/>
      <sz val="16"/>
      <color rgb="FF000000"/>
      <name val="Calibri"/>
      <family val="0"/>
      <charset val="1"/>
    </font>
    <font>
      <b val="true"/>
      <sz val="16"/>
      <color rgb="FFFF0000"/>
      <name val="Calibri"/>
      <family val="0"/>
      <charset val="1"/>
    </font>
    <font>
      <i val="true"/>
      <sz val="12"/>
      <color rgb="FFBFBFBF"/>
      <name val="Calibri"/>
      <family val="0"/>
      <charset val="1"/>
    </font>
    <font>
      <b val="true"/>
      <sz val="14"/>
      <color rgb="FFFF0000"/>
      <name val="Calibri"/>
      <family val="0"/>
      <charset val="1"/>
    </font>
    <font>
      <sz val="14"/>
      <color rgb="FFFF0000"/>
      <name val="Calibri"/>
      <family val="0"/>
      <charset val="1"/>
    </font>
    <font>
      <sz val="11"/>
      <color rgb="FFFF0000"/>
      <name val="Calibri"/>
      <family val="0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0"/>
      <charset val="1"/>
    </font>
    <font>
      <b val="true"/>
      <u val="single"/>
      <sz val="16"/>
      <color rgb="FFFFFFFF"/>
      <name val="Calibri"/>
      <family val="0"/>
      <charset val="1"/>
    </font>
    <font>
      <sz val="14"/>
      <color rgb="FFC9211E"/>
      <name val="Calibri"/>
      <family val="0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0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true" showOutlineSymbols="true" defaultGridColor="true" view="normal" topLeftCell="A175" colorId="64" zoomScale="85" zoomScaleNormal="85" zoomScalePageLayoutView="100" workbookViewId="0">
      <selection pane="topLeft" activeCell="A191" activeCellId="0" sqref="A191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16333.33</v>
      </c>
      <c r="C2" s="4" t="s">
        <v>2</v>
      </c>
      <c r="D2" s="5" t="n">
        <f aca="false">C9</f>
        <v>3266.666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19599.996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 t="s">
        <v>4</v>
      </c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16333.33</v>
      </c>
      <c r="C9" s="9" t="n">
        <f aca="false">B9*0.2</f>
        <v>3266.666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16333.33</v>
      </c>
      <c r="C15" s="9" t="n">
        <f aca="false">SUM(C9:C13)</f>
        <v>3266.666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19599.996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16333.33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12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str">
        <f aca="false">A46</f>
        <v>50</v>
      </c>
      <c r="M32" s="43" t="s">
        <v>37</v>
      </c>
      <c r="N32" s="44" t="s">
        <v>38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  <c r="M33" s="43"/>
      <c r="N33" s="12"/>
    </row>
    <row r="34" customFormat="false" ht="19.5" hidden="false" customHeight="false" outlineLevel="0" collapsed="false">
      <c r="A34" s="39" t="s">
        <v>42</v>
      </c>
      <c r="B34" s="31"/>
      <c r="C34" s="40" t="s">
        <v>43</v>
      </c>
      <c r="D34" s="40"/>
      <c r="E34" s="31"/>
      <c r="F34" s="40" t="n">
        <f aca="false">(A34/12)*C34</f>
        <v>5000</v>
      </c>
      <c r="G34" s="40"/>
      <c r="H34" s="46"/>
      <c r="I34" s="2"/>
      <c r="J34" s="2"/>
      <c r="K34" s="2"/>
      <c r="M34" s="43" t="s">
        <v>44</v>
      </c>
      <c r="N34" s="48" t="s">
        <v>45</v>
      </c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50" t="n">
        <v>0.065</v>
      </c>
      <c r="M35" s="43"/>
      <c r="N35" s="12" t="s">
        <v>4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11</v>
      </c>
      <c r="M36" s="43" t="s">
        <v>51</v>
      </c>
      <c r="N36" s="51" t="n">
        <f aca="false">N32-N34</f>
        <v>22125</v>
      </c>
    </row>
    <row r="37" customFormat="false" ht="19.5" hidden="false" customHeight="false" outlineLevel="0" collapsed="false">
      <c r="A37" s="35" t="n">
        <f aca="false">E19</f>
        <v>19599.996</v>
      </c>
      <c r="B37" s="31"/>
      <c r="C37" s="40" t="s">
        <v>45</v>
      </c>
      <c r="D37" s="40"/>
      <c r="E37" s="31"/>
      <c r="F37" s="42" t="n">
        <f aca="false">A37-C37</f>
        <v>18599.996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42</v>
      </c>
      <c r="B40" s="31"/>
      <c r="C40" s="53" t="n">
        <f aca="false">A34-1</f>
        <v>11</v>
      </c>
      <c r="D40" s="53"/>
      <c r="E40" s="31"/>
      <c r="F40" s="40" t="s">
        <v>57</v>
      </c>
      <c r="G40" s="40"/>
      <c r="H40" s="46"/>
      <c r="J40" s="2" t="s">
        <v>58</v>
      </c>
      <c r="K40" s="2" t="n">
        <f aca="false">C15</f>
        <v>3266.666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str">
        <f aca="false">IF(F43="Yes",A46,0)</f>
        <v>50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</v>
      </c>
      <c r="B43" s="31"/>
      <c r="C43" s="40" t="n">
        <v>20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12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188.888833333333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361.111166666667</v>
      </c>
      <c r="L45" s="2"/>
    </row>
    <row r="46" customFormat="false" ht="19.5" hidden="false" customHeight="false" outlineLevel="0" collapsed="false">
      <c r="A46" s="39" t="s">
        <v>70</v>
      </c>
      <c r="B46" s="31"/>
      <c r="C46" s="40" t="n">
        <v>1</v>
      </c>
      <c r="D46" s="40"/>
      <c r="E46" s="31"/>
      <c r="F46" s="40" t="n">
        <v>0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1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1.66666666666667</v>
      </c>
      <c r="L48" s="2"/>
    </row>
    <row r="49" customFormat="false" ht="18.75" hidden="false" customHeight="false" outlineLevel="0" collapsed="false">
      <c r="A49" s="35" t="n">
        <f aca="false">C46+F46</f>
        <v>1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363.777833333333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313.777833333333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80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600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12</v>
      </c>
      <c r="B60" s="73" t="n">
        <f aca="false">K49</f>
        <v>363.777833333333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/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/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/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/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11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11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11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11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40526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40526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40526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40526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0.0105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13014.7521092442</v>
      </c>
      <c r="C74" s="31"/>
      <c r="D74" s="31"/>
      <c r="E74" s="22"/>
      <c r="F74" s="22"/>
      <c r="G74" s="22"/>
      <c r="H74" s="32"/>
      <c r="J74" s="55" t="s">
        <v>91</v>
      </c>
      <c r="K74" s="64" t="e">
        <f aca="false">(K98*K68)-(K47*K29)</f>
        <v>#VALUE!</v>
      </c>
      <c r="L74" s="31"/>
      <c r="M74" s="31"/>
      <c r="N74" s="22"/>
      <c r="O74" s="22"/>
      <c r="P74" s="22"/>
      <c r="Q74" s="32"/>
      <c r="S74" s="55" t="s">
        <v>91</v>
      </c>
      <c r="T74" s="64" t="e">
        <f aca="false">(T98*T68)-(K47*K29)</f>
        <v>#VALUE!</v>
      </c>
      <c r="U74" s="31"/>
      <c r="V74" s="31"/>
      <c r="W74" s="22"/>
      <c r="X74" s="22"/>
      <c r="Y74" s="22"/>
      <c r="Z74" s="32"/>
      <c r="AB74" s="55" t="s">
        <v>91</v>
      </c>
      <c r="AC74" s="64" t="e">
        <f aca="false">(AC98*AC68)-(K47*K29)</f>
        <v>#VALUE!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0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2026.3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202.63</v>
      </c>
      <c r="U77" s="31"/>
      <c r="V77" s="31"/>
      <c r="W77" s="22"/>
      <c r="X77" s="22"/>
      <c r="Y77" s="22"/>
      <c r="Z77" s="32"/>
      <c r="AB77" s="55" t="s">
        <v>94</v>
      </c>
      <c r="AC77" s="64" t="e">
        <f aca="false">AH167*AC76</f>
        <v>#VALUE!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363.777833333333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1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363.777833333333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363.777833333333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18599.996</v>
      </c>
      <c r="C90" s="31"/>
      <c r="D90" s="31"/>
      <c r="E90" s="22"/>
      <c r="F90" s="24" t="s">
        <v>106</v>
      </c>
      <c r="G90" s="26" t="n">
        <f aca="false">F37</f>
        <v>18599.996</v>
      </c>
      <c r="H90" s="32"/>
      <c r="J90" s="24" t="s">
        <v>106</v>
      </c>
      <c r="K90" s="26" t="e">
        <f aca="false">P167</f>
        <v>#VALUE!</v>
      </c>
      <c r="L90" s="31"/>
      <c r="M90" s="31"/>
      <c r="N90" s="22"/>
      <c r="O90" s="22"/>
      <c r="P90" s="22"/>
      <c r="Q90" s="32"/>
      <c r="S90" s="24" t="s">
        <v>106</v>
      </c>
      <c r="T90" s="26" t="e">
        <f aca="false">Y167</f>
        <v>#VALUE!</v>
      </c>
      <c r="U90" s="31"/>
      <c r="V90" s="31"/>
      <c r="W90" s="22"/>
      <c r="X90" s="22"/>
      <c r="Y90" s="22"/>
      <c r="Z90" s="32"/>
      <c r="AB90" s="24" t="s">
        <v>106</v>
      </c>
      <c r="AC90" s="26" t="e">
        <f aca="false">AH167</f>
        <v>#VALUE!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IF(A111="YES",A43,0)*1.2</f>
        <v>7200</v>
      </c>
      <c r="C91" s="31"/>
      <c r="D91" s="31"/>
      <c r="E91" s="22"/>
      <c r="F91" s="30" t="s">
        <v>107</v>
      </c>
      <c r="G91" s="32" t="n">
        <f aca="false">IF(A111="YES",A43,0)*1.2</f>
        <v>7200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0.1255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0.0104583333333333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11</v>
      </c>
      <c r="C94" s="31"/>
      <c r="D94" s="31"/>
      <c r="E94" s="22"/>
      <c r="F94" s="30" t="s">
        <v>110</v>
      </c>
      <c r="G94" s="32" t="n">
        <f aca="false">IF(G91=0,(B68+B67),(B68))</f>
        <v>11</v>
      </c>
      <c r="H94" s="32"/>
      <c r="J94" s="30" t="s">
        <v>110</v>
      </c>
      <c r="K94" s="32" t="n">
        <f aca="false">IF(K91=0,(K68+K67),(K68))</f>
        <v>12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11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11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6354.94179987962</v>
      </c>
      <c r="C95" s="31"/>
      <c r="D95" s="31"/>
      <c r="E95" s="22"/>
      <c r="F95" s="30" t="s">
        <v>111</v>
      </c>
      <c r="G95" s="32" t="n">
        <f aca="false">(G91/((1+G93)^(G94+1)))</f>
        <v>6748.06930144099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10.6125560515631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10.6125560515631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10.3399216528992</v>
      </c>
      <c r="C96" s="31"/>
      <c r="D96" s="31"/>
      <c r="E96" s="22"/>
      <c r="F96" s="30" t="s">
        <v>112</v>
      </c>
      <c r="G96" s="32" t="n">
        <f aca="false">((1-(1/((1+G93)^G94)))/G93)</f>
        <v>10.6507347822959</v>
      </c>
      <c r="H96" s="32"/>
      <c r="J96" s="30" t="s">
        <v>112</v>
      </c>
      <c r="K96" s="32" t="n">
        <f aca="false">((1-(1/((1+K93)^K94)))/K93)</f>
        <v>10.5753412209172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10.3499842839909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10.3499842839909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12245.0542001204</v>
      </c>
      <c r="C97" s="31"/>
      <c r="D97" s="31"/>
      <c r="E97" s="22"/>
      <c r="F97" s="30" t="s">
        <v>113</v>
      </c>
      <c r="G97" s="32" t="n">
        <f aca="false">G90-G95</f>
        <v>11851.926698559</v>
      </c>
      <c r="H97" s="32"/>
      <c r="J97" s="30" t="s">
        <v>113</v>
      </c>
      <c r="K97" s="32" t="e">
        <f aca="false">K90-K95</f>
        <v>#VALUE!</v>
      </c>
      <c r="L97" s="31"/>
      <c r="M97" s="31"/>
      <c r="N97" s="22"/>
      <c r="O97" s="22"/>
      <c r="P97" s="22"/>
      <c r="Q97" s="32"/>
      <c r="S97" s="30" t="s">
        <v>113</v>
      </c>
      <c r="T97" s="32" t="e">
        <f aca="false">T90-T95</f>
        <v>#VALUE!</v>
      </c>
      <c r="U97" s="31"/>
      <c r="V97" s="31"/>
      <c r="W97" s="22"/>
      <c r="X97" s="22"/>
      <c r="Y97" s="22"/>
      <c r="Z97" s="32"/>
      <c r="AB97" s="30" t="s">
        <v>113</v>
      </c>
      <c r="AC97" s="32" t="e">
        <f aca="false">AC90-AC95</f>
        <v>#VALUE!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1184.25019174947</v>
      </c>
      <c r="C98" s="31"/>
      <c r="D98" s="31"/>
      <c r="E98" s="22"/>
      <c r="F98" s="30" t="s">
        <v>114</v>
      </c>
      <c r="G98" s="32" t="n">
        <f aca="false">(G97/G96)</f>
        <v>1112.78019224174</v>
      </c>
      <c r="H98" s="32"/>
      <c r="J98" s="30" t="s">
        <v>114</v>
      </c>
      <c r="K98" s="32" t="e">
        <f aca="false">(K97/K96)</f>
        <v>#VALUE!</v>
      </c>
      <c r="L98" s="31"/>
      <c r="M98" s="31"/>
      <c r="N98" s="22"/>
      <c r="O98" s="22"/>
      <c r="P98" s="22"/>
      <c r="Q98" s="32"/>
      <c r="S98" s="30" t="s">
        <v>114</v>
      </c>
      <c r="T98" s="32" t="e">
        <f aca="false">(T97/T96)</f>
        <v>#VALUE!</v>
      </c>
      <c r="U98" s="31"/>
      <c r="V98" s="31"/>
      <c r="W98" s="22"/>
      <c r="X98" s="22"/>
      <c r="Y98" s="22"/>
      <c r="Z98" s="32"/>
      <c r="AB98" s="30" t="s">
        <v>114</v>
      </c>
      <c r="AC98" s="32" t="e">
        <f aca="false">(AC97/AC96)</f>
        <v>#VALUE!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13026.7521092442</v>
      </c>
      <c r="C99" s="31"/>
      <c r="D99" s="31"/>
      <c r="E99" s="22"/>
      <c r="F99" s="30" t="s">
        <v>115</v>
      </c>
      <c r="G99" s="32" t="n">
        <f aca="false">((G98*(G94))+G86)</f>
        <v>12240.5821146591</v>
      </c>
      <c r="H99" s="32"/>
      <c r="J99" s="30" t="s">
        <v>115</v>
      </c>
      <c r="K99" s="32" t="e">
        <f aca="false">((K98*(K94))+K86)</f>
        <v>#VALUE!</v>
      </c>
      <c r="L99" s="31"/>
      <c r="M99" s="31"/>
      <c r="N99" s="22"/>
      <c r="O99" s="22"/>
      <c r="P99" s="22"/>
      <c r="Q99" s="32"/>
      <c r="S99" s="30" t="s">
        <v>115</v>
      </c>
      <c r="T99" s="32" t="e">
        <f aca="false">(T98*(T94))+T86</f>
        <v>#VALUE!</v>
      </c>
      <c r="U99" s="31"/>
      <c r="V99" s="31"/>
      <c r="W99" s="22"/>
      <c r="X99" s="22"/>
      <c r="Y99" s="22"/>
      <c r="Z99" s="32"/>
      <c r="AB99" s="30" t="s">
        <v>115</v>
      </c>
      <c r="AC99" s="32" t="e">
        <f aca="false">(AC98*(AC68))+AC86</f>
        <v>#VALUE!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e">
        <f aca="false">(K99/(1-K80))*K80</f>
        <v>#VALUE!</v>
      </c>
      <c r="L100" s="31"/>
      <c r="M100" s="31"/>
      <c r="N100" s="22"/>
      <c r="O100" s="22"/>
      <c r="P100" s="22"/>
      <c r="Q100" s="32"/>
      <c r="S100" s="30" t="s">
        <v>116</v>
      </c>
      <c r="T100" s="32" t="e">
        <f aca="false">(T99/(1-T80))*T80</f>
        <v>#VALUE!</v>
      </c>
      <c r="U100" s="31"/>
      <c r="V100" s="31"/>
      <c r="W100" s="22"/>
      <c r="X100" s="22"/>
      <c r="Y100" s="22"/>
      <c r="Z100" s="32"/>
      <c r="AB100" s="30" t="s">
        <v>116</v>
      </c>
      <c r="AC100" s="32" t="e">
        <f aca="false">(AC99/(1-AC80))*AC80</f>
        <v>#VALUE!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13026.7521092442</v>
      </c>
      <c r="C101" s="31"/>
      <c r="D101" s="31"/>
      <c r="E101" s="22"/>
      <c r="F101" s="55" t="s">
        <v>117</v>
      </c>
      <c r="G101" s="64" t="n">
        <f aca="false">(G99+G100)</f>
        <v>12240.5821146591</v>
      </c>
      <c r="H101" s="32"/>
      <c r="J101" s="55" t="s">
        <v>117</v>
      </c>
      <c r="K101" s="64" t="e">
        <f aca="false">(K99+K100)</f>
        <v>#VALUE!</v>
      </c>
      <c r="L101" s="31"/>
      <c r="M101" s="31"/>
      <c r="N101" s="22"/>
      <c r="O101" s="22"/>
      <c r="P101" s="22"/>
      <c r="Q101" s="32"/>
      <c r="S101" s="55" t="s">
        <v>117</v>
      </c>
      <c r="T101" s="64" t="e">
        <f aca="false">(T99+T100)</f>
        <v>#VALUE!</v>
      </c>
      <c r="U101" s="31"/>
      <c r="V101" s="31"/>
      <c r="W101" s="22"/>
      <c r="X101" s="22"/>
      <c r="Y101" s="22"/>
      <c r="Z101" s="32"/>
      <c r="AB101" s="55" t="s">
        <v>117</v>
      </c>
      <c r="AC101" s="64" t="e">
        <f aca="false">(AC99+AC100)</f>
        <v>#VALUE!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((A46*A34)+((A46*A34)*A117))/(B68)*1.2</f>
        <v>85.0909090909091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1184.25019174947</v>
      </c>
      <c r="C104" s="31"/>
      <c r="D104" s="31"/>
      <c r="E104" s="22"/>
      <c r="F104" s="94" t="s">
        <v>119</v>
      </c>
      <c r="G104" s="95" t="n">
        <f aca="false">G101/(G94)</f>
        <v>1112.78019224174</v>
      </c>
      <c r="H104" s="32"/>
      <c r="J104" s="94" t="s">
        <v>119</v>
      </c>
      <c r="K104" s="95" t="e">
        <f aca="false">K101/(K94)</f>
        <v>#VALUE!</v>
      </c>
      <c r="L104" s="31"/>
      <c r="M104" s="31"/>
      <c r="N104" s="22"/>
      <c r="O104" s="22"/>
      <c r="P104" s="22"/>
      <c r="Q104" s="32"/>
      <c r="S104" s="94" t="s">
        <v>119</v>
      </c>
      <c r="T104" s="95" t="e">
        <f aca="false">T101/(T94)</f>
        <v>#VALUE!</v>
      </c>
      <c r="U104" s="31"/>
      <c r="V104" s="31"/>
      <c r="W104" s="22"/>
      <c r="X104" s="22"/>
      <c r="Y104" s="22"/>
      <c r="Z104" s="32"/>
      <c r="AB104" s="94" t="s">
        <v>119</v>
      </c>
      <c r="AC104" s="95" t="e">
        <f aca="false">AC101/(AC68)</f>
        <v>#VALUE!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1269.34110084038</v>
      </c>
      <c r="C105" s="31"/>
      <c r="D105" s="31"/>
      <c r="E105" s="22" t="s">
        <v>18</v>
      </c>
      <c r="F105" s="96" t="s">
        <v>120</v>
      </c>
      <c r="G105" s="97" t="n">
        <f aca="false">G103+G104</f>
        <v>1112.78019224174</v>
      </c>
      <c r="H105" s="32"/>
      <c r="J105" s="96" t="s">
        <v>120</v>
      </c>
      <c r="K105" s="97" t="e">
        <f aca="false">(K103+K104)</f>
        <v>#VALUE!</v>
      </c>
      <c r="L105" s="31"/>
      <c r="M105" s="31"/>
      <c r="N105" s="22"/>
      <c r="O105" s="22"/>
      <c r="P105" s="22"/>
      <c r="Q105" s="32"/>
      <c r="S105" s="96" t="s">
        <v>120</v>
      </c>
      <c r="T105" s="97" t="e">
        <f aca="false">T103+T104</f>
        <v>#VALUE!</v>
      </c>
      <c r="U105" s="31"/>
      <c r="V105" s="31"/>
      <c r="W105" s="22"/>
      <c r="X105" s="22"/>
      <c r="Y105" s="22"/>
      <c r="Z105" s="32"/>
      <c r="AB105" s="96" t="s">
        <v>120</v>
      </c>
      <c r="AC105" s="97" t="e">
        <f aca="false">AC103+AC104</f>
        <v>#VALUE!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n">
        <v>0</v>
      </c>
      <c r="C108" s="22"/>
      <c r="D108" s="22" t="n">
        <v>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 t="s">
        <v>129</v>
      </c>
      <c r="C114" s="102"/>
      <c r="D114" s="102"/>
      <c r="E114" s="103" t="s">
        <v>19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0.3</v>
      </c>
      <c r="B117" s="106" t="s">
        <v>133</v>
      </c>
      <c r="C117" s="106"/>
      <c r="D117" s="106"/>
      <c r="E117" s="107" t="n">
        <f aca="false">B92</f>
        <v>0.1255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/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142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112"/>
      <c r="C127" s="112"/>
      <c r="D127" s="112"/>
      <c r="E127" s="112"/>
      <c r="F127" s="112"/>
      <c r="G127" s="11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119" t="n">
        <f aca="false">E19</f>
        <v>19599.996</v>
      </c>
      <c r="C130" s="120" t="n">
        <v>0</v>
      </c>
      <c r="D130" s="119" t="n">
        <f aca="false">D12</f>
        <v>0</v>
      </c>
      <c r="E130" s="120" t="n">
        <f aca="false">D130</f>
        <v>0</v>
      </c>
      <c r="F130" s="119" t="n">
        <v>0</v>
      </c>
      <c r="G130" s="120" t="n">
        <f aca="false">F130</f>
        <v>0</v>
      </c>
      <c r="H130" s="121" t="n">
        <f aca="false">H12</f>
        <v>0</v>
      </c>
      <c r="J130" s="24" t="s">
        <v>150</v>
      </c>
      <c r="K130" s="24" t="n">
        <f aca="false">B3</f>
        <v>0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str">
        <f aca="false">F3</f>
        <v> </v>
      </c>
      <c r="P130" s="39" t="str">
        <f aca="false">O130</f>
        <v> </v>
      </c>
      <c r="Q130" s="121" t="n">
        <f aca="false">H3</f>
        <v>0</v>
      </c>
      <c r="S130" s="24" t="s">
        <v>150</v>
      </c>
      <c r="T130" s="24" t="n">
        <f aca="false">B3</f>
        <v>0</v>
      </c>
      <c r="U130" s="39" t="n">
        <f aca="false">T130</f>
        <v>0</v>
      </c>
      <c r="V130" s="24" t="n">
        <f aca="false">D3</f>
        <v>0</v>
      </c>
      <c r="W130" s="39" t="n">
        <f aca="false">V130</f>
        <v>0</v>
      </c>
      <c r="X130" s="24" t="str">
        <f aca="false">F3</f>
        <v> </v>
      </c>
      <c r="Y130" s="39" t="str">
        <f aca="false">X130</f>
        <v> </v>
      </c>
      <c r="Z130" s="121" t="n">
        <f aca="false">H3</f>
        <v>0</v>
      </c>
      <c r="AB130" s="24" t="s">
        <v>150</v>
      </c>
      <c r="AC130" s="24" t="n">
        <f aca="false">B3</f>
        <v>0</v>
      </c>
      <c r="AD130" s="39" t="n">
        <f aca="false">AC130</f>
        <v>0</v>
      </c>
      <c r="AE130" s="24" t="n">
        <f aca="false">D3</f>
        <v>0</v>
      </c>
      <c r="AF130" s="39" t="n">
        <f aca="false">AE130</f>
        <v>0</v>
      </c>
      <c r="AG130" s="24" t="str">
        <f aca="false">F3</f>
        <v> </v>
      </c>
      <c r="AH130" s="39" t="str">
        <f aca="false">AG130</f>
        <v> 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2" t="n">
        <v>0</v>
      </c>
      <c r="C131" s="123" t="n">
        <f aca="false">B131</f>
        <v>0</v>
      </c>
      <c r="D131" s="122" t="n">
        <v>0</v>
      </c>
      <c r="E131" s="123" t="n">
        <f aca="false">D131</f>
        <v>0</v>
      </c>
      <c r="F131" s="122" t="n">
        <v>0</v>
      </c>
      <c r="G131" s="124" t="n">
        <f aca="false">F131</f>
        <v>0</v>
      </c>
      <c r="H131" s="125"/>
      <c r="J131" s="30" t="s">
        <v>151</v>
      </c>
      <c r="K131" s="126" t="n">
        <f aca="false">B4</f>
        <v>19599.996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str">
        <f aca="false">F4</f>
        <v> </v>
      </c>
      <c r="P131" s="127" t="str">
        <f aca="false">O131</f>
        <v> </v>
      </c>
      <c r="Q131" s="128"/>
      <c r="S131" s="30" t="s">
        <v>151</v>
      </c>
      <c r="T131" s="126" t="n">
        <f aca="false">B4</f>
        <v>19599.996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str">
        <f aca="false">F4</f>
        <v> </v>
      </c>
      <c r="Y131" s="127" t="str">
        <f aca="false">X131</f>
        <v> </v>
      </c>
      <c r="Z131" s="128"/>
      <c r="AB131" s="30" t="s">
        <v>151</v>
      </c>
      <c r="AC131" s="126" t="n">
        <f aca="false">B4</f>
        <v>19599.996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str">
        <f aca="false">F4</f>
        <v> </v>
      </c>
      <c r="AH131" s="127" t="str">
        <f aca="false">AG131</f>
        <v> </v>
      </c>
      <c r="AI131" s="128"/>
    </row>
    <row r="132" customFormat="false" ht="19.5" hidden="false" customHeight="false" outlineLevel="0" collapsed="false">
      <c r="A132" s="30" t="s">
        <v>152</v>
      </c>
      <c r="B132" s="129" t="n">
        <v>0</v>
      </c>
      <c r="C132" s="120" t="n">
        <f aca="false">B132</f>
        <v>0</v>
      </c>
      <c r="D132" s="129" t="n">
        <v>0</v>
      </c>
      <c r="E132" s="120" t="n">
        <f aca="false">D132</f>
        <v>0</v>
      </c>
      <c r="F132" s="129" t="n">
        <v>0</v>
      </c>
      <c r="G132" s="120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str">
        <f aca="false">F5</f>
        <v> </v>
      </c>
      <c r="P132" s="39" t="str">
        <f aca="false">O132</f>
        <v> 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str">
        <f aca="false">F5</f>
        <v> </v>
      </c>
      <c r="Y132" s="39" t="str">
        <f aca="false">X132</f>
        <v> 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str">
        <f aca="false">F5</f>
        <v> </v>
      </c>
      <c r="AH132" s="39" t="str">
        <f aca="false">AG132</f>
        <v> </v>
      </c>
      <c r="AI132" s="32"/>
    </row>
    <row r="133" customFormat="false" ht="18.75" hidden="false" customHeight="false" outlineLevel="0" collapsed="false">
      <c r="A133" s="30" t="s">
        <v>153</v>
      </c>
      <c r="B133" s="129" t="n">
        <f aca="false">(B130*B131)+B132</f>
        <v>0</v>
      </c>
      <c r="C133" s="130" t="n">
        <f aca="false">(C130*C131/100)+C132</f>
        <v>0</v>
      </c>
      <c r="D133" s="129" t="n">
        <f aca="false">(D130*D131)+D132</f>
        <v>0</v>
      </c>
      <c r="E133" s="130" t="n">
        <f aca="false">(E130*E131/100)+E132</f>
        <v>0</v>
      </c>
      <c r="F133" s="129" t="n">
        <f aca="false">(F130*F131)+F132</f>
        <v>0</v>
      </c>
      <c r="G133" s="130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e">
        <f aca="false">(O130*O131)+O132</f>
        <v>#VALUE!</v>
      </c>
      <c r="P133" s="26" t="e">
        <f aca="false">(P130*P131)+P132</f>
        <v>#VALUE!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0</v>
      </c>
      <c r="V133" s="30" t="n">
        <f aca="false">(V130*V131)+V132</f>
        <v>0</v>
      </c>
      <c r="W133" s="26" t="n">
        <f aca="false">(W130*W131)+W132</f>
        <v>0</v>
      </c>
      <c r="X133" s="30" t="e">
        <f aca="false">(X130*X131)+X132</f>
        <v>#VALUE!</v>
      </c>
      <c r="Y133" s="26" t="e">
        <f aca="false">(Y130*Y131)+Y132</f>
        <v>#VALUE!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0</v>
      </c>
      <c r="AE133" s="30" t="n">
        <f aca="false">(AE130*AE131)+AE132</f>
        <v>0</v>
      </c>
      <c r="AF133" s="26" t="n">
        <f aca="false">(AF130*AF131)+AF132</f>
        <v>0</v>
      </c>
      <c r="AG133" s="30" t="e">
        <f aca="false">(AG130*AG131)+AG132</f>
        <v>#VALUE!</v>
      </c>
      <c r="AH133" s="26" t="e">
        <f aca="false">(AH130*AH131)+AH132</f>
        <v>#VALUE!</v>
      </c>
      <c r="AI133" s="32"/>
    </row>
    <row r="134" customFormat="false" ht="19.5" hidden="false" customHeight="false" outlineLevel="0" collapsed="false">
      <c r="A134" s="55" t="s">
        <v>154</v>
      </c>
      <c r="B134" s="131" t="n">
        <f aca="false">B130-B133</f>
        <v>19599.996</v>
      </c>
      <c r="C134" s="132" t="n">
        <f aca="false">C130-C133</f>
        <v>0</v>
      </c>
      <c r="D134" s="131" t="n">
        <f aca="false">D130-D133</f>
        <v>0</v>
      </c>
      <c r="E134" s="132" t="n">
        <f aca="false">E130-E133</f>
        <v>0</v>
      </c>
      <c r="F134" s="131" t="n">
        <f aca="false">F130-F133</f>
        <v>0</v>
      </c>
      <c r="G134" s="132" t="n">
        <f aca="false">G130-G133</f>
        <v>0</v>
      </c>
      <c r="H134" s="64"/>
      <c r="J134" s="55" t="s">
        <v>154</v>
      </c>
      <c r="K134" s="55" t="n">
        <f aca="false">K130-K133</f>
        <v>0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e">
        <f aca="false">O130-O133</f>
        <v>#VALUE!</v>
      </c>
      <c r="P134" s="64" t="e">
        <f aca="false">P130-P133</f>
        <v>#VALUE!</v>
      </c>
      <c r="Q134" s="64"/>
      <c r="S134" s="55" t="s">
        <v>154</v>
      </c>
      <c r="T134" s="55" t="n">
        <f aca="false">T130-T133</f>
        <v>0</v>
      </c>
      <c r="U134" s="64" t="n">
        <f aca="false">U130-U133</f>
        <v>0</v>
      </c>
      <c r="V134" s="55" t="n">
        <f aca="false">V130-V133</f>
        <v>0</v>
      </c>
      <c r="W134" s="64" t="n">
        <f aca="false">W130-W133</f>
        <v>0</v>
      </c>
      <c r="X134" s="55" t="e">
        <f aca="false">X130-X133</f>
        <v>#VALUE!</v>
      </c>
      <c r="Y134" s="64" t="e">
        <f aca="false">Y130-Y133</f>
        <v>#VALUE!</v>
      </c>
      <c r="Z134" s="64"/>
      <c r="AB134" s="55" t="s">
        <v>154</v>
      </c>
      <c r="AC134" s="55" t="n">
        <f aca="false">AC130-AC133</f>
        <v>0</v>
      </c>
      <c r="AD134" s="64" t="n">
        <f aca="false">AD130-AD133</f>
        <v>0</v>
      </c>
      <c r="AE134" s="55" t="n">
        <f aca="false">AE130-AE133</f>
        <v>0</v>
      </c>
      <c r="AF134" s="64" t="n">
        <f aca="false">AF130-AF133</f>
        <v>0</v>
      </c>
      <c r="AG134" s="55" t="e">
        <f aca="false">AG130-AG133</f>
        <v>#VALUE!</v>
      </c>
      <c r="AH134" s="64" t="e">
        <f aca="false">AH130-AH133</f>
        <v>#VALUE!</v>
      </c>
      <c r="AI134" s="64"/>
    </row>
    <row r="135" customFormat="false" ht="18.75" hidden="false" customHeight="false" outlineLevel="0" collapsed="false">
      <c r="A135" s="30"/>
      <c r="B135" s="92"/>
      <c r="C135" s="92"/>
      <c r="D135" s="92"/>
      <c r="E135" s="92"/>
      <c r="F135" s="92"/>
      <c r="G135" s="92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4"/>
      <c r="C136" s="134"/>
      <c r="D136" s="134"/>
      <c r="E136" s="134"/>
      <c r="F136" s="134"/>
      <c r="G136" s="135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92"/>
      <c r="C138" s="92"/>
      <c r="D138" s="92"/>
      <c r="E138" s="92"/>
      <c r="F138" s="92"/>
      <c r="G138" s="143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92"/>
      <c r="C143" s="92"/>
      <c r="D143" s="92"/>
      <c r="E143" s="92"/>
      <c r="F143" s="92"/>
      <c r="G143" s="143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5" t="n">
        <f aca="false">E21</f>
        <v>16333.33</v>
      </c>
      <c r="H144" s="152" t="n">
        <f aca="false">C134+E134+G134+H137</f>
        <v>0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0</v>
      </c>
      <c r="Q144" s="152" t="e">
        <f aca="false">L134+N134+P134+Q137</f>
        <v>#VALUE!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0</v>
      </c>
      <c r="Z144" s="152" t="e">
        <f aca="false">U134+W134+Y134+Z137</f>
        <v>#VALUE!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0</v>
      </c>
      <c r="AI144" s="152" t="e">
        <f aca="false">AD134+AF134+AH134+AI137</f>
        <v>#VALUE!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4" t="n">
        <f aca="false">H19</f>
        <v>0</v>
      </c>
      <c r="H145" s="32" t="n">
        <f aca="false">G145</f>
        <v>0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0</v>
      </c>
      <c r="Q145" s="32" t="n">
        <f aca="false">P145</f>
        <v>0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0</v>
      </c>
      <c r="Z145" s="32" t="n">
        <f aca="false">Y145</f>
        <v>0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0</v>
      </c>
      <c r="AI145" s="32" t="n">
        <f aca="false">AH145</f>
        <v>0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32" t="n">
        <f aca="false">(G144+G145)*20%</f>
        <v>3266.666</v>
      </c>
      <c r="H146" s="32" t="n">
        <f aca="false">(H144+H145)*20%</f>
        <v>0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0</v>
      </c>
      <c r="Q146" s="32" t="e">
        <f aca="false">(Q144+Q145)*20%</f>
        <v>#VALUE!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0</v>
      </c>
      <c r="Z146" s="32" t="e">
        <f aca="false">(Z144+Z145)*20%</f>
        <v>#VALUE!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0</v>
      </c>
      <c r="AI146" s="32" t="e">
        <f aca="false">(AI144+AI145)*20%</f>
        <v>#VALUE!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4" t="n">
        <f aca="false">H21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4" t="n">
        <f aca="false">H22</f>
        <v>0</v>
      </c>
      <c r="H148" s="32" t="n">
        <f aca="false">G148</f>
        <v>0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0</v>
      </c>
      <c r="Q148" s="32" t="n">
        <f aca="false">P148</f>
        <v>0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0</v>
      </c>
      <c r="Z148" s="32" t="n">
        <f aca="false">Y148</f>
        <v>0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0</v>
      </c>
      <c r="AI148" s="32" t="n">
        <f aca="false">AH148</f>
        <v>0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4" t="n">
        <f aca="false">H23</f>
        <v>0</v>
      </c>
      <c r="H149" s="32" t="n">
        <f aca="false">G149</f>
        <v>0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0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0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0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6" t="n">
        <f aca="false">(G144+G145+G148+G149+G146)-G147</f>
        <v>19599.996</v>
      </c>
      <c r="H150" s="156" t="n">
        <f aca="false">(H144+H145+H148+H149+H146)-H147</f>
        <v>0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0</v>
      </c>
      <c r="Q150" s="156" t="e">
        <f aca="false">(Q144+Q145+Q148+Q149+Q146)-Q147</f>
        <v>#VALUE!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0</v>
      </c>
      <c r="Z150" s="156" t="e">
        <f aca="false">(Z144+Z145+Z148+Z149+Z146)-Z147</f>
        <v>#VALUE!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0</v>
      </c>
      <c r="AI150" s="156" t="e">
        <f aca="false">(AI144+AI145+AI148+AI149+AI146)-AI147</f>
        <v>#VALUE!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39" t="n">
        <f aca="false">F151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2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n">
        <v>0</v>
      </c>
      <c r="C153" s="160"/>
      <c r="D153" s="160"/>
      <c r="E153" s="160"/>
      <c r="F153" s="160"/>
      <c r="G153" s="39" t="n">
        <v>0</v>
      </c>
      <c r="H153" s="39" t="n"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39" t="n"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39" t="n"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63" t="n">
        <f aca="false">G150-((G153*1.2)+(G154*1.2)+(G155*1.2)+(G151*1.2))</f>
        <v>19599.996</v>
      </c>
      <c r="H156" s="163" t="n">
        <f aca="false">H150-((H153*1.2)+(H154*1.2)+(H155*1.2)+(H151*1.2))</f>
        <v>0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0</v>
      </c>
      <c r="Q156" s="163" t="e">
        <f aca="false">Q150-((Q153*1.2)+(Q154*1.2)+(Q155*1.2)+(Q151*1.2))</f>
        <v>#VALUE!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0</v>
      </c>
      <c r="Z156" s="163" t="e">
        <f aca="false">Z150-((Z153*1.2)+(Z154*1.2)+(Z155*1.2)+(Z151*1.2))</f>
        <v>#VALUE!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0</v>
      </c>
      <c r="AI156" s="163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4"/>
      <c r="H157" s="39" t="n">
        <f aca="false">((H156-G156)-(H146-G146))+((I155-I154)*0.2)</f>
        <v>-16333.33</v>
      </c>
      <c r="I157" s="1" t="n">
        <f aca="false">(H157-G90)/1.2</f>
        <v>-29111.105</v>
      </c>
      <c r="J157" s="153" t="s">
        <v>173</v>
      </c>
      <c r="K157" s="153"/>
      <c r="L157" s="153"/>
      <c r="M157" s="153"/>
      <c r="N157" s="153"/>
      <c r="O157" s="153"/>
      <c r="P157" s="155"/>
      <c r="Q157" s="39" t="e">
        <f aca="false">Q156-P156</f>
        <v>#VALUE!</v>
      </c>
      <c r="S157" s="153" t="s">
        <v>173</v>
      </c>
      <c r="T157" s="153"/>
      <c r="U157" s="153"/>
      <c r="V157" s="153"/>
      <c r="W157" s="153"/>
      <c r="X157" s="153"/>
      <c r="Y157" s="155"/>
      <c r="Z157" s="39" t="e">
        <f aca="false">Z156-Y156</f>
        <v>#VALUE!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e">
        <f aca="false">AI156-AH156</f>
        <v>#VALUE!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0</v>
      </c>
      <c r="H167" s="169"/>
      <c r="J167" s="168" t="s">
        <v>180</v>
      </c>
      <c r="K167" s="31"/>
      <c r="L167" s="31"/>
      <c r="M167" s="22"/>
      <c r="N167" s="31"/>
      <c r="O167" s="22"/>
      <c r="P167" s="169" t="e">
        <f aca="false">Q156-P163-P166</f>
        <v>#VALUE!</v>
      </c>
      <c r="Q167" s="169"/>
      <c r="S167" s="168" t="s">
        <v>180</v>
      </c>
      <c r="T167" s="31"/>
      <c r="U167" s="31"/>
      <c r="V167" s="22"/>
      <c r="W167" s="31"/>
      <c r="X167" s="22"/>
      <c r="Y167" s="169" t="e">
        <f aca="false">Z156-Y163-Y166</f>
        <v>#VALUE!</v>
      </c>
      <c r="Z167" s="169"/>
      <c r="AB167" s="168" t="s">
        <v>180</v>
      </c>
      <c r="AC167" s="31"/>
      <c r="AD167" s="31"/>
      <c r="AE167" s="22"/>
      <c r="AF167" s="31"/>
      <c r="AG167" s="22"/>
      <c r="AH167" s="169" t="e">
        <f aca="false">AI156-AH163-AH166</f>
        <v>#VALUE!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239.99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7200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1184.25019174947</v>
      </c>
      <c r="B176" s="176" t="n">
        <f aca="false">B103</f>
        <v>85.0909090909091</v>
      </c>
      <c r="C176" s="173"/>
      <c r="D176" s="173"/>
      <c r="E176" s="176" t="n">
        <f aca="false">B105</f>
        <v>1269.34110084038</v>
      </c>
      <c r="F176" s="22"/>
      <c r="G176" s="22" t="n">
        <f aca="false">ROUND(G104,2)</f>
        <v>1112.78</v>
      </c>
      <c r="H176" s="32"/>
      <c r="J176" s="175" t="e">
        <f aca="false">K104</f>
        <v>#VALUE!</v>
      </c>
      <c r="K176" s="177" t="n">
        <f aca="false">K103</f>
        <v>0</v>
      </c>
      <c r="L176" s="174"/>
      <c r="M176" s="174"/>
      <c r="N176" s="177" t="e">
        <f aca="false">K105</f>
        <v>#VALUE!</v>
      </c>
      <c r="O176" s="22"/>
      <c r="P176" s="22"/>
      <c r="Q176" s="32"/>
      <c r="S176" s="175" t="e">
        <f aca="false">T104</f>
        <v>#VALUE!</v>
      </c>
      <c r="T176" s="177" t="n">
        <f aca="false">T103</f>
        <v>0</v>
      </c>
      <c r="U176" s="174"/>
      <c r="V176" s="174"/>
      <c r="W176" s="177" t="e">
        <f aca="false">T105</f>
        <v>#VALUE!</v>
      </c>
      <c r="X176" s="22"/>
      <c r="Y176" s="22"/>
      <c r="Z176" s="32"/>
      <c r="AB176" s="175" t="e">
        <f aca="false">AC104</f>
        <v>#VALUE!</v>
      </c>
      <c r="AC176" s="177" t="n">
        <f aca="false">AC103</f>
        <v>0</v>
      </c>
      <c r="AD176" s="174"/>
      <c r="AE176" s="174"/>
      <c r="AF176" s="177" t="e">
        <f aca="false">AC105</f>
        <v>#VALUE!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n">
        <f aca="false">B38</f>
        <v>0</v>
      </c>
      <c r="B179" s="179" t="n">
        <f aca="false">B39</f>
        <v>0</v>
      </c>
      <c r="C179" s="180"/>
      <c r="D179" s="22"/>
      <c r="E179" s="181" t="n">
        <f aca="false">B91</f>
        <v>7200</v>
      </c>
      <c r="F179" s="22"/>
      <c r="G179" s="22"/>
      <c r="H179" s="32"/>
      <c r="J179" s="178" t="str">
        <f aca="false">K29</f>
        <v>12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12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12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0</v>
      </c>
      <c r="B182" s="102" t="n">
        <f aca="false">H146</f>
        <v>0</v>
      </c>
      <c r="C182" s="185"/>
      <c r="D182" s="22"/>
      <c r="E182" s="181" t="n">
        <f aca="false">H148+H149</f>
        <v>0</v>
      </c>
      <c r="F182" s="22"/>
      <c r="G182" s="22"/>
      <c r="H182" s="32"/>
      <c r="J182" s="184" t="e">
        <f aca="false">Q150-Q146-Q148-Q149</f>
        <v>#VALUE!</v>
      </c>
      <c r="K182" s="37" t="e">
        <f aca="false">Q146</f>
        <v>#VALUE!</v>
      </c>
      <c r="L182" s="42"/>
      <c r="M182" s="22"/>
      <c r="N182" s="183" t="n">
        <f aca="false">Q148+Q149</f>
        <v>55</v>
      </c>
      <c r="O182" s="22"/>
      <c r="P182" s="22"/>
      <c r="Q182" s="32"/>
      <c r="S182" s="184" t="e">
        <f aca="false">Z150-Z146-Z148-Z149</f>
        <v>#VALUE!</v>
      </c>
      <c r="T182" s="37" t="e">
        <f aca="false">Z146</f>
        <v>#VALUE!</v>
      </c>
      <c r="U182" s="42"/>
      <c r="V182" s="22"/>
      <c r="W182" s="183" t="n">
        <f aca="false">Z148+Z149</f>
        <v>55</v>
      </c>
      <c r="X182" s="22"/>
      <c r="Y182" s="22"/>
      <c r="Z182" s="32"/>
      <c r="AB182" s="184" t="e">
        <f aca="false">AI150-AI146-AI148-AI149</f>
        <v>#VALUE!</v>
      </c>
      <c r="AC182" s="37" t="e">
        <f aca="false">AI146</f>
        <v>#VALUE!</v>
      </c>
      <c r="AD182" s="42"/>
      <c r="AE182" s="22"/>
      <c r="AF182" s="183" t="n">
        <f aca="false">AI148+AI149</f>
        <v>55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0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e">
        <f aca="false">Q150</f>
        <v>#VALUE!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e">
        <f aca="false">Z150</f>
        <v>#VALUE!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e">
        <f aca="false">AI150</f>
        <v>#VALUE!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0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e">
        <f aca="false">J185-J188-K188</f>
        <v>#VALUE!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e">
        <f aca="false">S185-S188-T188</f>
        <v>#VALUE!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e">
        <f aca="false">AB185-AB188-AC188</f>
        <v>#VALUE!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20226.7521092442</v>
      </c>
      <c r="B191" s="102" t="str">
        <f aca="false">B123</f>
        <v>239.99</v>
      </c>
      <c r="C191" s="102"/>
      <c r="D191" s="22"/>
      <c r="E191" s="102" t="n">
        <f aca="false">E188+A191+B191+A194</f>
        <v>20476.7421092442</v>
      </c>
      <c r="F191" s="22"/>
      <c r="G191" s="22"/>
      <c r="H191" s="104"/>
      <c r="J191" s="110" t="e">
        <f aca="false">(J176*K68)+N194-N188-J194</f>
        <v>#VALUE!</v>
      </c>
      <c r="K191" s="37" t="n">
        <f aca="false">K123</f>
        <v>239.99</v>
      </c>
      <c r="L191" s="37"/>
      <c r="M191" s="22"/>
      <c r="N191" s="37" t="e">
        <f aca="false">N188+J191+K191+J194</f>
        <v>#VALUE!</v>
      </c>
      <c r="O191" s="22"/>
      <c r="P191" s="22"/>
      <c r="Q191" s="104"/>
      <c r="S191" s="110" t="e">
        <f aca="false">(S176*T68)+W194-W188-S194</f>
        <v>#VALUE!</v>
      </c>
      <c r="T191" s="37" t="n">
        <f aca="false">T123</f>
        <v>199.99</v>
      </c>
      <c r="U191" s="37"/>
      <c r="V191" s="22"/>
      <c r="W191" s="37" t="e">
        <f aca="false">W188+S191+T191+S194</f>
        <v>#VALUE!</v>
      </c>
      <c r="X191" s="22"/>
      <c r="Y191" s="22"/>
      <c r="Z191" s="104"/>
      <c r="AB191" s="110" t="e">
        <f aca="false">(AB176*AC68)+AF194-AF188-AB194</f>
        <v>#VALUE!</v>
      </c>
      <c r="AC191" s="37" t="n">
        <f aca="false">AC123</f>
        <v>239.99</v>
      </c>
      <c r="AD191" s="37"/>
      <c r="AE191" s="22"/>
      <c r="AF191" s="37" t="e">
        <f aca="false">AF188+AB191+AC191+AB194</f>
        <v>#VALUE!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</f>
        <v>239.99</v>
      </c>
      <c r="C194" s="102"/>
      <c r="D194" s="22"/>
      <c r="E194" s="102" t="n">
        <f aca="false">IF( E179=0 , A194+E176, E179+A194)</f>
        <v>7210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J18*0.000002*100*1.2</f>
        <v>9.72624</v>
      </c>
      <c r="B197" s="102" t="n">
        <f aca="false">(G167*B76)/1.2</f>
        <v>0</v>
      </c>
      <c r="C197" s="92"/>
      <c r="D197" s="92"/>
      <c r="E197" s="102" t="n">
        <f aca="false">IF(E114="YES",(K55*A117*0.1),0)</f>
        <v>0</v>
      </c>
      <c r="F197" s="22"/>
      <c r="G197" s="22"/>
      <c r="H197" s="32"/>
      <c r="J197" s="110" t="n">
        <f aca="false">IF(N114="YES",H15*0.000002,0)</f>
        <v>0</v>
      </c>
      <c r="K197" s="37" t="e">
        <f aca="false">(P167*K76)/1.2</f>
        <v>#VALUE!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e">
        <f aca="false">(Y167*T76)/1.2</f>
        <v>#VALUE!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e">
        <f aca="false">(AH167*AC76)/1.2</f>
        <v>#VALUE!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(B191/1.2)-100</f>
        <v>99.9916666666667</v>
      </c>
      <c r="B200" s="102" t="n">
        <f aca="false">B197+E197+A200</f>
        <v>99.9916666666667</v>
      </c>
      <c r="C200" s="92"/>
      <c r="D200" s="92"/>
      <c r="E200" s="102" t="n">
        <f aca="false">H157</f>
        <v>-16333.33</v>
      </c>
      <c r="F200" s="22"/>
      <c r="G200" s="22"/>
      <c r="H200" s="32"/>
      <c r="J200" s="110" t="n">
        <f aca="false">K194-100</f>
        <v>1139.99</v>
      </c>
      <c r="K200" s="37" t="e">
        <f aca="false">K197+N197+J200</f>
        <v>#VALUE!</v>
      </c>
      <c r="L200" s="31"/>
      <c r="M200" s="31"/>
      <c r="N200" s="37" t="e">
        <f aca="false">Q157</f>
        <v>#VALUE!</v>
      </c>
      <c r="O200" s="22"/>
      <c r="P200" s="22"/>
      <c r="Q200" s="32"/>
      <c r="S200" s="110" t="n">
        <f aca="false">T194-100</f>
        <v>1099.99</v>
      </c>
      <c r="T200" s="37" t="e">
        <f aca="false">T197+W197+S200</f>
        <v>#VALUE!</v>
      </c>
      <c r="U200" s="31"/>
      <c r="V200" s="31"/>
      <c r="W200" s="37" t="e">
        <f aca="false">Z157</f>
        <v>#VALUE!</v>
      </c>
      <c r="X200" s="31"/>
      <c r="Y200" s="31"/>
      <c r="Z200" s="32"/>
      <c r="AB200" s="110" t="n">
        <f aca="false">AC194-100</f>
        <v>1139.99</v>
      </c>
      <c r="AC200" s="37" t="e">
        <f aca="false">AC197+AF197+AB200</f>
        <v>#VALUE!</v>
      </c>
      <c r="AD200" s="31"/>
      <c r="AE200" s="31"/>
      <c r="AF200" s="37" t="e">
        <f aca="false">AI157</f>
        <v>#VALUE!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12</v>
      </c>
      <c r="B206" s="73" t="n">
        <f aca="false">B105</f>
        <v>1269.34110084038</v>
      </c>
      <c r="C206" s="73"/>
      <c r="D206" s="73"/>
      <c r="E206" s="22"/>
      <c r="F206" s="22"/>
      <c r="G206" s="22"/>
      <c r="H206" s="32"/>
      <c r="J206" s="72" t="str">
        <f aca="false">K29</f>
        <v>12</v>
      </c>
      <c r="K206" s="73" t="e">
        <f aca="false">K105</f>
        <v>#VALUE!</v>
      </c>
      <c r="L206" s="73"/>
      <c r="M206" s="73"/>
      <c r="N206" s="22"/>
      <c r="O206" s="22"/>
      <c r="P206" s="22"/>
      <c r="Q206" s="32"/>
      <c r="S206" s="72" t="str">
        <f aca="false">K29</f>
        <v>12</v>
      </c>
      <c r="T206" s="73" t="e">
        <f aca="false">T105</f>
        <v>#VALUE!</v>
      </c>
      <c r="U206" s="73"/>
      <c r="V206" s="73"/>
      <c r="W206" s="22"/>
      <c r="X206" s="22"/>
      <c r="Y206" s="22"/>
      <c r="Z206" s="32"/>
      <c r="AB206" s="72" t="str">
        <f aca="false">K29</f>
        <v>12</v>
      </c>
      <c r="AC206" s="73" t="e">
        <f aca="false">AC105</f>
        <v>#VALUE!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19440.58</v>
      </c>
      <c r="B210" s="185" t="n">
        <f aca="false">E188+A210+B191+A194</f>
        <v>19690.57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12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1184.25019174947</v>
      </c>
      <c r="B221" s="176" t="n">
        <f aca="false">B176</f>
        <v>85.0909090909091</v>
      </c>
      <c r="C221" s="173"/>
      <c r="D221" s="173"/>
      <c r="E221" s="176" t="n">
        <f aca="false">E176</f>
        <v>1269.34110084038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0</v>
      </c>
      <c r="B224" s="102" t="n">
        <f aca="false">B182</f>
        <v>0</v>
      </c>
      <c r="C224" s="185"/>
      <c r="D224" s="112"/>
      <c r="E224" s="181" t="n">
        <f aca="false">E182</f>
        <v>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0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0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20226.7521092442</v>
      </c>
      <c r="B233" s="102" t="str">
        <f aca="false">B191</f>
        <v>239.99</v>
      </c>
      <c r="C233" s="102"/>
      <c r="D233" s="112"/>
      <c r="E233" s="102" t="n">
        <f aca="false">E191</f>
        <v>20476.7421092442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239.99</v>
      </c>
      <c r="C236" s="102"/>
      <c r="D236" s="112"/>
      <c r="E236" s="102" t="n">
        <f aca="false">B68</f>
        <v>11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1184.25019174947</v>
      </c>
      <c r="B239" s="102" t="n">
        <f aca="false">B176</f>
        <v>85.0909090909091</v>
      </c>
      <c r="C239" s="185"/>
      <c r="D239" s="185"/>
      <c r="E239" s="102" t="n">
        <f aca="false">E176</f>
        <v>1269.34110084038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7200</v>
      </c>
      <c r="B242" s="102" t="n">
        <f aca="false">E194</f>
        <v>7210</v>
      </c>
      <c r="C242" s="92"/>
      <c r="D242" s="92"/>
      <c r="E242" s="102" t="n">
        <f aca="false">J18*0.000006*100*1.2</f>
        <v>29.17872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9.72624</v>
      </c>
      <c r="B245" s="102" t="n">
        <f aca="false">E242+A245</f>
        <v>38.90496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-16333.33</v>
      </c>
      <c r="B249" s="102" t="n">
        <f aca="false">B197</f>
        <v>0</v>
      </c>
      <c r="C249" s="92"/>
      <c r="D249" s="92"/>
      <c r="E249" s="102" t="n">
        <f aca="false">E197</f>
        <v>0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99.9916666666667</v>
      </c>
      <c r="B252" s="102" t="n">
        <f aca="false">B249+E249+A252+A249</f>
        <v>-16233.3383333333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0.1255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8" t="n">
        <f aca="false">(E191-B191)-(B210-B191-A194)</f>
        <v>796.172109244173</v>
      </c>
      <c r="C263" s="196"/>
      <c r="D263" s="197" t="s">
        <v>217</v>
      </c>
      <c r="E263" s="197"/>
      <c r="F263" s="199" t="n">
        <f aca="false">F270+F276+F278+B279+B280</f>
        <v>0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99.9916666666667</v>
      </c>
      <c r="C264" s="196"/>
      <c r="D264" s="197" t="s">
        <v>219</v>
      </c>
      <c r="E264" s="197"/>
      <c r="F264" s="199" t="n">
        <f aca="false">(B263-F263)+B264</f>
        <v>896.16377591084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0.1255</v>
      </c>
      <c r="C269" s="42"/>
      <c r="D269" s="165" t="s">
        <v>216</v>
      </c>
      <c r="E269" s="165"/>
      <c r="F269" s="145" t="n">
        <f aca="false">(B98*B68)-(C98*B68)</f>
        <v>13026.7521092442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0.005</v>
      </c>
      <c r="C270" s="31"/>
      <c r="D270" s="165" t="s">
        <v>222</v>
      </c>
      <c r="E270" s="165"/>
      <c r="F270" s="150" t="n">
        <f aca="false">B77</f>
        <v>0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0.3</v>
      </c>
      <c r="C271" s="31"/>
      <c r="D271" s="165" t="s">
        <v>223</v>
      </c>
      <c r="E271" s="165"/>
      <c r="F271" s="145" t="n">
        <f aca="false">E249*10</f>
        <v>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99.9916666666667</v>
      </c>
      <c r="C272" s="31"/>
      <c r="D272" s="38" t="s">
        <v>219</v>
      </c>
      <c r="E272" s="38"/>
      <c r="F272" s="145" t="n">
        <f aca="false">(B263-F263)+B264</f>
        <v>896.16377591084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A191" activeCellId="0" sqref="A191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4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16708.33</v>
      </c>
      <c r="C2" s="4" t="s">
        <v>2</v>
      </c>
      <c r="D2" s="5" t="n">
        <f aca="false">C9</f>
        <v>3341.666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20049.996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 t="s">
        <v>4</v>
      </c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16708.33</v>
      </c>
      <c r="C9" s="9" t="n">
        <f aca="false">B9*0.2</f>
        <v>3341.666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16708.33</v>
      </c>
      <c r="C15" s="9" t="n">
        <f aca="false">SUM(C9:C13)</f>
        <v>3341.666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20049.996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16708.33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12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n">
        <f aca="false">A46</f>
        <v>0</v>
      </c>
      <c r="M32" s="43" t="s">
        <v>37</v>
      </c>
      <c r="N32" s="44" t="s">
        <v>38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  <c r="M33" s="43"/>
      <c r="N33" s="12"/>
    </row>
    <row r="34" customFormat="false" ht="19.5" hidden="false" customHeight="false" outlineLevel="0" collapsed="false">
      <c r="A34" s="39" t="s">
        <v>42</v>
      </c>
      <c r="B34" s="31"/>
      <c r="C34" s="40" t="s">
        <v>43</v>
      </c>
      <c r="D34" s="40"/>
      <c r="E34" s="31"/>
      <c r="F34" s="40" t="n">
        <f aca="false">(A34/12)*C34</f>
        <v>5000</v>
      </c>
      <c r="G34" s="40"/>
      <c r="H34" s="46"/>
      <c r="I34" s="2"/>
      <c r="J34" s="2"/>
      <c r="K34" s="2"/>
      <c r="M34" s="43" t="s">
        <v>44</v>
      </c>
      <c r="N34" s="48" t="s">
        <v>45</v>
      </c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50" t="n">
        <v>0.065</v>
      </c>
      <c r="M35" s="43"/>
      <c r="N35" s="12" t="n">
        <v>0.065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11</v>
      </c>
      <c r="M36" s="43" t="s">
        <v>51</v>
      </c>
      <c r="N36" s="51" t="n">
        <f aca="false">N32-N34</f>
        <v>22125</v>
      </c>
    </row>
    <row r="37" customFormat="false" ht="19.5" hidden="false" customHeight="false" outlineLevel="0" collapsed="false">
      <c r="A37" s="35" t="n">
        <f aca="false">E19</f>
        <v>20049.996</v>
      </c>
      <c r="B37" s="31"/>
      <c r="C37" s="40" t="s">
        <v>45</v>
      </c>
      <c r="D37" s="40"/>
      <c r="E37" s="31"/>
      <c r="F37" s="42" t="n">
        <f aca="false">A37-C37</f>
        <v>19049.996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42</v>
      </c>
      <c r="B40" s="31"/>
      <c r="C40" s="53" t="n">
        <f aca="false">A34-1</f>
        <v>11</v>
      </c>
      <c r="D40" s="53"/>
      <c r="E40" s="31"/>
      <c r="F40" s="40" t="s">
        <v>57</v>
      </c>
      <c r="G40" s="40"/>
      <c r="H40" s="46"/>
      <c r="J40" s="2" t="s">
        <v>58</v>
      </c>
      <c r="K40" s="2" t="n">
        <f aca="false">C15</f>
        <v>3341.666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n">
        <f aca="false">IF(F43="Yes",A46,0)</f>
        <v>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</v>
      </c>
      <c r="B43" s="31"/>
      <c r="C43" s="40" t="n">
        <v>20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12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195.138833333333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304.861166666667</v>
      </c>
      <c r="L45" s="2"/>
    </row>
    <row r="46" customFormat="false" ht="19.5" hidden="false" customHeight="false" outlineLevel="0" collapsed="false">
      <c r="A46" s="39" t="n">
        <v>0</v>
      </c>
      <c r="B46" s="31"/>
      <c r="C46" s="40" t="n">
        <v>1</v>
      </c>
      <c r="D46" s="40"/>
      <c r="E46" s="31"/>
      <c r="F46" s="40" t="n">
        <v>1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1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1.66666666666667</v>
      </c>
      <c r="L48" s="2"/>
    </row>
    <row r="49" customFormat="false" ht="18.75" hidden="false" customHeight="false" outlineLevel="0" collapsed="false">
      <c r="A49" s="35" t="n">
        <f aca="false">C46+F46</f>
        <v>2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307.527833333333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307.527833333333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234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12</v>
      </c>
      <c r="B60" s="73" t="n">
        <f aca="false">K49</f>
        <v>307.527833333333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 t="s">
        <v>4</v>
      </c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 t="s">
        <v>4</v>
      </c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 t="s">
        <v>4</v>
      </c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 t="s">
        <v>4</v>
      </c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11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11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11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11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40526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40526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40526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40526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0.0105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13493.4791408569</v>
      </c>
      <c r="C74" s="31"/>
      <c r="D74" s="31"/>
      <c r="E74" s="22"/>
      <c r="F74" s="22"/>
      <c r="G74" s="22"/>
      <c r="H74" s="32"/>
      <c r="J74" s="55" t="s">
        <v>91</v>
      </c>
      <c r="K74" s="64" t="e">
        <f aca="false">(K98*K68)-(K47*K29)</f>
        <v>#VALUE!</v>
      </c>
      <c r="L74" s="31"/>
      <c r="M74" s="31"/>
      <c r="N74" s="22"/>
      <c r="O74" s="22"/>
      <c r="P74" s="22"/>
      <c r="Q74" s="32"/>
      <c r="S74" s="55" t="s">
        <v>91</v>
      </c>
      <c r="T74" s="64" t="e">
        <f aca="false">(T98*T68)-(K47*K29)</f>
        <v>#VALUE!</v>
      </c>
      <c r="U74" s="31"/>
      <c r="V74" s="31"/>
      <c r="W74" s="22"/>
      <c r="X74" s="22"/>
      <c r="Y74" s="22"/>
      <c r="Z74" s="32"/>
      <c r="AB74" s="55" t="s">
        <v>91</v>
      </c>
      <c r="AC74" s="64" t="e">
        <f aca="false">(AC98*AC68)-(K47*K29)</f>
        <v>#VALUE!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112.5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2026.3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202.63</v>
      </c>
      <c r="U77" s="31"/>
      <c r="V77" s="31"/>
      <c r="W77" s="22"/>
      <c r="X77" s="22"/>
      <c r="Y77" s="22"/>
      <c r="Z77" s="32"/>
      <c r="AB77" s="55" t="s">
        <v>94</v>
      </c>
      <c r="AC77" s="64" t="e">
        <f aca="false">AH167*AC76</f>
        <v>#VALUE!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307.527833333333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1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307.527833333333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307.527833333333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19049.996</v>
      </c>
      <c r="C90" s="31"/>
      <c r="D90" s="31"/>
      <c r="E90" s="22"/>
      <c r="F90" s="24" t="s">
        <v>106</v>
      </c>
      <c r="G90" s="26" t="n">
        <f aca="false">F37</f>
        <v>19049.996</v>
      </c>
      <c r="H90" s="32"/>
      <c r="J90" s="24" t="s">
        <v>106</v>
      </c>
      <c r="K90" s="26" t="e">
        <f aca="false">P167</f>
        <v>#VALUE!</v>
      </c>
      <c r="L90" s="31"/>
      <c r="M90" s="31"/>
      <c r="N90" s="22"/>
      <c r="O90" s="22"/>
      <c r="P90" s="22"/>
      <c r="Q90" s="32"/>
      <c r="S90" s="24" t="s">
        <v>106</v>
      </c>
      <c r="T90" s="26" t="e">
        <f aca="false">Y167</f>
        <v>#VALUE!</v>
      </c>
      <c r="U90" s="31"/>
      <c r="V90" s="31"/>
      <c r="W90" s="22"/>
      <c r="X90" s="22"/>
      <c r="Y90" s="22"/>
      <c r="Z90" s="32"/>
      <c r="AB90" s="24" t="s">
        <v>106</v>
      </c>
      <c r="AC90" s="26" t="e">
        <f aca="false">AH167</f>
        <v>#VALUE!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IF(A111="YES",A43,0)*1.2</f>
        <v>7200</v>
      </c>
      <c r="C91" s="31"/>
      <c r="D91" s="31"/>
      <c r="E91" s="22"/>
      <c r="F91" s="30" t="s">
        <v>107</v>
      </c>
      <c r="G91" s="32" t="n">
        <f aca="false">IF(A111="YES",A43,0)*1.2</f>
        <v>7200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0.1255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0.0104583333333333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11</v>
      </c>
      <c r="C94" s="31"/>
      <c r="D94" s="31"/>
      <c r="E94" s="22"/>
      <c r="F94" s="30" t="s">
        <v>110</v>
      </c>
      <c r="G94" s="32" t="n">
        <f aca="false">IF(G91=0,(B68+B67),(B68))</f>
        <v>11</v>
      </c>
      <c r="H94" s="32"/>
      <c r="J94" s="30" t="s">
        <v>110</v>
      </c>
      <c r="K94" s="32" t="n">
        <f aca="false">IF(K91=0,(K68+K67),(K68))</f>
        <v>12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11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11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6354.94179987962</v>
      </c>
      <c r="C95" s="31"/>
      <c r="D95" s="31"/>
      <c r="E95" s="22"/>
      <c r="F95" s="30" t="s">
        <v>111</v>
      </c>
      <c r="G95" s="32" t="n">
        <f aca="false">(G91/((1+G93)^(G94+1)))</f>
        <v>6748.06930144099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10.6125560515631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10.6125560515631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10.3399216528992</v>
      </c>
      <c r="C96" s="31"/>
      <c r="D96" s="31"/>
      <c r="E96" s="22"/>
      <c r="F96" s="30" t="s">
        <v>112</v>
      </c>
      <c r="G96" s="32" t="n">
        <f aca="false">((1-(1/((1+G93)^G94)))/G93)</f>
        <v>10.6507347822959</v>
      </c>
      <c r="H96" s="32"/>
      <c r="J96" s="30" t="s">
        <v>112</v>
      </c>
      <c r="K96" s="32" t="n">
        <f aca="false">((1-(1/((1+K93)^K94)))/K93)</f>
        <v>10.5753412209172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10.3499842839909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10.3499842839909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12695.0542001204</v>
      </c>
      <c r="C97" s="31"/>
      <c r="D97" s="31"/>
      <c r="E97" s="22"/>
      <c r="F97" s="30" t="s">
        <v>113</v>
      </c>
      <c r="G97" s="32" t="n">
        <f aca="false">G90-G95</f>
        <v>12301.926698559</v>
      </c>
      <c r="H97" s="32"/>
      <c r="J97" s="30" t="s">
        <v>113</v>
      </c>
      <c r="K97" s="32" t="e">
        <f aca="false">K90-K95</f>
        <v>#VALUE!</v>
      </c>
      <c r="L97" s="31"/>
      <c r="M97" s="31"/>
      <c r="N97" s="22"/>
      <c r="O97" s="22"/>
      <c r="P97" s="22"/>
      <c r="Q97" s="32"/>
      <c r="S97" s="30" t="s">
        <v>113</v>
      </c>
      <c r="T97" s="32" t="e">
        <f aca="false">T90-T95</f>
        <v>#VALUE!</v>
      </c>
      <c r="U97" s="31"/>
      <c r="V97" s="31"/>
      <c r="W97" s="22"/>
      <c r="X97" s="22"/>
      <c r="Y97" s="22"/>
      <c r="Z97" s="32"/>
      <c r="AB97" s="30" t="s">
        <v>113</v>
      </c>
      <c r="AC97" s="32" t="e">
        <f aca="false">AC90-AC95</f>
        <v>#VALUE!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1227.77083098699</v>
      </c>
      <c r="C98" s="31"/>
      <c r="D98" s="31"/>
      <c r="E98" s="22"/>
      <c r="F98" s="30" t="s">
        <v>114</v>
      </c>
      <c r="G98" s="32" t="n">
        <f aca="false">(G97/G96)</f>
        <v>1155.03079834528</v>
      </c>
      <c r="H98" s="32"/>
      <c r="J98" s="30" t="s">
        <v>114</v>
      </c>
      <c r="K98" s="32" t="e">
        <f aca="false">(K97/K96)</f>
        <v>#VALUE!</v>
      </c>
      <c r="L98" s="31"/>
      <c r="M98" s="31"/>
      <c r="N98" s="22"/>
      <c r="O98" s="22"/>
      <c r="P98" s="22"/>
      <c r="Q98" s="32"/>
      <c r="S98" s="30" t="s">
        <v>114</v>
      </c>
      <c r="T98" s="32" t="e">
        <f aca="false">(T97/T96)</f>
        <v>#VALUE!</v>
      </c>
      <c r="U98" s="31"/>
      <c r="V98" s="31"/>
      <c r="W98" s="22"/>
      <c r="X98" s="22"/>
      <c r="Y98" s="22"/>
      <c r="Z98" s="32"/>
      <c r="AB98" s="30" t="s">
        <v>114</v>
      </c>
      <c r="AC98" s="32" t="e">
        <f aca="false">(AC97/AC96)</f>
        <v>#VALUE!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13505.4791408569</v>
      </c>
      <c r="C99" s="31"/>
      <c r="D99" s="31"/>
      <c r="E99" s="22"/>
      <c r="F99" s="30" t="s">
        <v>115</v>
      </c>
      <c r="G99" s="32" t="n">
        <f aca="false">((G98*(G94))+G86)</f>
        <v>12705.338781798</v>
      </c>
      <c r="H99" s="32"/>
      <c r="J99" s="30" t="s">
        <v>115</v>
      </c>
      <c r="K99" s="32" t="e">
        <f aca="false">((K98*(K94))+K86)</f>
        <v>#VALUE!</v>
      </c>
      <c r="L99" s="31"/>
      <c r="M99" s="31"/>
      <c r="N99" s="22"/>
      <c r="O99" s="22"/>
      <c r="P99" s="22"/>
      <c r="Q99" s="32"/>
      <c r="S99" s="30" t="s">
        <v>115</v>
      </c>
      <c r="T99" s="32" t="e">
        <f aca="false">(T98*(T94))+T86</f>
        <v>#VALUE!</v>
      </c>
      <c r="U99" s="31"/>
      <c r="V99" s="31"/>
      <c r="W99" s="22"/>
      <c r="X99" s="22"/>
      <c r="Y99" s="22"/>
      <c r="Z99" s="32"/>
      <c r="AB99" s="30" t="s">
        <v>115</v>
      </c>
      <c r="AC99" s="32" t="e">
        <f aca="false">(AC98*(AC68))+AC86</f>
        <v>#VALUE!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e">
        <f aca="false">(K99/(1-K80))*K80</f>
        <v>#VALUE!</v>
      </c>
      <c r="L100" s="31"/>
      <c r="M100" s="31"/>
      <c r="N100" s="22"/>
      <c r="O100" s="22"/>
      <c r="P100" s="22"/>
      <c r="Q100" s="32"/>
      <c r="S100" s="30" t="s">
        <v>116</v>
      </c>
      <c r="T100" s="32" t="e">
        <f aca="false">(T99/(1-T80))*T80</f>
        <v>#VALUE!</v>
      </c>
      <c r="U100" s="31"/>
      <c r="V100" s="31"/>
      <c r="W100" s="22"/>
      <c r="X100" s="22"/>
      <c r="Y100" s="22"/>
      <c r="Z100" s="32"/>
      <c r="AB100" s="30" t="s">
        <v>116</v>
      </c>
      <c r="AC100" s="32" t="e">
        <f aca="false">(AC99/(1-AC80))*AC80</f>
        <v>#VALUE!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13505.4791408569</v>
      </c>
      <c r="C101" s="31"/>
      <c r="D101" s="31"/>
      <c r="E101" s="22"/>
      <c r="F101" s="55" t="s">
        <v>117</v>
      </c>
      <c r="G101" s="64" t="n">
        <f aca="false">(G99+G100)</f>
        <v>12705.338781798</v>
      </c>
      <c r="H101" s="32"/>
      <c r="J101" s="55" t="s">
        <v>117</v>
      </c>
      <c r="K101" s="64" t="e">
        <f aca="false">(K99+K100)</f>
        <v>#VALUE!</v>
      </c>
      <c r="L101" s="31"/>
      <c r="M101" s="31"/>
      <c r="N101" s="22"/>
      <c r="O101" s="22"/>
      <c r="P101" s="22"/>
      <c r="Q101" s="32"/>
      <c r="S101" s="55" t="s">
        <v>117</v>
      </c>
      <c r="T101" s="64" t="e">
        <f aca="false">(T99+T100)</f>
        <v>#VALUE!</v>
      </c>
      <c r="U101" s="31"/>
      <c r="V101" s="31"/>
      <c r="W101" s="22"/>
      <c r="X101" s="22"/>
      <c r="Y101" s="22"/>
      <c r="Z101" s="32"/>
      <c r="AB101" s="55" t="s">
        <v>117</v>
      </c>
      <c r="AC101" s="64" t="e">
        <f aca="false">(AC99+AC100)</f>
        <v>#VALUE!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</f>
        <v>0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1227.77083098699</v>
      </c>
      <c r="C104" s="31"/>
      <c r="D104" s="31"/>
      <c r="E104" s="22"/>
      <c r="F104" s="94" t="s">
        <v>119</v>
      </c>
      <c r="G104" s="95" t="n">
        <f aca="false">G101/(G94)</f>
        <v>1155.03079834528</v>
      </c>
      <c r="H104" s="32"/>
      <c r="J104" s="94" t="s">
        <v>119</v>
      </c>
      <c r="K104" s="95" t="e">
        <f aca="false">K101/(K94)</f>
        <v>#VALUE!</v>
      </c>
      <c r="L104" s="31"/>
      <c r="M104" s="31"/>
      <c r="N104" s="22"/>
      <c r="O104" s="22"/>
      <c r="P104" s="22"/>
      <c r="Q104" s="32"/>
      <c r="S104" s="94" t="s">
        <v>119</v>
      </c>
      <c r="T104" s="95" t="e">
        <f aca="false">T101/(T94)</f>
        <v>#VALUE!</v>
      </c>
      <c r="U104" s="31"/>
      <c r="V104" s="31"/>
      <c r="W104" s="22"/>
      <c r="X104" s="22"/>
      <c r="Y104" s="22"/>
      <c r="Z104" s="32"/>
      <c r="AB104" s="94" t="s">
        <v>119</v>
      </c>
      <c r="AC104" s="95" t="e">
        <f aca="false">AC101/(AC68)</f>
        <v>#VALUE!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1227.77083098699</v>
      </c>
      <c r="C105" s="31"/>
      <c r="D105" s="31"/>
      <c r="E105" s="22" t="s">
        <v>18</v>
      </c>
      <c r="F105" s="96" t="s">
        <v>120</v>
      </c>
      <c r="G105" s="97" t="n">
        <f aca="false">G103+G104</f>
        <v>1155.03079834528</v>
      </c>
      <c r="H105" s="32"/>
      <c r="J105" s="96" t="s">
        <v>120</v>
      </c>
      <c r="K105" s="97" t="e">
        <f aca="false">(K103+K104)</f>
        <v>#VALUE!</v>
      </c>
      <c r="L105" s="31"/>
      <c r="M105" s="31"/>
      <c r="N105" s="22"/>
      <c r="O105" s="22"/>
      <c r="P105" s="22"/>
      <c r="Q105" s="32"/>
      <c r="S105" s="96" t="s">
        <v>120</v>
      </c>
      <c r="T105" s="97" t="e">
        <f aca="false">T103+T104</f>
        <v>#VALUE!</v>
      </c>
      <c r="U105" s="31"/>
      <c r="V105" s="31"/>
      <c r="W105" s="22"/>
      <c r="X105" s="22"/>
      <c r="Y105" s="22"/>
      <c r="Z105" s="32"/>
      <c r="AB105" s="96" t="s">
        <v>120</v>
      </c>
      <c r="AC105" s="97" t="e">
        <f aca="false">AC103+AC104</f>
        <v>#VALUE!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n">
        <v>0</v>
      </c>
      <c r="C108" s="22"/>
      <c r="D108" s="22" t="n">
        <v>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 t="s">
        <v>235</v>
      </c>
      <c r="C114" s="102"/>
      <c r="D114" s="102"/>
      <c r="E114" s="103" t="s">
        <v>19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0.2</v>
      </c>
      <c r="B117" s="106" t="s">
        <v>133</v>
      </c>
      <c r="C117" s="106"/>
      <c r="D117" s="106"/>
      <c r="E117" s="107" t="n">
        <f aca="false">B92</f>
        <v>0.1255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 t="s">
        <v>4</v>
      </c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235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112"/>
      <c r="C127" s="112"/>
      <c r="D127" s="112"/>
      <c r="E127" s="112"/>
      <c r="F127" s="112"/>
      <c r="G127" s="11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119" t="n">
        <f aca="false">E19</f>
        <v>20049.996</v>
      </c>
      <c r="C130" s="120" t="n">
        <v>18750</v>
      </c>
      <c r="D130" s="119" t="n">
        <f aca="false">D12</f>
        <v>0</v>
      </c>
      <c r="E130" s="120" t="n">
        <f aca="false">D130</f>
        <v>0</v>
      </c>
      <c r="F130" s="119" t="n">
        <v>0</v>
      </c>
      <c r="G130" s="120" t="n">
        <f aca="false">F130</f>
        <v>0</v>
      </c>
      <c r="H130" s="121" t="n">
        <f aca="false">H12</f>
        <v>0</v>
      </c>
      <c r="J130" s="24" t="s">
        <v>150</v>
      </c>
      <c r="K130" s="24" t="n">
        <f aca="false">B3</f>
        <v>0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str">
        <f aca="false">F3</f>
        <v> </v>
      </c>
      <c r="P130" s="39" t="str">
        <f aca="false">O130</f>
        <v> </v>
      </c>
      <c r="Q130" s="121" t="n">
        <f aca="false">H3</f>
        <v>0</v>
      </c>
      <c r="S130" s="24" t="s">
        <v>150</v>
      </c>
      <c r="T130" s="24" t="n">
        <f aca="false">B3</f>
        <v>0</v>
      </c>
      <c r="U130" s="39" t="n">
        <f aca="false">T130</f>
        <v>0</v>
      </c>
      <c r="V130" s="24" t="n">
        <f aca="false">D3</f>
        <v>0</v>
      </c>
      <c r="W130" s="39" t="n">
        <f aca="false">V130</f>
        <v>0</v>
      </c>
      <c r="X130" s="24" t="str">
        <f aca="false">F3</f>
        <v> </v>
      </c>
      <c r="Y130" s="39" t="str">
        <f aca="false">X130</f>
        <v> </v>
      </c>
      <c r="Z130" s="121" t="n">
        <f aca="false">H3</f>
        <v>0</v>
      </c>
      <c r="AB130" s="24" t="s">
        <v>150</v>
      </c>
      <c r="AC130" s="24" t="n">
        <f aca="false">B3</f>
        <v>0</v>
      </c>
      <c r="AD130" s="39" t="n">
        <f aca="false">AC130</f>
        <v>0</v>
      </c>
      <c r="AE130" s="24" t="n">
        <f aca="false">D3</f>
        <v>0</v>
      </c>
      <c r="AF130" s="39" t="n">
        <f aca="false">AE130</f>
        <v>0</v>
      </c>
      <c r="AG130" s="24" t="str">
        <f aca="false">F3</f>
        <v> </v>
      </c>
      <c r="AH130" s="39" t="str">
        <f aca="false">AG130</f>
        <v> 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2" t="n">
        <v>0</v>
      </c>
      <c r="C131" s="123" t="n">
        <f aca="false">B131</f>
        <v>0</v>
      </c>
      <c r="D131" s="122" t="n">
        <v>0</v>
      </c>
      <c r="E131" s="123" t="n">
        <f aca="false">D131</f>
        <v>0</v>
      </c>
      <c r="F131" s="122" t="n">
        <v>0</v>
      </c>
      <c r="G131" s="124" t="n">
        <f aca="false">F131</f>
        <v>0</v>
      </c>
      <c r="H131" s="125"/>
      <c r="J131" s="30" t="s">
        <v>151</v>
      </c>
      <c r="K131" s="126" t="n">
        <f aca="false">B4</f>
        <v>20049.996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str">
        <f aca="false">F4</f>
        <v> </v>
      </c>
      <c r="P131" s="127" t="str">
        <f aca="false">O131</f>
        <v> </v>
      </c>
      <c r="Q131" s="128"/>
      <c r="S131" s="30" t="s">
        <v>151</v>
      </c>
      <c r="T131" s="126" t="n">
        <f aca="false">B4</f>
        <v>20049.996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str">
        <f aca="false">F4</f>
        <v> </v>
      </c>
      <c r="Y131" s="127" t="str">
        <f aca="false">X131</f>
        <v> </v>
      </c>
      <c r="Z131" s="128"/>
      <c r="AB131" s="30" t="s">
        <v>151</v>
      </c>
      <c r="AC131" s="126" t="n">
        <f aca="false">B4</f>
        <v>20049.996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str">
        <f aca="false">F4</f>
        <v> </v>
      </c>
      <c r="AH131" s="127" t="str">
        <f aca="false">AG131</f>
        <v> </v>
      </c>
      <c r="AI131" s="128"/>
    </row>
    <row r="132" customFormat="false" ht="19.5" hidden="false" customHeight="false" outlineLevel="0" collapsed="false">
      <c r="A132" s="30" t="s">
        <v>152</v>
      </c>
      <c r="B132" s="129" t="n">
        <v>0</v>
      </c>
      <c r="C132" s="120" t="n">
        <f aca="false">B132</f>
        <v>0</v>
      </c>
      <c r="D132" s="129" t="n">
        <v>0</v>
      </c>
      <c r="E132" s="120" t="n">
        <f aca="false">D132</f>
        <v>0</v>
      </c>
      <c r="F132" s="129" t="n">
        <v>0</v>
      </c>
      <c r="G132" s="120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str">
        <f aca="false">F5</f>
        <v> </v>
      </c>
      <c r="P132" s="39" t="str">
        <f aca="false">O132</f>
        <v> 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str">
        <f aca="false">F5</f>
        <v> </v>
      </c>
      <c r="Y132" s="39" t="str">
        <f aca="false">X132</f>
        <v> 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str">
        <f aca="false">F5</f>
        <v> </v>
      </c>
      <c r="AH132" s="39" t="str">
        <f aca="false">AG132</f>
        <v> </v>
      </c>
      <c r="AI132" s="32"/>
    </row>
    <row r="133" customFormat="false" ht="18.75" hidden="false" customHeight="false" outlineLevel="0" collapsed="false">
      <c r="A133" s="30" t="s">
        <v>153</v>
      </c>
      <c r="B133" s="129" t="n">
        <f aca="false">(B130*B131)+B132</f>
        <v>0</v>
      </c>
      <c r="C133" s="130" t="n">
        <f aca="false">(C130*C131/100)+C132</f>
        <v>0</v>
      </c>
      <c r="D133" s="129" t="n">
        <f aca="false">(D130*D131)+D132</f>
        <v>0</v>
      </c>
      <c r="E133" s="130" t="n">
        <f aca="false">(E130*E131/100)+E132</f>
        <v>0</v>
      </c>
      <c r="F133" s="129" t="n">
        <f aca="false">(F130*F131)+F132</f>
        <v>0</v>
      </c>
      <c r="G133" s="130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e">
        <f aca="false">(O130*O131)+O132</f>
        <v>#VALUE!</v>
      </c>
      <c r="P133" s="26" t="e">
        <f aca="false">(P130*P131)+P132</f>
        <v>#VALUE!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0</v>
      </c>
      <c r="V133" s="30" t="n">
        <f aca="false">(V130*V131)+V132</f>
        <v>0</v>
      </c>
      <c r="W133" s="26" t="n">
        <f aca="false">(W130*W131)+W132</f>
        <v>0</v>
      </c>
      <c r="X133" s="30" t="e">
        <f aca="false">(X130*X131)+X132</f>
        <v>#VALUE!</v>
      </c>
      <c r="Y133" s="26" t="e">
        <f aca="false">(Y130*Y131)+Y132</f>
        <v>#VALUE!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0</v>
      </c>
      <c r="AE133" s="30" t="n">
        <f aca="false">(AE130*AE131)+AE132</f>
        <v>0</v>
      </c>
      <c r="AF133" s="26" t="n">
        <f aca="false">(AF130*AF131)+AF132</f>
        <v>0</v>
      </c>
      <c r="AG133" s="30" t="e">
        <f aca="false">(AG130*AG131)+AG132</f>
        <v>#VALUE!</v>
      </c>
      <c r="AH133" s="26" t="e">
        <f aca="false">(AH130*AH131)+AH132</f>
        <v>#VALUE!</v>
      </c>
      <c r="AI133" s="32"/>
    </row>
    <row r="134" customFormat="false" ht="19.5" hidden="false" customHeight="false" outlineLevel="0" collapsed="false">
      <c r="A134" s="55" t="s">
        <v>154</v>
      </c>
      <c r="B134" s="131" t="n">
        <f aca="false">B130-B133</f>
        <v>20049.996</v>
      </c>
      <c r="C134" s="132" t="n">
        <f aca="false">C130-C133</f>
        <v>18750</v>
      </c>
      <c r="D134" s="131" t="n">
        <f aca="false">D130-D133</f>
        <v>0</v>
      </c>
      <c r="E134" s="132" t="n">
        <f aca="false">E130-E133</f>
        <v>0</v>
      </c>
      <c r="F134" s="131" t="n">
        <f aca="false">F130-F133</f>
        <v>0</v>
      </c>
      <c r="G134" s="132" t="n">
        <f aca="false">G130-G133</f>
        <v>0</v>
      </c>
      <c r="H134" s="64"/>
      <c r="J134" s="55" t="s">
        <v>154</v>
      </c>
      <c r="K134" s="55" t="n">
        <f aca="false">K130-K133</f>
        <v>0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e">
        <f aca="false">O130-O133</f>
        <v>#VALUE!</v>
      </c>
      <c r="P134" s="64" t="e">
        <f aca="false">P130-P133</f>
        <v>#VALUE!</v>
      </c>
      <c r="Q134" s="64"/>
      <c r="S134" s="55" t="s">
        <v>154</v>
      </c>
      <c r="T134" s="55" t="n">
        <f aca="false">T130-T133</f>
        <v>0</v>
      </c>
      <c r="U134" s="64" t="n">
        <f aca="false">U130-U133</f>
        <v>0</v>
      </c>
      <c r="V134" s="55" t="n">
        <f aca="false">V130-V133</f>
        <v>0</v>
      </c>
      <c r="W134" s="64" t="n">
        <f aca="false">W130-W133</f>
        <v>0</v>
      </c>
      <c r="X134" s="55" t="e">
        <f aca="false">X130-X133</f>
        <v>#VALUE!</v>
      </c>
      <c r="Y134" s="64" t="e">
        <f aca="false">Y130-Y133</f>
        <v>#VALUE!</v>
      </c>
      <c r="Z134" s="64"/>
      <c r="AB134" s="55" t="s">
        <v>154</v>
      </c>
      <c r="AC134" s="55" t="n">
        <f aca="false">AC130-AC133</f>
        <v>0</v>
      </c>
      <c r="AD134" s="64" t="n">
        <f aca="false">AD130-AD133</f>
        <v>0</v>
      </c>
      <c r="AE134" s="55" t="n">
        <f aca="false">AE130-AE133</f>
        <v>0</v>
      </c>
      <c r="AF134" s="64" t="n">
        <f aca="false">AF130-AF133</f>
        <v>0</v>
      </c>
      <c r="AG134" s="55" t="e">
        <f aca="false">AG130-AG133</f>
        <v>#VALUE!</v>
      </c>
      <c r="AH134" s="64" t="e">
        <f aca="false">AH130-AH133</f>
        <v>#VALUE!</v>
      </c>
      <c r="AI134" s="64"/>
    </row>
    <row r="135" customFormat="false" ht="18.75" hidden="false" customHeight="false" outlineLevel="0" collapsed="false">
      <c r="A135" s="30"/>
      <c r="B135" s="92"/>
      <c r="C135" s="92"/>
      <c r="D135" s="92"/>
      <c r="E135" s="92"/>
      <c r="F135" s="92"/>
      <c r="G135" s="92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4"/>
      <c r="C136" s="134"/>
      <c r="D136" s="134"/>
      <c r="E136" s="134"/>
      <c r="F136" s="134"/>
      <c r="G136" s="135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92"/>
      <c r="C138" s="92"/>
      <c r="D138" s="92"/>
      <c r="E138" s="92"/>
      <c r="F138" s="92"/>
      <c r="G138" s="143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92"/>
      <c r="C143" s="92"/>
      <c r="D143" s="92"/>
      <c r="E143" s="92"/>
      <c r="F143" s="92"/>
      <c r="G143" s="143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5" t="n">
        <f aca="false">E21</f>
        <v>16708.33</v>
      </c>
      <c r="H144" s="152" t="n">
        <f aca="false">C134+E134+G134+H137</f>
        <v>18750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0</v>
      </c>
      <c r="Q144" s="152" t="e">
        <f aca="false">L134+N134+P134+Q137</f>
        <v>#VALUE!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0</v>
      </c>
      <c r="Z144" s="152" t="e">
        <f aca="false">U134+W134+Y134+Z137</f>
        <v>#VALUE!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0</v>
      </c>
      <c r="AI144" s="152" t="e">
        <f aca="false">AD134+AF134+AH134+AI137</f>
        <v>#VALUE!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4" t="n">
        <f aca="false">H19</f>
        <v>0</v>
      </c>
      <c r="H145" s="32" t="n">
        <f aca="false">G145</f>
        <v>0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0</v>
      </c>
      <c r="Q145" s="32" t="n">
        <f aca="false">P145</f>
        <v>0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0</v>
      </c>
      <c r="Z145" s="32" t="n">
        <f aca="false">Y145</f>
        <v>0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0</v>
      </c>
      <c r="AI145" s="32" t="n">
        <f aca="false">AH145</f>
        <v>0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32" t="n">
        <f aca="false">(G144+G145)*20%</f>
        <v>3341.666</v>
      </c>
      <c r="H146" s="32" t="n">
        <f aca="false">(H144+H145)*20%</f>
        <v>3750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0</v>
      </c>
      <c r="Q146" s="32" t="e">
        <f aca="false">(Q144+Q145)*20%</f>
        <v>#VALUE!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0</v>
      </c>
      <c r="Z146" s="32" t="e">
        <f aca="false">(Z144+Z145)*20%</f>
        <v>#VALUE!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0</v>
      </c>
      <c r="AI146" s="32" t="e">
        <f aca="false">(AI144+AI145)*20%</f>
        <v>#VALUE!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4" t="n">
        <f aca="false">H21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4" t="n">
        <f aca="false">H22</f>
        <v>0</v>
      </c>
      <c r="H148" s="32" t="n">
        <f aca="false">G148</f>
        <v>0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0</v>
      </c>
      <c r="Q148" s="32" t="n">
        <f aca="false">P148</f>
        <v>0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0</v>
      </c>
      <c r="Z148" s="32" t="n">
        <f aca="false">Y148</f>
        <v>0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0</v>
      </c>
      <c r="AI148" s="32" t="n">
        <f aca="false">AH148</f>
        <v>0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4" t="n">
        <f aca="false">H23</f>
        <v>0</v>
      </c>
      <c r="H149" s="32" t="n">
        <f aca="false">G149</f>
        <v>0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0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0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0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6" t="n">
        <f aca="false">(G144+G145+G148+G149+G146)-G147</f>
        <v>20049.996</v>
      </c>
      <c r="H150" s="156" t="n">
        <f aca="false">(H144+H145+H148+H149+H146)-H147</f>
        <v>22500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0</v>
      </c>
      <c r="Q150" s="156" t="e">
        <f aca="false">(Q144+Q145+Q148+Q149+Q146)-Q147</f>
        <v>#VALUE!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0</v>
      </c>
      <c r="Z150" s="156" t="e">
        <f aca="false">(Z144+Z145+Z148+Z149+Z146)-Z147</f>
        <v>#VALUE!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0</v>
      </c>
      <c r="AI150" s="156" t="e">
        <f aca="false">(AI144+AI145+AI148+AI149+AI146)-AI147</f>
        <v>#VALUE!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39" t="n">
        <f aca="false">F151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2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n">
        <v>0</v>
      </c>
      <c r="C153" s="160"/>
      <c r="D153" s="160"/>
      <c r="E153" s="160"/>
      <c r="F153" s="160"/>
      <c r="G153" s="39" t="n">
        <v>0</v>
      </c>
      <c r="H153" s="39" t="n"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39" t="n"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39" t="n"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63" t="n">
        <f aca="false">G150-((G153*1.2)+(G154*1.2)+(G155*1.2)+(G151*1.2))</f>
        <v>20049.996</v>
      </c>
      <c r="H156" s="163" t="n">
        <f aca="false">H150-((H153*1.2)+(H154*1.2)+(H155*1.2)+(H151*1.2))</f>
        <v>22500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0</v>
      </c>
      <c r="Q156" s="163" t="e">
        <f aca="false">Q150-((Q153*1.2)+(Q154*1.2)+(Q155*1.2)+(Q151*1.2))</f>
        <v>#VALUE!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0</v>
      </c>
      <c r="Z156" s="163" t="e">
        <f aca="false">Z150-((Z153*1.2)+(Z154*1.2)+(Z155*1.2)+(Z151*1.2))</f>
        <v>#VALUE!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0</v>
      </c>
      <c r="AI156" s="163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4"/>
      <c r="H157" s="39" t="n">
        <f aca="false">((H156-G156)-(H146-G146))+((I155-I154)*0.2)</f>
        <v>2041.67</v>
      </c>
      <c r="I157" s="1" t="n">
        <f aca="false">(H157-G90)/1.2</f>
        <v>-14173.605</v>
      </c>
      <c r="J157" s="153" t="s">
        <v>173</v>
      </c>
      <c r="K157" s="153"/>
      <c r="L157" s="153"/>
      <c r="M157" s="153"/>
      <c r="N157" s="153"/>
      <c r="O157" s="153"/>
      <c r="P157" s="155"/>
      <c r="Q157" s="39" t="e">
        <f aca="false">Q156-P156</f>
        <v>#VALUE!</v>
      </c>
      <c r="S157" s="153" t="s">
        <v>173</v>
      </c>
      <c r="T157" s="153"/>
      <c r="U157" s="153"/>
      <c r="V157" s="153"/>
      <c r="W157" s="153"/>
      <c r="X157" s="153"/>
      <c r="Y157" s="155"/>
      <c r="Z157" s="39" t="e">
        <f aca="false">Z156-Y156</f>
        <v>#VALUE!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e">
        <f aca="false">AI156-AH156</f>
        <v>#VALUE!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22500</v>
      </c>
      <c r="H167" s="169"/>
      <c r="J167" s="168" t="s">
        <v>180</v>
      </c>
      <c r="K167" s="31"/>
      <c r="L167" s="31"/>
      <c r="M167" s="22"/>
      <c r="N167" s="31"/>
      <c r="O167" s="22"/>
      <c r="P167" s="169" t="e">
        <f aca="false">Q156-P163-P166</f>
        <v>#VALUE!</v>
      </c>
      <c r="Q167" s="169"/>
      <c r="S167" s="168" t="s">
        <v>180</v>
      </c>
      <c r="T167" s="31"/>
      <c r="U167" s="31"/>
      <c r="V167" s="22"/>
      <c r="W167" s="31"/>
      <c r="X167" s="22"/>
      <c r="Y167" s="169" t="e">
        <f aca="false">Z156-Y163-Y166</f>
        <v>#VALUE!</v>
      </c>
      <c r="Z167" s="169"/>
      <c r="AB167" s="168" t="s">
        <v>180</v>
      </c>
      <c r="AC167" s="31"/>
      <c r="AD167" s="31"/>
      <c r="AE167" s="22"/>
      <c r="AF167" s="31"/>
      <c r="AG167" s="22"/>
      <c r="AH167" s="169" t="e">
        <f aca="false">AI156-AH163-AH166</f>
        <v>#VALUE!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199.99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7200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1227.77083098699</v>
      </c>
      <c r="B176" s="176" t="n">
        <f aca="false">B103</f>
        <v>0</v>
      </c>
      <c r="C176" s="173"/>
      <c r="D176" s="173"/>
      <c r="E176" s="176" t="n">
        <f aca="false">B105</f>
        <v>1227.77083098699</v>
      </c>
      <c r="F176" s="22"/>
      <c r="G176" s="22" t="n">
        <f aca="false">ROUND(G104,2)</f>
        <v>1155.03</v>
      </c>
      <c r="H176" s="32"/>
      <c r="J176" s="175" t="e">
        <f aca="false">K104</f>
        <v>#VALUE!</v>
      </c>
      <c r="K176" s="177" t="n">
        <f aca="false">K103</f>
        <v>0</v>
      </c>
      <c r="L176" s="174"/>
      <c r="M176" s="174"/>
      <c r="N176" s="177" t="e">
        <f aca="false">K105</f>
        <v>#VALUE!</v>
      </c>
      <c r="O176" s="22"/>
      <c r="P176" s="22"/>
      <c r="Q176" s="32"/>
      <c r="S176" s="175" t="e">
        <f aca="false">T104</f>
        <v>#VALUE!</v>
      </c>
      <c r="T176" s="177" t="n">
        <f aca="false">T103</f>
        <v>0</v>
      </c>
      <c r="U176" s="174"/>
      <c r="V176" s="174"/>
      <c r="W176" s="177" t="e">
        <f aca="false">T105</f>
        <v>#VALUE!</v>
      </c>
      <c r="X176" s="22"/>
      <c r="Y176" s="22"/>
      <c r="Z176" s="32"/>
      <c r="AB176" s="175" t="e">
        <f aca="false">AC104</f>
        <v>#VALUE!</v>
      </c>
      <c r="AC176" s="177" t="n">
        <f aca="false">AC103</f>
        <v>0</v>
      </c>
      <c r="AD176" s="174"/>
      <c r="AE176" s="174"/>
      <c r="AF176" s="177" t="e">
        <f aca="false">AC105</f>
        <v>#VALUE!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str">
        <f aca="false">K29</f>
        <v>12</v>
      </c>
      <c r="B179" s="179" t="str">
        <f aca="false">K30</f>
        <v>5000</v>
      </c>
      <c r="C179" s="180"/>
      <c r="D179" s="22"/>
      <c r="E179" s="181" t="n">
        <f aca="false">B91</f>
        <v>7200</v>
      </c>
      <c r="F179" s="22"/>
      <c r="G179" s="22"/>
      <c r="H179" s="32"/>
      <c r="J179" s="178" t="str">
        <f aca="false">K29</f>
        <v>12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12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12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18750</v>
      </c>
      <c r="B182" s="102" t="n">
        <f aca="false">H146</f>
        <v>3750</v>
      </c>
      <c r="C182" s="185"/>
      <c r="D182" s="22"/>
      <c r="E182" s="181" t="n">
        <f aca="false">H148+H149</f>
        <v>0</v>
      </c>
      <c r="F182" s="22"/>
      <c r="G182" s="22"/>
      <c r="H182" s="32"/>
      <c r="J182" s="184" t="e">
        <f aca="false">Q150-Q146-Q148-Q149</f>
        <v>#VALUE!</v>
      </c>
      <c r="K182" s="37" t="e">
        <f aca="false">Q146</f>
        <v>#VALUE!</v>
      </c>
      <c r="L182" s="42"/>
      <c r="M182" s="22"/>
      <c r="N182" s="183" t="n">
        <f aca="false">Q148+Q149</f>
        <v>55</v>
      </c>
      <c r="O182" s="22"/>
      <c r="P182" s="22"/>
      <c r="Q182" s="32"/>
      <c r="S182" s="184" t="e">
        <f aca="false">Z150-Z146-Z148-Z149</f>
        <v>#VALUE!</v>
      </c>
      <c r="T182" s="37" t="e">
        <f aca="false">Z146</f>
        <v>#VALUE!</v>
      </c>
      <c r="U182" s="42"/>
      <c r="V182" s="22"/>
      <c r="W182" s="183" t="n">
        <f aca="false">Z148+Z149</f>
        <v>55</v>
      </c>
      <c r="X182" s="22"/>
      <c r="Y182" s="22"/>
      <c r="Z182" s="32"/>
      <c r="AB182" s="184" t="e">
        <f aca="false">AI150-AI146-AI148-AI149</f>
        <v>#VALUE!</v>
      </c>
      <c r="AC182" s="37" t="e">
        <f aca="false">AI146</f>
        <v>#VALUE!</v>
      </c>
      <c r="AD182" s="42"/>
      <c r="AE182" s="22"/>
      <c r="AF182" s="183" t="n">
        <f aca="false">AI148+AI149</f>
        <v>55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22500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e">
        <f aca="false">Q150</f>
        <v>#VALUE!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e">
        <f aca="false">Z150</f>
        <v>#VALUE!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e">
        <f aca="false">AI150</f>
        <v>#VALUE!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22500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e">
        <f aca="false">J185-J188-K188</f>
        <v>#VALUE!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e">
        <f aca="false">S185-S188-T188</f>
        <v>#VALUE!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e">
        <f aca="false">AB185-AB188-AC188</f>
        <v>#VALUE!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-1794.52085914311</v>
      </c>
      <c r="B191" s="102" t="str">
        <f aca="false">B123</f>
        <v>199.99</v>
      </c>
      <c r="C191" s="102"/>
      <c r="D191" s="22"/>
      <c r="E191" s="102" t="n">
        <f aca="false">E188+A191+(B191*1.2)+A194</f>
        <v>20955.4671408569</v>
      </c>
      <c r="F191" s="22"/>
      <c r="G191" s="22"/>
      <c r="H191" s="104"/>
      <c r="J191" s="110" t="e">
        <f aca="false">(J176*K68)+N194-N188-J194</f>
        <v>#VALUE!</v>
      </c>
      <c r="K191" s="37" t="n">
        <f aca="false">K123</f>
        <v>239.99</v>
      </c>
      <c r="L191" s="37"/>
      <c r="M191" s="22"/>
      <c r="N191" s="37" t="e">
        <f aca="false">N188+J191+K191+J194</f>
        <v>#VALUE!</v>
      </c>
      <c r="O191" s="22"/>
      <c r="P191" s="22"/>
      <c r="Q191" s="104"/>
      <c r="S191" s="110" t="e">
        <f aca="false">(S176*T68)+W194-W188-S194</f>
        <v>#VALUE!</v>
      </c>
      <c r="T191" s="37" t="n">
        <f aca="false">T123</f>
        <v>199.99</v>
      </c>
      <c r="U191" s="37"/>
      <c r="V191" s="22"/>
      <c r="W191" s="37" t="e">
        <f aca="false">W188+S191+T191+S194</f>
        <v>#VALUE!</v>
      </c>
      <c r="X191" s="22"/>
      <c r="Y191" s="22"/>
      <c r="Z191" s="104"/>
      <c r="AB191" s="110" t="e">
        <f aca="false">(AB176*AC68)+AF194-AF188-AB194</f>
        <v>#VALUE!</v>
      </c>
      <c r="AC191" s="37" t="n">
        <f aca="false">AC123</f>
        <v>239.99</v>
      </c>
      <c r="AD191" s="37"/>
      <c r="AE191" s="22"/>
      <c r="AF191" s="37" t="e">
        <f aca="false">AF188+AB191+AC191+AB194</f>
        <v>#VALUE!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A188+B191*1.2</f>
        <v>239.988</v>
      </c>
      <c r="C194" s="102"/>
      <c r="D194" s="22"/>
      <c r="E194" s="102" t="n">
        <f aca="false">IF( E179=0 , A194+E176, E179+A194)</f>
        <v>7210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</f>
        <v>8.1052</v>
      </c>
      <c r="B197" s="102" t="n">
        <f aca="false">(G167*B76)/1.2</f>
        <v>93.75</v>
      </c>
      <c r="C197" s="92"/>
      <c r="D197" s="92"/>
      <c r="E197" s="102" t="n">
        <f aca="false">IF(E114="YES",(K55*A117*0.1),0)</f>
        <v>0</v>
      </c>
      <c r="F197" s="22"/>
      <c r="G197" s="22"/>
      <c r="H197" s="32"/>
      <c r="J197" s="110" t="n">
        <f aca="false">IF(N114="YES",H15*0.000002,0)</f>
        <v>0</v>
      </c>
      <c r="K197" s="37" t="e">
        <f aca="false">(P167*K76)/1.2</f>
        <v>#VALUE!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e">
        <f aca="false">(Y167*T76)/1.2</f>
        <v>#VALUE!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e">
        <f aca="false">(AH167*AC76)/1.2</f>
        <v>#VALUE!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B191-100</f>
        <v>99.99</v>
      </c>
      <c r="B200" s="102" t="n">
        <f aca="false">B197+E197+A200</f>
        <v>193.74</v>
      </c>
      <c r="C200" s="92"/>
      <c r="D200" s="92"/>
      <c r="E200" s="102" t="n">
        <f aca="false">H157</f>
        <v>2041.67</v>
      </c>
      <c r="F200" s="22"/>
      <c r="G200" s="22"/>
      <c r="H200" s="32"/>
      <c r="J200" s="110" t="n">
        <f aca="false">K194-100</f>
        <v>1139.99</v>
      </c>
      <c r="K200" s="37" t="e">
        <f aca="false">K197+N197+J200</f>
        <v>#VALUE!</v>
      </c>
      <c r="L200" s="31"/>
      <c r="M200" s="31"/>
      <c r="N200" s="37" t="e">
        <f aca="false">Q157</f>
        <v>#VALUE!</v>
      </c>
      <c r="O200" s="22"/>
      <c r="P200" s="22"/>
      <c r="Q200" s="32"/>
      <c r="S200" s="110" t="n">
        <f aca="false">T194-100</f>
        <v>1099.99</v>
      </c>
      <c r="T200" s="37" t="e">
        <f aca="false">T197+W197+S200</f>
        <v>#VALUE!</v>
      </c>
      <c r="U200" s="31"/>
      <c r="V200" s="31"/>
      <c r="W200" s="37" t="e">
        <f aca="false">Z157</f>
        <v>#VALUE!</v>
      </c>
      <c r="X200" s="31"/>
      <c r="Y200" s="31"/>
      <c r="Z200" s="32"/>
      <c r="AB200" s="110" t="n">
        <f aca="false">AC194-100</f>
        <v>1139.99</v>
      </c>
      <c r="AC200" s="37" t="e">
        <f aca="false">AC197+AF197+AB200</f>
        <v>#VALUE!</v>
      </c>
      <c r="AD200" s="31"/>
      <c r="AE200" s="31"/>
      <c r="AF200" s="37" t="e">
        <f aca="false">AI157</f>
        <v>#VALUE!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12</v>
      </c>
      <c r="B206" s="73" t="n">
        <f aca="false">B105</f>
        <v>1227.77083098699</v>
      </c>
      <c r="C206" s="73"/>
      <c r="D206" s="73"/>
      <c r="E206" s="22"/>
      <c r="F206" s="22"/>
      <c r="G206" s="22"/>
      <c r="H206" s="32"/>
      <c r="J206" s="72" t="str">
        <f aca="false">K29</f>
        <v>12</v>
      </c>
      <c r="K206" s="73" t="e">
        <f aca="false">K105</f>
        <v>#VALUE!</v>
      </c>
      <c r="L206" s="73"/>
      <c r="M206" s="73"/>
      <c r="N206" s="22"/>
      <c r="O206" s="22"/>
      <c r="P206" s="22"/>
      <c r="Q206" s="32"/>
      <c r="S206" s="72" t="str">
        <f aca="false">K29</f>
        <v>12</v>
      </c>
      <c r="T206" s="73" t="e">
        <f aca="false">T105</f>
        <v>#VALUE!</v>
      </c>
      <c r="U206" s="73"/>
      <c r="V206" s="73"/>
      <c r="W206" s="22"/>
      <c r="X206" s="22"/>
      <c r="Y206" s="22"/>
      <c r="Z206" s="32"/>
      <c r="AB206" s="72" t="str">
        <f aca="false">K29</f>
        <v>12</v>
      </c>
      <c r="AC206" s="73" t="e">
        <f aca="false">AC105</f>
        <v>#VALUE!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-2594.67</v>
      </c>
      <c r="B210" s="185" t="n">
        <f aca="false">E188+A210+(B191*1.2)+A194</f>
        <v>20155.318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12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1227.77083098699</v>
      </c>
      <c r="B221" s="176" t="n">
        <f aca="false">B176</f>
        <v>0</v>
      </c>
      <c r="C221" s="173"/>
      <c r="D221" s="173"/>
      <c r="E221" s="176" t="n">
        <f aca="false">E176</f>
        <v>1227.77083098699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18750</v>
      </c>
      <c r="B224" s="102" t="n">
        <f aca="false">B182</f>
        <v>3750</v>
      </c>
      <c r="C224" s="185"/>
      <c r="D224" s="112"/>
      <c r="E224" s="181" t="n">
        <f aca="false">E182</f>
        <v>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22500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22500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-1794.52085914311</v>
      </c>
      <c r="B233" s="102" t="str">
        <f aca="false">B191</f>
        <v>199.99</v>
      </c>
      <c r="C233" s="102"/>
      <c r="D233" s="112"/>
      <c r="E233" s="102" t="n">
        <f aca="false">E191</f>
        <v>20955.4671408569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239.988</v>
      </c>
      <c r="C236" s="102"/>
      <c r="D236" s="112"/>
      <c r="E236" s="102" t="n">
        <f aca="false">B68</f>
        <v>11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1227.77083098699</v>
      </c>
      <c r="B239" s="102" t="n">
        <f aca="false">B176</f>
        <v>0</v>
      </c>
      <c r="C239" s="185"/>
      <c r="D239" s="185"/>
      <c r="E239" s="102" t="n">
        <f aca="false">E176</f>
        <v>1227.77083098699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7200</v>
      </c>
      <c r="B242" s="102" t="n">
        <f aca="false">E194</f>
        <v>7210</v>
      </c>
      <c r="C242" s="92"/>
      <c r="D242" s="92"/>
      <c r="E242" s="102" t="n">
        <f aca="false">J18*0.000006*100</f>
        <v>24.3156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8.1052</v>
      </c>
      <c r="B245" s="102" t="n">
        <f aca="false">E242+A245</f>
        <v>32.4208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2041.67</v>
      </c>
      <c r="B249" s="102" t="n">
        <f aca="false">B197</f>
        <v>93.75</v>
      </c>
      <c r="C249" s="92"/>
      <c r="D249" s="92"/>
      <c r="E249" s="102" t="n">
        <f aca="false">E197</f>
        <v>0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</v>
      </c>
      <c r="B252" s="102" t="n">
        <f aca="false">B249+E249+A252+A249</f>
        <v>2235.41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0.1255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9" t="n">
        <f aca="false">(E191-B191)-(B210-B191-A194)</f>
        <v>810.149140856891</v>
      </c>
      <c r="C263" s="196"/>
      <c r="D263" s="197" t="s">
        <v>217</v>
      </c>
      <c r="E263" s="197"/>
      <c r="F263" s="199" t="n">
        <f aca="false">F270+F276+F278+B279+B280</f>
        <v>112.5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99.99</v>
      </c>
      <c r="C264" s="196"/>
      <c r="D264" s="197" t="s">
        <v>219</v>
      </c>
      <c r="E264" s="197"/>
      <c r="F264" s="199" t="n">
        <f aca="false">(B263-F263)+B264</f>
        <v>797.639140856891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0.1255</v>
      </c>
      <c r="C269" s="42"/>
      <c r="D269" s="165" t="s">
        <v>216</v>
      </c>
      <c r="E269" s="165"/>
      <c r="F269" s="145" t="n">
        <f aca="false">(B98*B68)-(C98*B68)</f>
        <v>13505.4791408569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0.005</v>
      </c>
      <c r="C270" s="31"/>
      <c r="D270" s="165" t="s">
        <v>222</v>
      </c>
      <c r="E270" s="165"/>
      <c r="F270" s="150" t="n">
        <f aca="false">B77</f>
        <v>112.5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0.2</v>
      </c>
      <c r="C271" s="31"/>
      <c r="D271" s="165" t="s">
        <v>223</v>
      </c>
      <c r="E271" s="165"/>
      <c r="F271" s="145" t="n">
        <f aca="false">E249*10</f>
        <v>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</v>
      </c>
      <c r="C272" s="31"/>
      <c r="D272" s="38" t="s">
        <v>219</v>
      </c>
      <c r="E272" s="38"/>
      <c r="F272" s="145" t="n">
        <f aca="false">(B263-F263)+B264</f>
        <v>797.639140856891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6" colorId="64" zoomScale="85" zoomScaleNormal="85" zoomScalePageLayoutView="100" workbookViewId="0">
      <selection pane="topLeft" activeCell="A182" activeCellId="1" sqref="A191 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45400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244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248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s">
        <v>249</v>
      </c>
      <c r="J36" s="43" t="s">
        <v>51</v>
      </c>
      <c r="K36" s="51" t="n">
        <f aca="false">K32-K34</f>
        <v>20100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n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500.363636363636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52" t="s">
        <v>4</v>
      </c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500.363636363636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16806.5358348192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220.3124625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20100</v>
      </c>
      <c r="C81" s="92"/>
      <c r="D81" s="92"/>
      <c r="E81" s="112"/>
      <c r="F81" s="24" t="s">
        <v>106</v>
      </c>
      <c r="G81" s="26" t="n">
        <f aca="false">B81</f>
        <v>20100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5255.82391109543</v>
      </c>
      <c r="C86" s="92" t="n">
        <f aca="false">(B82/((1+B84)^(B85+1)))</f>
        <v>5255.82391109543</v>
      </c>
      <c r="D86" s="92"/>
      <c r="E86" s="112"/>
      <c r="F86" s="30" t="s">
        <v>111</v>
      </c>
      <c r="G86" s="32" t="n">
        <f aca="false">(G82/((1+G84)^(G85+1)))</f>
        <v>6024.37295128565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14844.1760889046</v>
      </c>
      <c r="C88" s="92" t="n">
        <f aca="false">B81-B86</f>
        <v>14844.1760889046</v>
      </c>
      <c r="D88" s="92"/>
      <c r="E88" s="112"/>
      <c r="F88" s="30" t="s">
        <v>113</v>
      </c>
      <c r="G88" s="32" t="n">
        <f aca="false">G81-G86</f>
        <v>14075.6270487143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540.840608474464</v>
      </c>
      <c r="C89" s="92" t="n">
        <f aca="false">(B88/B87)</f>
        <v>540.840608474464</v>
      </c>
      <c r="D89" s="92"/>
      <c r="E89" s="112"/>
      <c r="F89" s="30" t="s">
        <v>114</v>
      </c>
      <c r="G89" s="32" t="n">
        <f aca="false">(G88/G87)</f>
        <v>480.272828124815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17306.8994711829</v>
      </c>
      <c r="C90" s="92"/>
      <c r="D90" s="92"/>
      <c r="E90" s="112"/>
      <c r="F90" s="30" t="s">
        <v>115</v>
      </c>
      <c r="G90" s="32" t="n">
        <f aca="false">((G89*(G85))+G77)</f>
        <v>15368.7304999941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17306.8994711829</v>
      </c>
      <c r="C92" s="92"/>
      <c r="D92" s="92"/>
      <c r="E92" s="112"/>
      <c r="F92" s="55" t="s">
        <v>117</v>
      </c>
      <c r="G92" s="64" t="n">
        <f aca="false">(G90+G91)</f>
        <v>15368.7304999941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n">
        <f aca="false">IF(B38="YES",((H36/B85)*(1+A108)*1.2),"0")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540.840608474464</v>
      </c>
      <c r="C95" s="92"/>
      <c r="D95" s="92"/>
      <c r="E95" s="112"/>
      <c r="F95" s="94" t="s">
        <v>119</v>
      </c>
      <c r="G95" s="95" t="n">
        <f aca="false">G92/(G85)</f>
        <v>480.272828124815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540.840608474464</v>
      </c>
      <c r="C96" s="92"/>
      <c r="D96" s="92"/>
      <c r="E96" s="112"/>
      <c r="F96" s="96" t="s">
        <v>120</v>
      </c>
      <c r="G96" s="97" t="n">
        <f aca="false">G94+G95</f>
        <v>480.272828124815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18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21099.996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21099.996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17583.33</v>
      </c>
      <c r="H135" s="152" t="n">
        <f aca="false">C125+E125+G125+H128</f>
        <v>19583.33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-15083.3333333333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23499.996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540.840608474464</v>
      </c>
      <c r="B167" s="176" t="n">
        <f aca="false">B94</f>
        <v>0</v>
      </c>
      <c r="C167" s="173"/>
      <c r="D167" s="173"/>
      <c r="E167" s="176" t="n">
        <f aca="false">B96</f>
        <v>540.840608474464</v>
      </c>
      <c r="F167" s="22"/>
      <c r="G167" s="22" t="n">
        <f aca="false">ROUND(G95,2)</f>
        <v>480.27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n">
        <f aca="false">B29</f>
        <v>12345</v>
      </c>
      <c r="B170" s="179" t="n">
        <f aca="false">B30</f>
        <v>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23499.996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23499.996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1006.90347118285</v>
      </c>
      <c r="B182" s="102" t="str">
        <f aca="false">B114</f>
        <v>239.99</v>
      </c>
      <c r="C182" s="102"/>
      <c r="D182" s="22"/>
      <c r="E182" s="102" t="n">
        <f aca="false">E179+A182+B182+A185</f>
        <v>24756.8894711828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9.72624</v>
      </c>
      <c r="B188" s="102" t="n">
        <f aca="false">(G158*B67)/1.2</f>
        <v>183.59371875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283.585385416667</v>
      </c>
      <c r="C191" s="92"/>
      <c r="D191" s="92"/>
      <c r="E191" s="102" t="n">
        <f aca="false">H148</f>
        <v>2000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540.840608474464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-931.356000000003</v>
      </c>
      <c r="B201" s="185" t="n">
        <f aca="false">E179+A201+B182+A185</f>
        <v>22818.63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540.840608474464</v>
      </c>
      <c r="B212" s="176" t="n">
        <f aca="false">B167</f>
        <v>0</v>
      </c>
      <c r="C212" s="173"/>
      <c r="D212" s="173"/>
      <c r="E212" s="176" t="n">
        <f aca="false">E167</f>
        <v>540.840608474464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23499.996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1006.90347118285</v>
      </c>
      <c r="B224" s="102" t="str">
        <f aca="false">B182</f>
        <v>239.99</v>
      </c>
      <c r="C224" s="102"/>
      <c r="D224" s="112"/>
      <c r="E224" s="102" t="n">
        <f aca="false">E182</f>
        <v>24756.8894711828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540.840608474464</v>
      </c>
      <c r="B230" s="102" t="n">
        <f aca="false">B167</f>
        <v>0</v>
      </c>
      <c r="C230" s="185"/>
      <c r="D230" s="185"/>
      <c r="E230" s="102" t="n">
        <f aca="false">E167</f>
        <v>540.840608474464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J18*0.000006*100*1.2</f>
        <v>29.17872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9.72624</v>
      </c>
      <c r="B236" s="102" t="n">
        <f aca="false">E233+A236</f>
        <v>38.90496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B188</f>
        <v>183.59371875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2283.58538541667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1948.25947118285</v>
      </c>
      <c r="C254" s="196"/>
      <c r="D254" s="197" t="s">
        <v>217</v>
      </c>
      <c r="E254" s="197"/>
      <c r="F254" s="199" t="n">
        <f aca="false">F261+F267+F269+B270+B271</f>
        <v>220.3124625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1827.93867534952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(B89*B59)-(C89*B59)</f>
        <v>0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220.3124625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1827.93867534952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A182" activeCellId="1" sqref="A191 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45400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244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20100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0.072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14425.4239070671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117.49998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20100</v>
      </c>
      <c r="C81" s="92"/>
      <c r="D81" s="92"/>
      <c r="E81" s="112"/>
      <c r="F81" s="24" t="s">
        <v>106</v>
      </c>
      <c r="G81" s="26" t="n">
        <f aca="false">B81</f>
        <v>20100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0.1475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0.0122916666666667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6218.19813516518</v>
      </c>
      <c r="C86" s="92" t="n">
        <f aca="false">(B82/((1+B84)^(B85+1)))</f>
        <v>6218.19813516518</v>
      </c>
      <c r="D86" s="92"/>
      <c r="E86" s="112"/>
      <c r="F86" s="30" t="s">
        <v>111</v>
      </c>
      <c r="G86" s="32" t="n">
        <f aca="false">(G82/((1+G84)^(G85+1)))</f>
        <v>6748.06930144099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10.2301677524304</v>
      </c>
      <c r="C87" s="92" t="n">
        <f aca="false">((1-(1/((1+B84)^B85)))/B84)</f>
        <v>10.2301677524304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13881.8018648348</v>
      </c>
      <c r="C88" s="92" t="n">
        <f aca="false">B81-B86</f>
        <v>13881.8018648348</v>
      </c>
      <c r="D88" s="92"/>
      <c r="E88" s="112"/>
      <c r="F88" s="30" t="s">
        <v>113</v>
      </c>
      <c r="G88" s="32" t="n">
        <f aca="false">G81-G86</f>
        <v>13351.930698559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1356.94762791519</v>
      </c>
      <c r="C89" s="92" t="n">
        <f aca="false">(B88/B87)</f>
        <v>1356.94762791519</v>
      </c>
      <c r="D89" s="92"/>
      <c r="E89" s="112"/>
      <c r="F89" s="30" t="s">
        <v>114</v>
      </c>
      <c r="G89" s="32" t="n">
        <f aca="false">(G88/G87)</f>
        <v>1253.61592148113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14926.4239070671</v>
      </c>
      <c r="C90" s="92"/>
      <c r="D90" s="92"/>
      <c r="E90" s="112"/>
      <c r="F90" s="30" t="s">
        <v>115</v>
      </c>
      <c r="G90" s="32" t="n">
        <f aca="false">((G89*(G85))+G77)</f>
        <v>13789.7751362925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14926.4239070671</v>
      </c>
      <c r="C92" s="92"/>
      <c r="D92" s="92"/>
      <c r="E92" s="112"/>
      <c r="F92" s="55" t="s">
        <v>117</v>
      </c>
      <c r="G92" s="64" t="n">
        <f aca="false">(G90+G91)</f>
        <v>13789.7751362925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1356.94762791519</v>
      </c>
      <c r="C95" s="92"/>
      <c r="D95" s="92"/>
      <c r="E95" s="112"/>
      <c r="F95" s="94" t="s">
        <v>119</v>
      </c>
      <c r="G95" s="95" t="n">
        <f aca="false">G92/(G85)</f>
        <v>1253.61592148113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1356.94762791519</v>
      </c>
      <c r="C96" s="92"/>
      <c r="D96" s="92"/>
      <c r="E96" s="112"/>
      <c r="F96" s="96" t="s">
        <v>120</v>
      </c>
      <c r="G96" s="97" t="n">
        <f aca="false">G94+G95</f>
        <v>1253.61592148113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18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n">
        <v>0</v>
      </c>
      <c r="C108" s="106"/>
      <c r="D108" s="106" t="n">
        <v>0</v>
      </c>
      <c r="E108" s="107" t="n">
        <f aca="false">B83</f>
        <v>0.1475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s">
        <v>18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21099.996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21099.996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17583.33</v>
      </c>
      <c r="H135" s="152" t="n">
        <f aca="false">C125+E125+G125+H128</f>
        <v>19583.33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-15083.3333333333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23499.996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 t="n">
        <v>0</v>
      </c>
      <c r="F161" s="22"/>
      <c r="G161" s="22" t="n">
        <v>0</v>
      </c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 t="n">
        <v>0</v>
      </c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1356.94762791519</v>
      </c>
      <c r="B167" s="176" t="str">
        <f aca="false">B94</f>
        <v>0</v>
      </c>
      <c r="C167" s="173"/>
      <c r="D167" s="173"/>
      <c r="E167" s="176" t="n">
        <f aca="false">B96</f>
        <v>1356.94762791519</v>
      </c>
      <c r="F167" s="22"/>
      <c r="G167" s="22" t="n">
        <f aca="false">ROUND(G95,2)</f>
        <v>1253.62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179" t="str">
        <f aca="false">H30</f>
        <v>5000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23499.996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23499.996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-1373.57209293291</v>
      </c>
      <c r="B182" s="102" t="str">
        <f aca="false">B114</f>
        <v>199.99</v>
      </c>
      <c r="C182" s="102"/>
      <c r="D182" s="22"/>
      <c r="E182" s="102" t="n">
        <f aca="false">E179+A182+(B182*1.2)+A185</f>
        <v>22376.4119070671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A179+B182*1.2</f>
        <v>239.988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8.1052</v>
      </c>
      <c r="B188" s="102" t="n">
        <f aca="false">(G158*B67)/1.2</f>
        <v>97.91665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197.90665</v>
      </c>
      <c r="C191" s="92"/>
      <c r="D191" s="92"/>
      <c r="E191" s="102" t="n">
        <f aca="false">H148</f>
        <v>2000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1356.94762791519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-2510.176</v>
      </c>
      <c r="B201" s="185" t="n">
        <f aca="false">E179+A201+(B182*1.2)+A185</f>
        <v>21239.808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1356.94762791519</v>
      </c>
      <c r="B212" s="176" t="str">
        <f aca="false">B167</f>
        <v>0</v>
      </c>
      <c r="C212" s="173"/>
      <c r="D212" s="173"/>
      <c r="E212" s="176" t="n">
        <f aca="false">E167</f>
        <v>1356.94762791519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23499.996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-1373.57209293291</v>
      </c>
      <c r="B224" s="102" t="str">
        <f aca="false">B182</f>
        <v>199.99</v>
      </c>
      <c r="C224" s="102"/>
      <c r="D224" s="112"/>
      <c r="E224" s="102" t="n">
        <f aca="false">E182</f>
        <v>22376.4119070671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1356.94762791519</v>
      </c>
      <c r="B230" s="102" t="str">
        <f aca="false">B167</f>
        <v>0</v>
      </c>
      <c r="C230" s="185"/>
      <c r="D230" s="185"/>
      <c r="E230" s="102" t="n">
        <f aca="false">E167</f>
        <v>1356.94762791519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J18*0.000006*100</f>
        <v>24.3156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8.1052</v>
      </c>
      <c r="B236" s="102" t="n">
        <f aca="false">E233+A236</f>
        <v>32.4208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B188</f>
        <v>97.91665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2197.90665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0.1475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1146.60390706709</v>
      </c>
      <c r="C254" s="196"/>
      <c r="D254" s="197" t="s">
        <v>217</v>
      </c>
      <c r="E254" s="197"/>
      <c r="F254" s="199" t="n">
        <f aca="false">F261+F267+F269+B270+B271</f>
        <v>117.49998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1129.09392706709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0.072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0.1475</v>
      </c>
      <c r="C260" s="42"/>
      <c r="D260" s="165" t="s">
        <v>216</v>
      </c>
      <c r="E260" s="165"/>
      <c r="F260" s="145" t="n">
        <f aca="false">(B89*B59)-(C89*B59)</f>
        <v>0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117.49998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1129.09392706709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A182" activeCellId="1" sqref="A191 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45400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244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20100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14121.5131366378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117.49998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20100</v>
      </c>
      <c r="C81" s="92"/>
      <c r="D81" s="92"/>
      <c r="E81" s="112"/>
      <c r="F81" s="24" t="s">
        <v>106</v>
      </c>
      <c r="G81" s="26" t="n">
        <f aca="false">B81</f>
        <v>20100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6354.94179987962</v>
      </c>
      <c r="C86" s="92" t="n">
        <f aca="false">(B82/((1+B84)^(B85+1)))</f>
        <v>6354.94179987962</v>
      </c>
      <c r="D86" s="92"/>
      <c r="E86" s="112"/>
      <c r="F86" s="30" t="s">
        <v>111</v>
      </c>
      <c r="G86" s="32" t="n">
        <f aca="false">(G82/((1+G84)^(G85+1)))</f>
        <v>6748.06930144099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13745.0582001204</v>
      </c>
      <c r="C88" s="92" t="n">
        <f aca="false">B81-B86</f>
        <v>13745.0582001204</v>
      </c>
      <c r="D88" s="92"/>
      <c r="E88" s="112"/>
      <c r="F88" s="30" t="s">
        <v>113</v>
      </c>
      <c r="G88" s="32" t="n">
        <f aca="false">G81-G86</f>
        <v>13351.930698559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1329.31937605798</v>
      </c>
      <c r="C89" s="92" t="n">
        <f aca="false">(B88/B87)</f>
        <v>1329.31937605798</v>
      </c>
      <c r="D89" s="92"/>
      <c r="E89" s="112"/>
      <c r="F89" s="30" t="s">
        <v>114</v>
      </c>
      <c r="G89" s="32" t="n">
        <f aca="false">(G88/G87)</f>
        <v>1253.61592148113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14622.5131366378</v>
      </c>
      <c r="C90" s="92"/>
      <c r="D90" s="92"/>
      <c r="E90" s="112"/>
      <c r="F90" s="30" t="s">
        <v>115</v>
      </c>
      <c r="G90" s="32" t="n">
        <f aca="false">((G89*(G85))+G77)</f>
        <v>13789.7751362925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14622.5131366378</v>
      </c>
      <c r="C92" s="92"/>
      <c r="D92" s="92"/>
      <c r="E92" s="112"/>
      <c r="F92" s="55" t="s">
        <v>117</v>
      </c>
      <c r="G92" s="64" t="n">
        <f aca="false">(G90+G91)</f>
        <v>13789.7751362925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IF(B38="YES",((H36/B85)*(1+A108)*1.2),"0")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1329.31937605798</v>
      </c>
      <c r="C95" s="92"/>
      <c r="D95" s="92"/>
      <c r="E95" s="112"/>
      <c r="F95" s="94" t="s">
        <v>119</v>
      </c>
      <c r="G95" s="95" t="n">
        <f aca="false">G92/(G85)</f>
        <v>1253.61592148113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1329.31937605798</v>
      </c>
      <c r="C96" s="92"/>
      <c r="D96" s="92"/>
      <c r="E96" s="112"/>
      <c r="F96" s="96" t="s">
        <v>120</v>
      </c>
      <c r="G96" s="97" t="n">
        <f aca="false">G94+G95</f>
        <v>1253.61592148113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272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273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21099.996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21099.996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17583.33</v>
      </c>
      <c r="H135" s="152" t="n">
        <f aca="false">C125+E125+G125+H128</f>
        <v>19583.33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-15083.3333333333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23499.996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1329.31937605798</v>
      </c>
      <c r="B167" s="176" t="str">
        <f aca="false">B94</f>
        <v>0</v>
      </c>
      <c r="C167" s="173"/>
      <c r="D167" s="173"/>
      <c r="E167" s="176" t="n">
        <f aca="false">B96</f>
        <v>1329.31937605798</v>
      </c>
      <c r="F167" s="22"/>
      <c r="G167" s="22" t="n">
        <f aca="false">ROUND(G95,2)</f>
        <v>1253.62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228" t="str">
        <f aca="false">H30</f>
        <v>5000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23499.996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23499.996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-1677.48286336222</v>
      </c>
      <c r="B182" s="102" t="str">
        <f aca="false">B114</f>
        <v>239.99</v>
      </c>
      <c r="C182" s="102"/>
      <c r="D182" s="22"/>
      <c r="E182" s="102" t="n">
        <f aca="false">E179+A182+B182+A185</f>
        <v>22072.5031366378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9.72624</v>
      </c>
      <c r="B188" s="102" t="n">
        <f aca="false">(G158*B67)/1.2</f>
        <v>97.91665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197.908316666667</v>
      </c>
      <c r="C191" s="92"/>
      <c r="D191" s="92"/>
      <c r="E191" s="102" t="n">
        <f aca="false">H148</f>
        <v>2000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1329.31937605798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-2510.176</v>
      </c>
      <c r="B201" s="185" t="n">
        <f aca="false">E179+A201+B182+A185</f>
        <v>21239.81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1329.31937605798</v>
      </c>
      <c r="B212" s="176" t="str">
        <f aca="false">B167</f>
        <v>0</v>
      </c>
      <c r="C212" s="173"/>
      <c r="D212" s="173"/>
      <c r="E212" s="176" t="n">
        <f aca="false">E167</f>
        <v>1329.31937605798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23499.996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-1677.48286336222</v>
      </c>
      <c r="B224" s="102" t="str">
        <f aca="false">B182</f>
        <v>239.99</v>
      </c>
      <c r="C224" s="102"/>
      <c r="D224" s="112"/>
      <c r="E224" s="102" t="n">
        <f aca="false">E182</f>
        <v>22072.5031366378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1329.31937605798</v>
      </c>
      <c r="B230" s="102" t="str">
        <f aca="false">B167</f>
        <v>0</v>
      </c>
      <c r="C230" s="185"/>
      <c r="D230" s="185"/>
      <c r="E230" s="102" t="n">
        <f aca="false">E167</f>
        <v>1329.31937605798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A188</f>
        <v>9.72624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B188</f>
        <v>97.91665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2197.90831666667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842.693136637779</v>
      </c>
      <c r="C254" s="196"/>
      <c r="D254" s="197" t="s">
        <v>217</v>
      </c>
      <c r="E254" s="197"/>
      <c r="F254" s="199" t="n">
        <f aca="false">F261+F267+F269+B270+B271</f>
        <v>117.49998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825.184823304446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0.1255</v>
      </c>
      <c r="C260" s="42"/>
      <c r="D260" s="165" t="s">
        <v>216</v>
      </c>
      <c r="E260" s="165"/>
      <c r="F260" s="145" t="n">
        <f aca="false">(B89*B59)-(C89*B59)</f>
        <v>0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117.49998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825.184823304446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6" colorId="64" zoomScale="85" zoomScaleNormal="85" zoomScalePageLayoutView="100" workbookViewId="0">
      <selection pane="topLeft" activeCell="A182" activeCellId="1" sqref="A191 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45400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262" t="s">
        <v>244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20100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A54" s="263" t="s">
        <v>4</v>
      </c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14121.5131366378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117.49998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20100</v>
      </c>
      <c r="C81" s="92"/>
      <c r="D81" s="92"/>
      <c r="E81" s="112"/>
      <c r="F81" s="24" t="s">
        <v>106</v>
      </c>
      <c r="G81" s="26" t="n">
        <f aca="false">B81</f>
        <v>20100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6354.94179987962</v>
      </c>
      <c r="C86" s="92" t="n">
        <f aca="false">(B82/((1+B84)^(B85+1)))</f>
        <v>6354.94179987962</v>
      </c>
      <c r="D86" s="92"/>
      <c r="E86" s="112"/>
      <c r="F86" s="30" t="s">
        <v>111</v>
      </c>
      <c r="G86" s="32" t="n">
        <f aca="false">(G82/((1+G84)^(G85+1)))</f>
        <v>6748.06930144099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13745.0582001204</v>
      </c>
      <c r="C88" s="92" t="n">
        <f aca="false">B81-B86</f>
        <v>13745.0582001204</v>
      </c>
      <c r="D88" s="92"/>
      <c r="E88" s="112"/>
      <c r="F88" s="30" t="s">
        <v>113</v>
      </c>
      <c r="G88" s="32" t="n">
        <f aca="false">G81-G86</f>
        <v>13351.930698559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1329.31937605798</v>
      </c>
      <c r="C89" s="92" t="n">
        <f aca="false">(B88/B87)</f>
        <v>1329.31937605798</v>
      </c>
      <c r="D89" s="92"/>
      <c r="E89" s="112"/>
      <c r="F89" s="30" t="s">
        <v>114</v>
      </c>
      <c r="G89" s="32" t="n">
        <f aca="false">(G88/G87)</f>
        <v>1253.61592148113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14622.5131366378</v>
      </c>
      <c r="C90" s="92"/>
      <c r="D90" s="92"/>
      <c r="E90" s="112"/>
      <c r="F90" s="30" t="s">
        <v>115</v>
      </c>
      <c r="G90" s="32" t="n">
        <f aca="false">((G89*(G85))+G77)</f>
        <v>13789.7751362925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14622.5131366378</v>
      </c>
      <c r="C92" s="92"/>
      <c r="D92" s="92"/>
      <c r="E92" s="112"/>
      <c r="F92" s="55" t="s">
        <v>117</v>
      </c>
      <c r="G92" s="64" t="n">
        <f aca="false">(G90+G91)</f>
        <v>13789.7751362925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1329.31937605798</v>
      </c>
      <c r="C95" s="92"/>
      <c r="D95" s="92"/>
      <c r="E95" s="112"/>
      <c r="F95" s="94" t="s">
        <v>119</v>
      </c>
      <c r="G95" s="95" t="n">
        <f aca="false">G92/(G85)</f>
        <v>1253.61592148113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1329.31937605798</v>
      </c>
      <c r="C96" s="92"/>
      <c r="D96" s="92"/>
      <c r="E96" s="112"/>
      <c r="F96" s="96" t="s">
        <v>120</v>
      </c>
      <c r="G96" s="97" t="n">
        <f aca="false">G94+G95</f>
        <v>1253.61592148113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21099.996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21099.996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17583.33</v>
      </c>
      <c r="H135" s="152" t="n">
        <f aca="false">C125+E125+G125+H128</f>
        <v>19583.33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-15083.3333333333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23499.996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1329.31937605798</v>
      </c>
      <c r="B167" s="176" t="str">
        <f aca="false">B94</f>
        <v>0</v>
      </c>
      <c r="C167" s="173"/>
      <c r="D167" s="173"/>
      <c r="E167" s="176" t="n">
        <f aca="false">B96</f>
        <v>1329.31937605798</v>
      </c>
      <c r="F167" s="22"/>
      <c r="G167" s="22" t="n">
        <f aca="false">ROUND(G95,2)</f>
        <v>1253.62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228" t="str">
        <f aca="false">H30</f>
        <v>5000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23499.996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23499.996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-1677.48286336222</v>
      </c>
      <c r="B182" s="102" t="str">
        <f aca="false">B114</f>
        <v>199.99</v>
      </c>
      <c r="C182" s="102"/>
      <c r="D182" s="22"/>
      <c r="E182" s="102" t="n">
        <f aca="false">E179+A182+(B182*1.2)+A185</f>
        <v>22072.5011366378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A179+(B182*1.2)</f>
        <v>239.988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8.1052</v>
      </c>
      <c r="B188" s="102" t="n">
        <f aca="false">(G158*B67)/1.2</f>
        <v>97.91665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197.90665</v>
      </c>
      <c r="C191" s="92"/>
      <c r="D191" s="92"/>
      <c r="E191" s="102" t="n">
        <f aca="false">H148</f>
        <v>2000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1329.31937605798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-2510.176</v>
      </c>
      <c r="B201" s="185" t="n">
        <f aca="false">E179+A201+(B182*1.2)+A185</f>
        <v>21239.808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1329.31937605798</v>
      </c>
      <c r="B212" s="176" t="str">
        <f aca="false">B167</f>
        <v>0</v>
      </c>
      <c r="C212" s="173"/>
      <c r="D212" s="173"/>
      <c r="E212" s="176" t="n">
        <f aca="false">E167</f>
        <v>1329.31937605798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23499.996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-1677.48286336222</v>
      </c>
      <c r="B224" s="102" t="str">
        <f aca="false">B182</f>
        <v>199.99</v>
      </c>
      <c r="C224" s="102"/>
      <c r="D224" s="112"/>
      <c r="E224" s="102" t="n">
        <f aca="false">E182</f>
        <v>22072.5011366378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1329.31937605798</v>
      </c>
      <c r="B230" s="102" t="str">
        <f aca="false">B167</f>
        <v>0</v>
      </c>
      <c r="C230" s="185"/>
      <c r="D230" s="185"/>
      <c r="E230" s="102" t="n">
        <f aca="false">E167</f>
        <v>1329.31937605798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A188</f>
        <v>8.1052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B188</f>
        <v>97.91665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2197.90665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842.693136637779</v>
      </c>
      <c r="C254" s="196"/>
      <c r="D254" s="197" t="s">
        <v>217</v>
      </c>
      <c r="E254" s="197"/>
      <c r="F254" s="199" t="n">
        <f aca="false">F261+F267+F269+B270+B271</f>
        <v>117.49998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825.183156637779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0.1255</v>
      </c>
      <c r="C260" s="42"/>
      <c r="D260" s="165" t="s">
        <v>216</v>
      </c>
      <c r="E260" s="165"/>
      <c r="F260" s="145" t="n">
        <f aca="false">(B89*B59)-(C89*B59)</f>
        <v>0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117.49998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825.183156637779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27" colorId="64" zoomScale="85" zoomScaleNormal="85" zoomScalePageLayoutView="100" workbookViewId="0">
      <selection pane="topLeft" activeCell="D149" activeCellId="1" sqref="A191 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62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45400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50</v>
      </c>
      <c r="E32" s="225"/>
      <c r="F32" s="62"/>
      <c r="G32" s="226" t="s">
        <v>243</v>
      </c>
      <c r="H32" s="224" t="n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50</v>
      </c>
      <c r="B41" s="240" t="n">
        <f aca="false">IF(B38="YES",D38+A41,D38)</f>
        <v>550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1</v>
      </c>
      <c r="C44" s="103"/>
      <c r="D44" s="278" t="n">
        <f aca="false">A44+B44</f>
        <v>2</v>
      </c>
      <c r="E44" s="278"/>
      <c r="F44" s="62"/>
      <c r="G44" s="62" t="s">
        <v>257</v>
      </c>
      <c r="H44" s="237" t="n">
        <f aca="false">((A41*(B35-1))+D32)/B35</f>
        <v>50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 t="s">
        <v>4</v>
      </c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551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1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11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277</v>
      </c>
      <c r="B60" s="214" t="n">
        <f aca="false">E19</f>
        <v>21099.996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40526</v>
      </c>
      <c r="C61" s="214"/>
      <c r="D61" s="214"/>
      <c r="E61" s="215"/>
      <c r="F61" s="62"/>
      <c r="G61" s="213" t="s">
        <v>14</v>
      </c>
      <c r="H61" s="290" t="n">
        <f aca="false">G18</f>
        <v>40526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B62+(B62*0.25*(H29/12-1))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1476.99972</v>
      </c>
      <c r="C64" s="214" t="n">
        <v>10000</v>
      </c>
      <c r="D64" s="290" t="n">
        <f aca="false">B64</f>
        <v>1476.99972</v>
      </c>
      <c r="E64" s="215"/>
      <c r="F64" s="62"/>
      <c r="G64" s="284" t="s">
        <v>91</v>
      </c>
      <c r="H64" s="132" t="n">
        <f aca="false">H61*H63</f>
        <v>2836.82</v>
      </c>
      <c r="I64" s="214"/>
      <c r="J64" s="290" t="n">
        <f aca="false">H64</f>
        <v>2836.82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210.99996</v>
      </c>
      <c r="C67" s="214"/>
      <c r="D67" s="290"/>
      <c r="E67" s="215"/>
      <c r="F67" s="62"/>
      <c r="G67" s="284" t="s">
        <v>94</v>
      </c>
      <c r="H67" s="132" t="n">
        <f aca="false">H61*H66</f>
        <v>202.63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 t="n">
        <f aca="false">IF(G18&gt;40000,325,0)</f>
        <v>325</v>
      </c>
      <c r="D75" s="214"/>
      <c r="E75" s="215"/>
      <c r="F75" s="62"/>
      <c r="G75" s="294" t="s">
        <v>281</v>
      </c>
      <c r="H75" s="298" t="n">
        <f aca="false">IF(G18&gt;40000,325,0)</f>
        <v>325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39.5833333333333</v>
      </c>
      <c r="I76" s="214"/>
      <c r="J76" s="290" t="n">
        <f aca="false">H76</f>
        <v>39.5833333333333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2803.66638666667</v>
      </c>
      <c r="C81" s="214"/>
      <c r="D81" s="214"/>
      <c r="E81" s="215"/>
      <c r="F81" s="62"/>
      <c r="G81" s="302" t="s">
        <v>103</v>
      </c>
      <c r="H81" s="303" t="n">
        <f aca="false">SUM(J64:J80)</f>
        <v>4490.40333333333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233.638865555556</v>
      </c>
      <c r="C82" s="214"/>
      <c r="D82" s="214"/>
      <c r="E82" s="215"/>
      <c r="F82" s="62"/>
      <c r="G82" s="213" t="s">
        <v>104</v>
      </c>
      <c r="H82" s="299" t="n">
        <f aca="false">H81/H29</f>
        <v>374.200277777778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((B83*(H29)+B81))*1.2</f>
        <v>10578.799664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12602.884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(((B83*(H29))+B81)/(1-B70))*B70</f>
        <v>74.6789004114563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88.9675151270674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10653.4785644115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12591.8615151271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IF(B99=Z102,(((H44*B35)+(H44*B35)*(B105/100))/(B58))*1.2,(((H44*B35)+(H44*B35)*(B105/100))/(B57+B58))*1.2)</f>
        <v>78</v>
      </c>
      <c r="C89" s="214"/>
      <c r="D89" s="214"/>
      <c r="E89" s="215"/>
      <c r="F89" s="62"/>
      <c r="G89" s="302" t="s">
        <v>118</v>
      </c>
      <c r="H89" s="303" t="n">
        <f aca="false">(A41+(A41*H105))*1.2</f>
        <v>72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887.789880367621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1049.32179292726</v>
      </c>
      <c r="I90" s="214"/>
      <c r="J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965.789880367621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1121.32179292726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285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f aca="false">199.99*1.2</f>
        <v>239.988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18</v>
      </c>
      <c r="B105" s="311" t="n">
        <v>30</v>
      </c>
      <c r="C105" s="311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 t="n">
        <v>0</v>
      </c>
      <c r="C108" s="216"/>
      <c r="D108" s="216" t="n">
        <v>0</v>
      </c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239.988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(E118+E117)-D115</f>
        <v>7239.988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887.789880367621</v>
      </c>
      <c r="B128" s="320" t="n">
        <f aca="false">IF(A105="YES",B89,0)</f>
        <v>78</v>
      </c>
      <c r="C128" s="325"/>
      <c r="D128" s="320" t="n">
        <f aca="false">B91</f>
        <v>965.789880367621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1049.32179292726</v>
      </c>
      <c r="H130" s="176" t="n">
        <f aca="false">IF(G105="YES",H89*H57,0)</f>
        <v>72</v>
      </c>
      <c r="I130" s="176"/>
      <c r="J130" s="333" t="n">
        <f aca="false">H91</f>
        <v>1121.32179292726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Monthly in advance</v>
      </c>
      <c r="B131" s="37" t="n">
        <f aca="false">B90*B57</f>
        <v>887.789880367621</v>
      </c>
      <c r="C131" s="316"/>
      <c r="D131" s="37" t="n">
        <f aca="false">IF(A105="YES",B89*B57,0)</f>
        <v>78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1049.32179292726</v>
      </c>
      <c r="H133" s="102" t="n">
        <f aca="false">IF(G105="YES",H89*H57,0)</f>
        <v>72</v>
      </c>
      <c r="I133" s="220"/>
      <c r="J133" s="183" t="n">
        <f aca="false">H91*H57</f>
        <v>1121.32179292726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965.789880367621</v>
      </c>
      <c r="B134" s="37" t="n">
        <f aca="false">E114</f>
        <v>4000</v>
      </c>
      <c r="C134" s="316"/>
      <c r="D134" s="336" t="n">
        <f aca="false">B58</f>
        <v>11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887.789880367621</v>
      </c>
      <c r="B137" s="37" t="n">
        <f aca="false">IF(A105="YES",B89,0)</f>
        <v>78</v>
      </c>
      <c r="C137" s="316"/>
      <c r="D137" s="37" t="n">
        <f aca="false">B91</f>
        <v>965.789880367621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202.63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(G18*0.000006)*1.2*100</f>
        <v>29.17872</v>
      </c>
      <c r="B140" s="342" t="n">
        <f aca="false">G18*0.000002*1.2*100</f>
        <v>9.72624</v>
      </c>
      <c r="C140" s="316"/>
      <c r="D140" s="342" t="n">
        <f aca="false">A140+B140</f>
        <v>38.90496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7.2</v>
      </c>
      <c r="H142" s="102" t="n">
        <f aca="false">G102-100</f>
        <v>139.988</v>
      </c>
      <c r="I142" s="102"/>
      <c r="J142" s="102" t="n">
        <f aca="false">(H139+J139+G142+H142)-H145</f>
        <v>1429.818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239.988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210.99996</v>
      </c>
      <c r="B148" s="37" t="n">
        <f aca="false">B102</f>
        <v>400</v>
      </c>
      <c r="C148" s="37"/>
      <c r="D148" s="37" t="n">
        <f aca="false">IF(A105="YES",(A41*B105)*B125,0)*0.001</f>
        <v>18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(E118/1.2)-100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728.98996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1121.32179292726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965.789880367621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887.789880367621</v>
      </c>
      <c r="B171" s="354" t="n">
        <f aca="false">IF(A105="YES",B89,0)</f>
        <v>78</v>
      </c>
      <c r="C171" s="357"/>
      <c r="D171" s="354" t="n">
        <f aca="false">B91</f>
        <v>965.789880367621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Monthly in advance</v>
      </c>
      <c r="B174" s="102" t="n">
        <f aca="false">B90*B57</f>
        <v>887.789880367621</v>
      </c>
      <c r="C174" s="352"/>
      <c r="D174" s="102" t="n">
        <f aca="false">IF(A105="YES",B89*B57,0)</f>
        <v>78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965.789880367621</v>
      </c>
      <c r="B177" s="102" t="n">
        <f aca="false">E114</f>
        <v>4000</v>
      </c>
      <c r="C177" s="352"/>
      <c r="D177" s="360" t="n">
        <f aca="false">B58</f>
        <v>11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887.789880367621</v>
      </c>
      <c r="B180" s="102" t="n">
        <f aca="false">IF(A105="YES",B89,0)</f>
        <v>78</v>
      </c>
      <c r="C180" s="352"/>
      <c r="D180" s="102" t="n">
        <f aca="false">B91</f>
        <v>965.789880367621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(G18*0.000006)*1.2*100</f>
        <v>29.17872</v>
      </c>
      <c r="B183" s="364" t="n">
        <f aca="false">G18*0.000002*1.2*100</f>
        <v>9.72624</v>
      </c>
      <c r="C183" s="352"/>
      <c r="D183" s="364" t="n">
        <f aca="false">A183+B183</f>
        <v>38.90496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239.988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210.99996</v>
      </c>
      <c r="B191" s="102" t="n">
        <f aca="false">B102</f>
        <v>400</v>
      </c>
      <c r="C191" s="102"/>
      <c r="D191" s="102" t="n">
        <f aca="false">IF(A105="YES",(A38/100*B105)*B125,0)*0.001</f>
        <v>18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(E118/1.2)-100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728.98996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B209</f>
        <v>0.065</v>
      </c>
      <c r="C203" s="320" t="s">
        <v>216</v>
      </c>
      <c r="D203" s="369" t="n">
        <f aca="false">D64</f>
        <v>1476.99972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210.99996</v>
      </c>
      <c r="C205" s="319" t="s">
        <v>218</v>
      </c>
      <c r="D205" s="369" t="n">
        <f aca="false">B219+E215+B215+B217</f>
        <v>519.99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1785.98976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1476.99972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210.99996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1785.98976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180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74.6789004114563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63" colorId="64" zoomScale="85" zoomScaleNormal="85" zoomScalePageLayoutView="100" workbookViewId="0">
      <selection pane="topLeft" activeCell="B184" activeCellId="1" sqref="A191 B18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18500</v>
      </c>
      <c r="C2" s="4" t="s">
        <v>2</v>
      </c>
      <c r="D2" s="5" t="n">
        <f aca="false">C9</f>
        <v>3700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22200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18500</v>
      </c>
      <c r="C9" s="9" t="n">
        <f aca="false">B9*0.2</f>
        <v>3700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18500</v>
      </c>
      <c r="C15" s="9" t="n">
        <f aca="false">SUM(C9:C13)</f>
        <v>3700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62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22200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18500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45400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50</v>
      </c>
      <c r="E32" s="225"/>
      <c r="F32" s="62"/>
      <c r="G32" s="226" t="s">
        <v>243</v>
      </c>
      <c r="H32" s="224" t="n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384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50</v>
      </c>
      <c r="B41" s="240" t="n">
        <f aca="false">IF(B38="YES",D38+A41,D38)</f>
        <v>550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1</v>
      </c>
      <c r="C44" s="103"/>
      <c r="D44" s="278" t="n">
        <f aca="false">A44+B44</f>
        <v>2</v>
      </c>
      <c r="E44" s="278"/>
      <c r="F44" s="62"/>
      <c r="G44" s="62" t="s">
        <v>257</v>
      </c>
      <c r="H44" s="237" t="n">
        <f aca="false">((A41*(B35-1))+D32)/B35</f>
        <v>50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 t="n">
        <f aca="false">(A41*(B58+B57))</f>
        <v>600</v>
      </c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551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1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11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277</v>
      </c>
      <c r="B60" s="214" t="n">
        <f aca="false">E19</f>
        <v>22200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40526</v>
      </c>
      <c r="C61" s="214"/>
      <c r="D61" s="214"/>
      <c r="E61" s="215"/>
      <c r="F61" s="62"/>
      <c r="G61" s="213" t="s">
        <v>14</v>
      </c>
      <c r="H61" s="290" t="n">
        <f aca="false">G18</f>
        <v>40526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B62+(B62*0.25*(H29/12-1))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1554</v>
      </c>
      <c r="C64" s="214" t="n">
        <v>10000</v>
      </c>
      <c r="D64" s="290" t="n">
        <f aca="false">B64</f>
        <v>1554</v>
      </c>
      <c r="E64" s="215"/>
      <c r="F64" s="62"/>
      <c r="G64" s="284" t="s">
        <v>91</v>
      </c>
      <c r="H64" s="132" t="n">
        <f aca="false">H61*H63</f>
        <v>2836.82</v>
      </c>
      <c r="I64" s="214"/>
      <c r="J64" s="290" t="n">
        <f aca="false">H64</f>
        <v>2836.82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222</v>
      </c>
      <c r="C67" s="214"/>
      <c r="D67" s="290"/>
      <c r="E67" s="215"/>
      <c r="F67" s="62"/>
      <c r="G67" s="284" t="s">
        <v>94</v>
      </c>
      <c r="H67" s="132" t="n">
        <f aca="false">H61*H66</f>
        <v>202.63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f aca="false">IF(G18&gt;40000,325,0)</f>
        <v>325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39.5833333333333</v>
      </c>
      <c r="I76" s="214"/>
      <c r="J76" s="290" t="n">
        <f aca="false">H76</f>
        <v>39.5833333333333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2880.66666666667</v>
      </c>
      <c r="C81" s="214"/>
      <c r="D81" s="214"/>
      <c r="E81" s="215"/>
      <c r="F81" s="62"/>
      <c r="G81" s="302" t="s">
        <v>103</v>
      </c>
      <c r="H81" s="303" t="n">
        <f aca="false">SUM(J64:J80)</f>
        <v>4490.40333333333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240.055555555556</v>
      </c>
      <c r="C82" s="214"/>
      <c r="D82" s="214"/>
      <c r="E82" s="215"/>
      <c r="F82" s="62"/>
      <c r="G82" s="213" t="s">
        <v>104</v>
      </c>
      <c r="H82" s="299" t="n">
        <f aca="false">H81/H29</f>
        <v>374.200277777778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</f>
        <v>8892.66666666667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12602.884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(B85/(1-B70))*B70</f>
        <v>75.3311819281969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88.9675151270674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8967.99784859486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12591.8615151271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IF(B99=Z102,(((H44*B35)+(H44*B35)*(B105/100))/(B58)),(((H44*B35)+(H44*B35)*(B105/100))/(B57+B58)))</f>
        <v>65</v>
      </c>
      <c r="C89" s="214" t="s">
        <v>4</v>
      </c>
      <c r="D89" s="214"/>
      <c r="E89" s="215"/>
      <c r="F89" s="62"/>
      <c r="G89" s="302" t="s">
        <v>118</v>
      </c>
      <c r="H89" s="303" t="n">
        <f aca="false">(A41+(A41*H105))*1.2</f>
        <v>72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747.333154049572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1049.32179292726</v>
      </c>
      <c r="I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812.333154049572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1121.32179292726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18</v>
      </c>
      <c r="B105" s="311" t="n">
        <v>30</v>
      </c>
      <c r="C105" s="311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 t="n">
        <v>0</v>
      </c>
      <c r="C108" s="216"/>
      <c r="D108" s="216" t="n">
        <v>0</v>
      </c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((E118*1.2)+E117)-D115</f>
        <v>7239.988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747.333154049572</v>
      </c>
      <c r="B128" s="320" t="n">
        <f aca="false">IF(A105="YES",B89,0)</f>
        <v>65</v>
      </c>
      <c r="C128" s="325"/>
      <c r="D128" s="320" t="n">
        <f aca="false">B91</f>
        <v>812.333154049572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1049.32179292726</v>
      </c>
      <c r="H130" s="176" t="n">
        <f aca="false">IF(G105="YES",H89*H57,0)</f>
        <v>72</v>
      </c>
      <c r="I130" s="176"/>
      <c r="J130" s="333" t="n">
        <f aca="false">H91</f>
        <v>1121.32179292726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Monthly in advance</v>
      </c>
      <c r="B131" s="37" t="n">
        <f aca="false">B90*B57</f>
        <v>747.333154049572</v>
      </c>
      <c r="C131" s="316"/>
      <c r="D131" s="37" t="n">
        <f aca="false">IF(A105="YES",B89*B57,0)</f>
        <v>65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1049.32179292726</v>
      </c>
      <c r="H133" s="102" t="n">
        <f aca="false">IF(G105="YES",H89*H57,0)</f>
        <v>72</v>
      </c>
      <c r="I133" s="220"/>
      <c r="J133" s="183" t="n">
        <f aca="false">H91*H57</f>
        <v>1121.32179292726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812.333154049572</v>
      </c>
      <c r="B134" s="37" t="n">
        <f aca="false">E114</f>
        <v>4000</v>
      </c>
      <c r="C134" s="316"/>
      <c r="D134" s="336" t="n">
        <f aca="false">B58</f>
        <v>11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747.333154049572</v>
      </c>
      <c r="B137" s="37" t="n">
        <f aca="false">IF(A105="YES",B89,0)</f>
        <v>65</v>
      </c>
      <c r="C137" s="316"/>
      <c r="D137" s="37" t="n">
        <f aca="false">B91</f>
        <v>812.333154049572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202.63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(G18*0.000006)*100</f>
        <v>24.3156</v>
      </c>
      <c r="B140" s="342" t="n">
        <f aca="false">G18*0.000002*100</f>
        <v>8.1052</v>
      </c>
      <c r="C140" s="316"/>
      <c r="D140" s="342" t="n">
        <f aca="false">A140+B140</f>
        <v>32.4208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7.2</v>
      </c>
      <c r="H142" s="102" t="n">
        <f aca="false">G102-100</f>
        <v>139.988</v>
      </c>
      <c r="I142" s="102"/>
      <c r="J142" s="102" t="n">
        <f aca="false">(H139+J139+G142+H142)-H145</f>
        <v>1429.818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222</v>
      </c>
      <c r="B148" s="37" t="n">
        <f aca="false">B102</f>
        <v>400</v>
      </c>
      <c r="C148" s="37"/>
      <c r="D148" s="37" t="n">
        <f aca="false">IF(A105="YES",(A41*B105)*B125,0)*0.001</f>
        <v>18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739.99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1121.32179292726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812.333154049572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747.333154049572</v>
      </c>
      <c r="B171" s="354" t="n">
        <f aca="false">IF(A105="YES",B89,0)</f>
        <v>65</v>
      </c>
      <c r="C171" s="357"/>
      <c r="D171" s="354" t="n">
        <f aca="false">B91</f>
        <v>812.333154049572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Monthly in advance</v>
      </c>
      <c r="B174" s="102" t="n">
        <f aca="false">B90*B57</f>
        <v>747.333154049572</v>
      </c>
      <c r="C174" s="352"/>
      <c r="D174" s="102" t="n">
        <f aca="false">IF(A105="YES",B89*B57,0)</f>
        <v>65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812.333154049572</v>
      </c>
      <c r="B177" s="102" t="n">
        <f aca="false">E114</f>
        <v>4000</v>
      </c>
      <c r="C177" s="352"/>
      <c r="D177" s="360" t="n">
        <f aca="false">B58</f>
        <v>11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747.333154049572</v>
      </c>
      <c r="B180" s="102" t="n">
        <f aca="false">IF(A105="YES",B89,0)</f>
        <v>65</v>
      </c>
      <c r="C180" s="352"/>
      <c r="D180" s="102" t="n">
        <f aca="false">B91</f>
        <v>812.333154049572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(G18*0.000006)*100</f>
        <v>24.3156</v>
      </c>
      <c r="B183" s="364" t="n">
        <f aca="false">G18*0.000002*100</f>
        <v>8.1052</v>
      </c>
      <c r="C183" s="352"/>
      <c r="D183" s="364" t="n">
        <f aca="false">A183+B183</f>
        <v>32.4208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199.99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222</v>
      </c>
      <c r="B191" s="102" t="n">
        <f aca="false">B102</f>
        <v>400</v>
      </c>
      <c r="C191" s="102"/>
      <c r="D191" s="102" t="n">
        <f aca="false">IF(A105="YES",(A38/100*B105)*B125,0)*0.001</f>
        <v>18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E118-100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739.99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H29</f>
        <v>12</v>
      </c>
      <c r="C203" s="320" t="s">
        <v>216</v>
      </c>
      <c r="D203" s="369" t="n">
        <f aca="false">D64</f>
        <v>1554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222</v>
      </c>
      <c r="C205" s="319" t="s">
        <v>218</v>
      </c>
      <c r="D205" s="369" t="n">
        <f aca="false">B219+E215+B215+B217</f>
        <v>519.99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1851.99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1554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222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1851.99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180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75.3311819281969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operator="between" showDropDown="false" showErrorMessage="true" showInputMessage="false" sqref="A32 B99" type="list">
      <formula1>'BCH (Formula 3) - BCH'!$Z$101:$Z$109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73" activeCellId="1" sqref="A191 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4" t="s">
        <v>1</v>
      </c>
      <c r="B2" s="5" t="n">
        <f aca="false">B9+B11</f>
        <v>16708.33</v>
      </c>
      <c r="C2" s="4" t="s">
        <v>2</v>
      </c>
      <c r="D2" s="5" t="n">
        <f aca="false">C9</f>
        <v>3341.666</v>
      </c>
      <c r="E2" s="4" t="s">
        <v>3</v>
      </c>
      <c r="F2" s="6" t="n">
        <f aca="false">B13</f>
        <v>0</v>
      </c>
      <c r="G2" s="62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4" t="s">
        <v>5</v>
      </c>
      <c r="B4" s="5" t="n">
        <f aca="false">B15+C15</f>
        <v>20049.996</v>
      </c>
      <c r="C4" s="268"/>
      <c r="D4" s="268"/>
      <c r="E4" s="268"/>
      <c r="F4" s="269" t="s">
        <v>4</v>
      </c>
      <c r="G4" s="62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385"/>
      <c r="I8" s="13" t="s">
        <v>3</v>
      </c>
      <c r="J8" s="9" t="n">
        <f aca="false">E13+E14</f>
        <v>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10" t="s">
        <v>8</v>
      </c>
      <c r="B9" s="14" t="n">
        <v>16708.33</v>
      </c>
      <c r="C9" s="9" t="n">
        <f aca="false">B9*0.2</f>
        <v>3341.666</v>
      </c>
      <c r="D9" s="270"/>
      <c r="E9" s="270"/>
      <c r="F9" s="62"/>
      <c r="G9" s="62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385"/>
      <c r="I10" s="15" t="s">
        <v>1</v>
      </c>
      <c r="J10" s="9" t="n">
        <f aca="false">E15-E11-J8</f>
        <v>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10" t="s">
        <v>12</v>
      </c>
      <c r="B15" s="9" t="n">
        <f aca="false">SUM(B9:B13)</f>
        <v>16708.33</v>
      </c>
      <c r="C15" s="9" t="n">
        <f aca="false">SUM(C9:C13)</f>
        <v>3341.666</v>
      </c>
      <c r="D15" s="270"/>
      <c r="E15" s="270"/>
      <c r="F15" s="62"/>
      <c r="G15" s="273" t="n">
        <f aca="false">E15</f>
        <v>0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20049.996</v>
      </c>
      <c r="F19" s="62"/>
      <c r="G19" s="62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16708.33</v>
      </c>
      <c r="F21" s="62"/>
      <c r="G21" s="62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45400</v>
      </c>
      <c r="E29" s="387"/>
      <c r="F29" s="385"/>
      <c r="G29" s="28" t="s">
        <v>28</v>
      </c>
      <c r="H29" s="36" t="n">
        <f aca="false">A32</f>
        <v>12</v>
      </c>
      <c r="I29" s="385"/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600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334</v>
      </c>
      <c r="B34" s="230" t="s">
        <v>48</v>
      </c>
      <c r="C34" s="229" t="s">
        <v>4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E19</f>
        <v>20049.996</v>
      </c>
      <c r="B35" s="222" t="s">
        <v>45</v>
      </c>
      <c r="C35" s="222"/>
      <c r="D35" s="278" t="n">
        <f aca="false">A35-B35</f>
        <v>19049.996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45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57</v>
      </c>
      <c r="G40" s="2" t="s">
        <v>58</v>
      </c>
      <c r="H40" s="2" t="n">
        <f aca="false">C15</f>
        <v>3341.666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335</v>
      </c>
      <c r="B41" s="103" t="s">
        <v>336</v>
      </c>
      <c r="C41" s="103"/>
      <c r="D41" s="222" t="s">
        <v>18</v>
      </c>
      <c r="E41" s="222"/>
      <c r="F41" s="385"/>
      <c r="G41" s="2" t="s">
        <v>59</v>
      </c>
      <c r="H41" s="2" t="str">
        <f aca="false">IF(D41="Yes",A44,0)</f>
        <v>50</v>
      </c>
      <c r="I41" s="2"/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336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s">
        <v>70</v>
      </c>
      <c r="B44" s="103" t="s">
        <v>337</v>
      </c>
      <c r="C44" s="103"/>
      <c r="D44" s="103" t="s">
        <v>337</v>
      </c>
      <c r="E44" s="103"/>
      <c r="F44" s="385"/>
      <c r="G44" s="2" t="s">
        <v>65</v>
      </c>
      <c r="H44" s="2" t="n">
        <f aca="false">((H40-(((H42/(1.2))*0.2)))/(H43))</f>
        <v>195.138833333333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354.861166666667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357.527833333333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29"/>
      <c r="E50" s="242"/>
      <c r="F50" s="385"/>
      <c r="G50" s="2" t="s">
        <v>340</v>
      </c>
      <c r="H50" s="2" t="n">
        <f aca="false">H49-H41</f>
        <v>307.527833333333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H49</f>
        <v>357.527833333333</v>
      </c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357.527833333333</v>
      </c>
      <c r="C58" s="73"/>
      <c r="D58" s="352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213" t="s">
        <v>277</v>
      </c>
      <c r="B66" s="214" t="n">
        <f aca="false">E19</f>
        <v>20049.996</v>
      </c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316"/>
      <c r="D67" s="316"/>
      <c r="E67" s="317"/>
      <c r="F67" s="385"/>
      <c r="G67" s="315" t="s">
        <v>14</v>
      </c>
      <c r="H67" s="31" t="n">
        <f aca="false">G18</f>
        <v>40526</v>
      </c>
      <c r="I67" s="316"/>
      <c r="J67" s="316"/>
      <c r="K67" s="317"/>
      <c r="L67" s="385"/>
      <c r="M67" s="315" t="s">
        <v>14</v>
      </c>
      <c r="N67" s="31" t="n">
        <f aca="false">G18</f>
        <v>40526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291" t="s">
        <v>278</v>
      </c>
      <c r="B68" s="292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284" t="s">
        <v>91</v>
      </c>
      <c r="B70" s="132" t="n">
        <f aca="false">B66*B69</f>
        <v>1403.49972</v>
      </c>
      <c r="C70" s="316" t="n">
        <v>10000</v>
      </c>
      <c r="D70" s="31" t="n">
        <f aca="false">B70-A149</f>
        <v>1403.49972</v>
      </c>
      <c r="E70" s="317" t="n">
        <f aca="false">D70/12</f>
        <v>116.95831</v>
      </c>
      <c r="F70" s="385"/>
      <c r="G70" s="365" t="s">
        <v>91</v>
      </c>
      <c r="H70" s="64" t="n">
        <f aca="false">H67*H69</f>
        <v>2836.82</v>
      </c>
      <c r="I70" s="316"/>
      <c r="J70" s="31" t="n">
        <f aca="false">H70-G151</f>
        <v>2836.82</v>
      </c>
      <c r="K70" s="317"/>
      <c r="L70" s="385"/>
      <c r="M70" s="365" t="s">
        <v>91</v>
      </c>
      <c r="N70" s="64" t="n">
        <f aca="false">N67*N69</f>
        <v>2836.82</v>
      </c>
      <c r="O70" s="316"/>
      <c r="P70" s="31" t="n">
        <f aca="false">N70-M151</f>
        <v>2836.82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291" t="s">
        <v>92</v>
      </c>
      <c r="B71" s="292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284" t="s">
        <v>94</v>
      </c>
      <c r="B73" s="132" t="n">
        <f aca="false">B66*B72</f>
        <v>200.49996</v>
      </c>
      <c r="C73" s="316"/>
      <c r="D73" s="31"/>
      <c r="E73" s="317"/>
      <c r="F73" s="385"/>
      <c r="G73" s="365" t="s">
        <v>94</v>
      </c>
      <c r="H73" s="64" t="n">
        <f aca="false">H67*H72</f>
        <v>202.63</v>
      </c>
      <c r="I73" s="316"/>
      <c r="J73" s="31"/>
      <c r="K73" s="317"/>
      <c r="L73" s="385"/>
      <c r="M73" s="365" t="s">
        <v>94</v>
      </c>
      <c r="N73" s="64" t="n">
        <f aca="false">N67*N72</f>
        <v>202.63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275</v>
      </c>
      <c r="C80" s="316"/>
      <c r="D80" s="316"/>
      <c r="E80" s="401" t="n">
        <f aca="false">E79+D82</f>
        <v>957.916666666667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0</v>
      </c>
      <c r="C81" s="316"/>
      <c r="D81" s="316"/>
      <c r="E81" s="317" t="n">
        <f aca="false">E80/12</f>
        <v>79.8263888888889</v>
      </c>
      <c r="F81" s="385"/>
      <c r="G81" s="398" t="s">
        <v>281</v>
      </c>
      <c r="H81" s="76" t="n">
        <f aca="false">IF(G18&gt;40000,325,0)</f>
        <v>325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((B80+B81)/12)*(H29+1)</f>
        <v>297.916666666667</v>
      </c>
      <c r="C82" s="316"/>
      <c r="D82" s="31" t="n">
        <f aca="false">IF(A50="YES",0,B82)</f>
        <v>297.916666666667</v>
      </c>
      <c r="E82" s="317"/>
      <c r="F82" s="385"/>
      <c r="G82" s="365" t="s">
        <v>282</v>
      </c>
      <c r="H82" s="64" t="n">
        <f aca="false">((H80+H81)/12)*(H29-11)</f>
        <v>39.5833333333333</v>
      </c>
      <c r="I82" s="316"/>
      <c r="J82" s="31" t="n">
        <f aca="false">IF(A50="YES",0,H82)</f>
        <v>39.5833333333333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3028.08305333333</v>
      </c>
      <c r="C87" s="316"/>
      <c r="D87" s="316"/>
      <c r="E87" s="317"/>
      <c r="F87" s="385"/>
      <c r="G87" s="409" t="s">
        <v>103</v>
      </c>
      <c r="H87" s="410" t="n">
        <f aca="false">SUM(J70:J86)</f>
        <v>5990.40333333333</v>
      </c>
      <c r="I87" s="316"/>
      <c r="J87" s="316"/>
      <c r="K87" s="317"/>
      <c r="L87" s="385"/>
      <c r="M87" s="409" t="s">
        <v>103</v>
      </c>
      <c r="N87" s="410" t="n">
        <f aca="false">SUM(P70:P86)</f>
        <v>5950.82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252.340254444444</v>
      </c>
      <c r="C88" s="316"/>
      <c r="D88" s="316"/>
      <c r="E88" s="317"/>
      <c r="F88" s="385"/>
      <c r="G88" s="315" t="s">
        <v>104</v>
      </c>
      <c r="H88" s="32" t="n">
        <f aca="false">H87/H29</f>
        <v>499.200277777778</v>
      </c>
      <c r="I88" s="316"/>
      <c r="J88" s="316"/>
      <c r="K88" s="317"/>
      <c r="L88" s="385"/>
      <c r="M88" s="315" t="s">
        <v>104</v>
      </c>
      <c r="N88" s="32" t="n">
        <f aca="false">N87/H29</f>
        <v>495.901666666667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307.527833333333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((B89*H29)+B87)*1.2</f>
        <v>8062.100464</v>
      </c>
      <c r="C91" s="316"/>
      <c r="D91" s="316"/>
      <c r="E91" s="317"/>
      <c r="F91" s="385"/>
      <c r="G91" s="393" t="s">
        <v>115</v>
      </c>
      <c r="H91" s="26" t="n">
        <f aca="false">((H89*H29)+H87)*1.2</f>
        <v>7188.484</v>
      </c>
      <c r="I91" s="316"/>
      <c r="J91" s="316"/>
      <c r="K91" s="317"/>
      <c r="L91" s="385"/>
      <c r="M91" s="393" t="s">
        <v>115</v>
      </c>
      <c r="N91" s="26" t="n">
        <f aca="false">((N89*H29)+N87)</f>
        <v>5950.82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56.9127705203711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50.7456514723679</v>
      </c>
      <c r="I92" s="316"/>
      <c r="J92" s="316"/>
      <c r="K92" s="317"/>
      <c r="L92" s="385"/>
      <c r="M92" s="315" t="s">
        <v>116</v>
      </c>
      <c r="N92" s="32" t="n">
        <f aca="false">(N91/(1-N76))*N76</f>
        <v>50.4103348124244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8119.01323452037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9239.22965147237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8001.23033481242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IF(B105=Z104,(((H41*A32)+(H41*A32)*(B111/100))/(B64)),(((H41*A32)+(H41*A32)*(B111/100))/(B63+B64)))*1.2</f>
        <v>72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676.584436210031</v>
      </c>
      <c r="C96" s="316"/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748.584436210031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129</v>
      </c>
      <c r="C105" s="311"/>
      <c r="D105" s="418" t="n">
        <v>1000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18</v>
      </c>
      <c r="B111" s="311" t="n">
        <v>20</v>
      </c>
      <c r="C111" s="311"/>
      <c r="D111" s="106" t="n">
        <v>200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19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</v>
      </c>
      <c r="E118" s="106" t="n">
        <v>6000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2000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239.99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(E124+E123)-E120</f>
        <v>-2760.01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11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11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676.584436210031</v>
      </c>
      <c r="B134" s="320" t="n">
        <f aca="false">IF(A111="YES",B95,0)</f>
        <v>72</v>
      </c>
      <c r="C134" s="324"/>
      <c r="D134" s="320" t="n">
        <f aca="false">B97</f>
        <v>748.584436210031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Monthly in advance</v>
      </c>
      <c r="B137" s="37" t="n">
        <f aca="false">B96*B63</f>
        <v>676.584436210031</v>
      </c>
      <c r="C137" s="316"/>
      <c r="D137" s="37" t="n">
        <f aca="false">IF(A111="YES",B95*B63,0)</f>
        <v>72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748.584436210031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</v>
      </c>
      <c r="H142" s="37" t="n">
        <f aca="false">IF(G111="YES",E15*0.000002,0)</f>
        <v>0</v>
      </c>
      <c r="I142" s="37"/>
      <c r="J142" s="37" t="n">
        <f aca="false">G142+H142</f>
        <v>0</v>
      </c>
      <c r="K142" s="104"/>
      <c r="L142" s="385"/>
      <c r="M142" s="110" t="n">
        <f aca="false">E15*0.000006</f>
        <v>0</v>
      </c>
      <c r="N142" s="37" t="n">
        <f aca="false">IF(M111="YES",E15*0.000002,0)</f>
        <v>0</v>
      </c>
      <c r="O142" s="37"/>
      <c r="P142" s="37" t="n">
        <f aca="false">M142+N142</f>
        <v>0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676.584436210031</v>
      </c>
      <c r="B143" s="37" t="n">
        <f aca="false">IF(A111="YES",B95,0)</f>
        <v>72</v>
      </c>
      <c r="C143" s="316"/>
      <c r="D143" s="37" t="n">
        <f aca="false">B97</f>
        <v>748.584436210031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168.858333333333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168.858333333333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G18*0.000002*1.2*100</f>
        <v>9.72624</v>
      </c>
      <c r="C146" s="316"/>
      <c r="D146" s="342" t="n">
        <f aca="false">A146+B146</f>
        <v>38.90496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2828.84633333333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2788.84833333333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200.49996</v>
      </c>
      <c r="B154" s="37" t="n">
        <f aca="false">B108</f>
        <v>400</v>
      </c>
      <c r="C154" s="37"/>
      <c r="D154" s="37" t="n">
        <f aca="false">IF(A111="YES",(A44/100*B111)*B131,0)*0.1</f>
        <v>12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3341.666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712.491626666667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748.584436210031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/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676.584436210031</v>
      </c>
      <c r="B177" s="354" t="n">
        <f aca="false">IF(A111="YES",B95,0)</f>
        <v>72</v>
      </c>
      <c r="C177" s="356"/>
      <c r="D177" s="354" t="n">
        <f aca="false">A177+B177</f>
        <v>748.584436210031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Monthly in advance</v>
      </c>
      <c r="B180" s="102" t="n">
        <f aca="false">B96*B63</f>
        <v>676.584436210031</v>
      </c>
      <c r="C180" s="352"/>
      <c r="D180" s="102" t="n">
        <f aca="false">IF(A111="YES",B95*B63,0)</f>
        <v>72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748.584436210031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676.584436210031</v>
      </c>
      <c r="B186" s="102" t="n">
        <f aca="false">IF(A111="YES",B95,0)</f>
        <v>72</v>
      </c>
      <c r="C186" s="352"/>
      <c r="D186" s="102" t="n">
        <f aca="false">B97</f>
        <v>748.584436210031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G18*0.000002*1.2*100</f>
        <v>9.72624</v>
      </c>
      <c r="C189" s="352"/>
      <c r="D189" s="364" t="n">
        <f aca="false">A189+B189</f>
        <v>38.90496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200.49996</v>
      </c>
      <c r="B197" s="102" t="n">
        <f aca="false">B108</f>
        <v>400</v>
      </c>
      <c r="C197" s="102"/>
      <c r="D197" s="102" t="n">
        <f aca="false">IF(A111="YES",(A44/100*B111)*B131,0)*0.1</f>
        <v>12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712.491626666667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G201" s="385"/>
      <c r="H201" s="385"/>
      <c r="I201" s="385"/>
      <c r="J201" s="385"/>
      <c r="K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G202" s="385"/>
      <c r="H202" s="385"/>
      <c r="I202" s="385"/>
      <c r="J202" s="385"/>
      <c r="K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G203" s="385"/>
      <c r="H203" s="385"/>
      <c r="I203" s="385"/>
      <c r="J203" s="385"/>
      <c r="K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G204" s="385"/>
      <c r="H204" s="385"/>
      <c r="I204" s="385"/>
      <c r="J204" s="385"/>
      <c r="K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G205" s="385"/>
      <c r="H205" s="385"/>
      <c r="I205" s="385"/>
      <c r="J205" s="385"/>
      <c r="K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G206" s="385"/>
      <c r="H206" s="385"/>
      <c r="I206" s="385"/>
      <c r="J206" s="385"/>
      <c r="K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G207" s="385"/>
      <c r="H207" s="385"/>
      <c r="I207" s="385"/>
      <c r="J207" s="385"/>
      <c r="K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G208" s="385"/>
      <c r="H208" s="385"/>
      <c r="I208" s="385"/>
      <c r="J208" s="385"/>
      <c r="K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1403.49972</v>
      </c>
      <c r="E209" s="321"/>
      <c r="F209" s="385"/>
      <c r="G209" s="385"/>
      <c r="H209" s="385"/>
      <c r="I209" s="385"/>
      <c r="J209" s="385"/>
      <c r="K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G210" s="385"/>
      <c r="H210" s="385"/>
      <c r="I210" s="385"/>
      <c r="J210" s="385"/>
      <c r="K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200.49996</v>
      </c>
      <c r="C211" s="319" t="s">
        <v>218</v>
      </c>
      <c r="D211" s="369" t="n">
        <f aca="false">B225+E221+B221+B223</f>
        <v>459.991666666667</v>
      </c>
      <c r="E211" s="321"/>
      <c r="F211" s="385"/>
      <c r="G211" s="385"/>
      <c r="H211" s="385"/>
      <c r="I211" s="385"/>
      <c r="J211" s="385"/>
      <c r="K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G212" s="385"/>
      <c r="H212" s="385"/>
      <c r="I212" s="385"/>
      <c r="J212" s="385"/>
      <c r="K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1662.99142666667</v>
      </c>
      <c r="C213" s="324"/>
      <c r="D213" s="320"/>
      <c r="E213" s="321"/>
      <c r="F213" s="385"/>
      <c r="G213" s="385"/>
      <c r="H213" s="385"/>
      <c r="I213" s="385"/>
      <c r="J213" s="385"/>
      <c r="K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G214" s="385"/>
      <c r="H214" s="385"/>
      <c r="I214" s="385"/>
      <c r="J214" s="385"/>
      <c r="K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G215" s="385"/>
      <c r="H215" s="385"/>
      <c r="I215" s="385"/>
      <c r="J215" s="385"/>
      <c r="K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G216" s="385"/>
      <c r="H216" s="385"/>
      <c r="I216" s="385"/>
      <c r="J216" s="385"/>
      <c r="K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1403.49972</v>
      </c>
      <c r="C217" s="373" t="s">
        <v>222</v>
      </c>
      <c r="D217" s="316"/>
      <c r="E217" s="374" t="n">
        <f aca="false">B72</f>
        <v>0.01</v>
      </c>
      <c r="F217" s="385"/>
      <c r="G217" s="385"/>
      <c r="H217" s="385"/>
      <c r="I217" s="385"/>
      <c r="J217" s="385"/>
      <c r="K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G218" s="385"/>
      <c r="H218" s="385"/>
      <c r="I218" s="385"/>
      <c r="J218" s="385"/>
      <c r="K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200.49996</v>
      </c>
      <c r="C219" s="335" t="s">
        <v>327</v>
      </c>
      <c r="D219" s="336"/>
      <c r="E219" s="91" t="n">
        <v>0.001</v>
      </c>
      <c r="F219" s="385"/>
      <c r="G219" s="385"/>
      <c r="H219" s="385"/>
      <c r="I219" s="385"/>
      <c r="J219" s="385"/>
      <c r="K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G220" s="385"/>
      <c r="H220" s="385"/>
      <c r="I220" s="385"/>
      <c r="J220" s="385"/>
      <c r="K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385"/>
      <c r="G221" s="385"/>
      <c r="H221" s="385"/>
      <c r="I221" s="385"/>
      <c r="J221" s="385"/>
      <c r="K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G222" s="385"/>
      <c r="H222" s="385"/>
      <c r="I222" s="385"/>
      <c r="J222" s="385"/>
      <c r="K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1662.99142666667</v>
      </c>
      <c r="F223" s="385"/>
      <c r="G223" s="385"/>
      <c r="H223" s="385"/>
      <c r="I223" s="385"/>
      <c r="J223" s="385"/>
      <c r="K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G224" s="385"/>
      <c r="H224" s="385"/>
      <c r="I224" s="385"/>
      <c r="J224" s="385"/>
      <c r="K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120</v>
      </c>
      <c r="C225" s="37"/>
      <c r="D225" s="340"/>
      <c r="E225" s="166"/>
      <c r="F225" s="385"/>
      <c r="G225" s="385"/>
      <c r="H225" s="385"/>
      <c r="I225" s="385"/>
      <c r="J225" s="385"/>
      <c r="K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G226" s="385"/>
      <c r="H226" s="385"/>
      <c r="I226" s="385"/>
      <c r="J226" s="385"/>
      <c r="K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G227" s="385"/>
      <c r="H227" s="385"/>
      <c r="I227" s="385"/>
      <c r="J227" s="385"/>
      <c r="K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G228" s="385"/>
      <c r="H228" s="385"/>
      <c r="I228" s="385"/>
      <c r="J228" s="385"/>
      <c r="K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385"/>
      <c r="G229" s="385"/>
      <c r="H229" s="385"/>
      <c r="I229" s="385"/>
      <c r="J229" s="385"/>
      <c r="K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385"/>
      <c r="G230" s="385"/>
      <c r="H230" s="385"/>
      <c r="I230" s="385"/>
      <c r="J230" s="385"/>
      <c r="K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G231" s="385"/>
      <c r="H231" s="385"/>
      <c r="I231" s="385"/>
      <c r="J231" s="385"/>
      <c r="K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56.9127705203711</v>
      </c>
      <c r="F232" s="385"/>
      <c r="G232" s="385"/>
      <c r="H232" s="385"/>
      <c r="I232" s="385"/>
      <c r="J232" s="385"/>
      <c r="K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385"/>
      <c r="G233" s="385"/>
      <c r="H233" s="385"/>
      <c r="I233" s="385"/>
      <c r="J233" s="385"/>
      <c r="K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G234" s="385"/>
      <c r="H234" s="385"/>
      <c r="I234" s="385"/>
      <c r="J234" s="385"/>
      <c r="K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385"/>
      <c r="G235" s="385"/>
      <c r="H235" s="385"/>
      <c r="I235" s="385"/>
      <c r="J235" s="385"/>
      <c r="K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G236" s="385"/>
      <c r="H236" s="385"/>
      <c r="I236" s="385"/>
      <c r="J236" s="385"/>
      <c r="K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G237" s="385"/>
      <c r="H237" s="385"/>
      <c r="I237" s="385"/>
      <c r="J237" s="385"/>
      <c r="K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G238" s="385"/>
      <c r="H238" s="385"/>
      <c r="I238" s="385"/>
      <c r="J238" s="385"/>
      <c r="K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G239" s="385"/>
      <c r="H239" s="385"/>
      <c r="I239" s="385"/>
      <c r="J239" s="385"/>
      <c r="K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G240" s="385"/>
      <c r="H240" s="385"/>
      <c r="I240" s="385"/>
      <c r="J240" s="385"/>
      <c r="K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G241" s="385"/>
      <c r="H241" s="385"/>
      <c r="I241" s="385"/>
      <c r="J241" s="385"/>
      <c r="K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G242" s="385"/>
      <c r="H242" s="385"/>
      <c r="I242" s="385"/>
      <c r="J242" s="385"/>
      <c r="K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85"/>
      <c r="B243" s="385"/>
      <c r="C243" s="385"/>
      <c r="D243" s="385"/>
      <c r="E243" s="385"/>
      <c r="F243" s="385"/>
      <c r="G243" s="385"/>
      <c r="H243" s="385"/>
      <c r="I243" s="385"/>
      <c r="J243" s="385"/>
      <c r="K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385"/>
      <c r="B244" s="385"/>
      <c r="C244" s="385"/>
      <c r="D244" s="385"/>
      <c r="E244" s="385"/>
      <c r="F244" s="385"/>
      <c r="G244" s="385"/>
      <c r="H244" s="385"/>
      <c r="I244" s="385"/>
      <c r="J244" s="385"/>
      <c r="K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85"/>
      <c r="B245" s="385"/>
      <c r="C245" s="385"/>
      <c r="D245" s="385"/>
      <c r="E245" s="385"/>
      <c r="F245" s="385"/>
      <c r="G245" s="385"/>
      <c r="H245" s="385"/>
      <c r="I245" s="385"/>
      <c r="J245" s="385"/>
      <c r="K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85"/>
      <c r="B246" s="385"/>
      <c r="C246" s="385"/>
      <c r="D246" s="385"/>
      <c r="E246" s="385"/>
      <c r="F246" s="385"/>
      <c r="G246" s="385"/>
      <c r="H246" s="385"/>
      <c r="I246" s="385"/>
      <c r="J246" s="385"/>
      <c r="K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385"/>
      <c r="B247" s="385"/>
      <c r="C247" s="385"/>
      <c r="D247" s="385"/>
      <c r="E247" s="385"/>
      <c r="F247" s="385"/>
      <c r="G247" s="385"/>
      <c r="H247" s="385"/>
      <c r="I247" s="385"/>
      <c r="J247" s="385"/>
      <c r="K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85"/>
      <c r="B248" s="385"/>
      <c r="C248" s="385"/>
      <c r="D248" s="385"/>
      <c r="E248" s="385"/>
      <c r="F248" s="385"/>
      <c r="G248" s="385"/>
      <c r="H248" s="385"/>
      <c r="I248" s="385"/>
      <c r="J248" s="385"/>
      <c r="K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87" colorId="64" zoomScale="85" zoomScaleNormal="85" zoomScalePageLayoutView="100" workbookViewId="0">
      <selection pane="topLeft" activeCell="B189" activeCellId="1" sqref="A191 B18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4" t="s">
        <v>1</v>
      </c>
      <c r="B2" s="5" t="n">
        <f aca="false">B9+B11</f>
        <v>16708.33</v>
      </c>
      <c r="C2" s="4" t="s">
        <v>2</v>
      </c>
      <c r="D2" s="5" t="n">
        <f aca="false">C9</f>
        <v>3341.666</v>
      </c>
      <c r="E2" s="4" t="s">
        <v>3</v>
      </c>
      <c r="F2" s="6" t="n">
        <f aca="false">B13</f>
        <v>0</v>
      </c>
      <c r="G2" s="62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4" t="s">
        <v>5</v>
      </c>
      <c r="B4" s="5" t="n">
        <f aca="false">B15+C15</f>
        <v>20049.996</v>
      </c>
      <c r="C4" s="268"/>
      <c r="D4" s="268"/>
      <c r="E4" s="268"/>
      <c r="F4" s="269" t="s">
        <v>4</v>
      </c>
      <c r="G4" s="62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385"/>
      <c r="I8" s="13" t="s">
        <v>3</v>
      </c>
      <c r="J8" s="9" t="n">
        <f aca="false">E13+E14</f>
        <v>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10" t="s">
        <v>8</v>
      </c>
      <c r="B9" s="14" t="n">
        <v>16708.33</v>
      </c>
      <c r="C9" s="9" t="n">
        <f aca="false">B9*0.2</f>
        <v>3341.666</v>
      </c>
      <c r="D9" s="270"/>
      <c r="E9" s="270"/>
      <c r="F9" s="62"/>
      <c r="G9" s="62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385"/>
      <c r="I10" s="15" t="s">
        <v>1</v>
      </c>
      <c r="J10" s="9" t="n">
        <f aca="false">E15-E11-J8</f>
        <v>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10" t="s">
        <v>12</v>
      </c>
      <c r="B15" s="9" t="n">
        <f aca="false">SUM(B9:B13)</f>
        <v>16708.33</v>
      </c>
      <c r="C15" s="9" t="n">
        <f aca="false">SUM(C9:C13)</f>
        <v>3341.666</v>
      </c>
      <c r="D15" s="270"/>
      <c r="E15" s="270"/>
      <c r="F15" s="62"/>
      <c r="G15" s="273" t="n">
        <f aca="false">E15</f>
        <v>0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20049.996</v>
      </c>
      <c r="F19" s="62"/>
      <c r="G19" s="62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16708.33</v>
      </c>
      <c r="F21" s="62"/>
      <c r="G21" s="62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45400</v>
      </c>
      <c r="E29" s="387"/>
      <c r="F29" s="385"/>
      <c r="G29" s="28" t="s">
        <v>28</v>
      </c>
      <c r="H29" s="36" t="n">
        <f aca="false">A32</f>
        <v>12</v>
      </c>
      <c r="I29" s="385" t="n">
        <f aca="false">ISNUMBER(I31)</f>
        <v>0</v>
      </c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600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348</v>
      </c>
      <c r="B34" s="230" t="s">
        <v>48</v>
      </c>
      <c r="C34" s="229" t="s">
        <v>4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E19</f>
        <v>20049.996</v>
      </c>
      <c r="B35" s="222" t="s">
        <v>45</v>
      </c>
      <c r="C35" s="222"/>
      <c r="D35" s="278" t="n">
        <f aca="false">A35-B35</f>
        <v>19049.996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4</v>
      </c>
      <c r="G40" s="2" t="s">
        <v>58</v>
      </c>
      <c r="H40" s="2" t="n">
        <f aca="false">C15</f>
        <v>3341.666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335</v>
      </c>
      <c r="B41" s="103" t="s">
        <v>336</v>
      </c>
      <c r="C41" s="103"/>
      <c r="D41" s="222" t="s">
        <v>18</v>
      </c>
      <c r="E41" s="222"/>
      <c r="F41" s="385"/>
      <c r="G41" s="2" t="s">
        <v>59</v>
      </c>
      <c r="H41" s="2" t="str">
        <f aca="false">IF(D41="Yes",A44,0)</f>
        <v>50</v>
      </c>
      <c r="I41" s="2" t="s">
        <v>4</v>
      </c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4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s">
        <v>70</v>
      </c>
      <c r="B44" s="103" t="s">
        <v>337</v>
      </c>
      <c r="C44" s="103"/>
      <c r="D44" s="103" t="s">
        <v>337</v>
      </c>
      <c r="E44" s="103"/>
      <c r="F44" s="385"/>
      <c r="G44" s="2" t="s">
        <v>65</v>
      </c>
      <c r="H44" s="2" t="n">
        <f aca="false">((H40-(((H42/(1.2))*0.2)))/(H43))</f>
        <v>195.138833333333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354.861166666667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357.527833333333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109"/>
      <c r="B50" s="229"/>
      <c r="C50" s="229"/>
      <c r="D50" s="229"/>
      <c r="E50" s="242"/>
      <c r="F50" s="385"/>
      <c r="G50" s="2" t="s">
        <v>340</v>
      </c>
      <c r="H50" s="2" t="n">
        <f aca="false">H49-H41</f>
        <v>307.527833333333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/>
      <c r="B52" s="73"/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357.527833333333</v>
      </c>
      <c r="C58" s="73"/>
      <c r="D58" s="424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 t="s">
        <v>4</v>
      </c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213" t="s">
        <v>277</v>
      </c>
      <c r="B66" s="214" t="n">
        <f aca="false">E19</f>
        <v>20049.996</v>
      </c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316"/>
      <c r="D67" s="316"/>
      <c r="E67" s="317"/>
      <c r="F67" s="385"/>
      <c r="G67" s="315" t="s">
        <v>14</v>
      </c>
      <c r="H67" s="31" t="n">
        <f aca="false">G18</f>
        <v>40526</v>
      </c>
      <c r="I67" s="316"/>
      <c r="J67" s="316"/>
      <c r="K67" s="317"/>
      <c r="L67" s="385"/>
      <c r="M67" s="315" t="s">
        <v>14</v>
      </c>
      <c r="N67" s="31" t="n">
        <f aca="false">G18</f>
        <v>40526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291" t="s">
        <v>278</v>
      </c>
      <c r="B68" s="292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284" t="s">
        <v>91</v>
      </c>
      <c r="B70" s="132" t="n">
        <f aca="false">B67*B69</f>
        <v>2836.82</v>
      </c>
      <c r="C70" s="316" t="n">
        <v>10000</v>
      </c>
      <c r="D70" s="31" t="n">
        <f aca="false">B70-A149</f>
        <v>2836.82</v>
      </c>
      <c r="E70" s="317" t="n">
        <f aca="false">D70/12</f>
        <v>236.401666666667</v>
      </c>
      <c r="F70" s="385"/>
      <c r="G70" s="365" t="s">
        <v>91</v>
      </c>
      <c r="H70" s="64" t="n">
        <f aca="false">H67*H69</f>
        <v>2836.82</v>
      </c>
      <c r="I70" s="316"/>
      <c r="J70" s="31" t="n">
        <f aca="false">H70-G151</f>
        <v>2836.82</v>
      </c>
      <c r="K70" s="317"/>
      <c r="L70" s="385"/>
      <c r="M70" s="365" t="s">
        <v>91</v>
      </c>
      <c r="N70" s="64" t="n">
        <f aca="false">N67*N69</f>
        <v>2836.82</v>
      </c>
      <c r="O70" s="316"/>
      <c r="P70" s="31" t="n">
        <f aca="false">N70-M151</f>
        <v>2836.82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291" t="s">
        <v>92</v>
      </c>
      <c r="B71" s="292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284" t="s">
        <v>94</v>
      </c>
      <c r="B73" s="132" t="n">
        <f aca="false">B66*B72</f>
        <v>200.49996</v>
      </c>
      <c r="C73" s="316"/>
      <c r="D73" s="31"/>
      <c r="E73" s="317"/>
      <c r="F73" s="385"/>
      <c r="G73" s="365" t="s">
        <v>94</v>
      </c>
      <c r="H73" s="64" t="n">
        <f aca="false">H67*H72</f>
        <v>202.63</v>
      </c>
      <c r="I73" s="316"/>
      <c r="J73" s="31"/>
      <c r="K73" s="317"/>
      <c r="L73" s="385"/>
      <c r="M73" s="365" t="s">
        <v>94</v>
      </c>
      <c r="N73" s="64" t="n">
        <f aca="false">N67*N72</f>
        <v>202.63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275</v>
      </c>
      <c r="C80" s="316"/>
      <c r="D80" s="316"/>
      <c r="E80" s="401" t="n">
        <f aca="false">E79+D82</f>
        <v>957.916666666667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0</v>
      </c>
      <c r="C81" s="316"/>
      <c r="D81" s="316"/>
      <c r="E81" s="317" t="n">
        <f aca="false">E80/12</f>
        <v>79.8263888888889</v>
      </c>
      <c r="F81" s="385"/>
      <c r="G81" s="398" t="s">
        <v>281</v>
      </c>
      <c r="H81" s="76" t="n">
        <f aca="false">IF(G18&gt;40000,325,0)</f>
        <v>325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((B80+B81)/12)*(H29+1)</f>
        <v>297.916666666667</v>
      </c>
      <c r="C82" s="316"/>
      <c r="D82" s="31" t="n">
        <f aca="false">IF(A50="YES",0,B82)</f>
        <v>297.916666666667</v>
      </c>
      <c r="E82" s="317"/>
      <c r="F82" s="385"/>
      <c r="G82" s="365" t="s">
        <v>282</v>
      </c>
      <c r="H82" s="64" t="n">
        <f aca="false">((H80+H81)/12)*(H29-11)</f>
        <v>39.5833333333333</v>
      </c>
      <c r="I82" s="316"/>
      <c r="J82" s="31" t="n">
        <f aca="false">IF(A50="YES",0,H82)</f>
        <v>39.5833333333333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4461.40333333333</v>
      </c>
      <c r="C87" s="316"/>
      <c r="D87" s="316"/>
      <c r="E87" s="317"/>
      <c r="F87" s="385"/>
      <c r="G87" s="409" t="s">
        <v>103</v>
      </c>
      <c r="H87" s="410" t="n">
        <f aca="false">SUM(J70:J86)</f>
        <v>5990.40333333333</v>
      </c>
      <c r="I87" s="316"/>
      <c r="J87" s="316"/>
      <c r="K87" s="317"/>
      <c r="L87" s="385"/>
      <c r="M87" s="409" t="s">
        <v>103</v>
      </c>
      <c r="N87" s="410" t="n">
        <f aca="false">SUM(P70:P86)</f>
        <v>5950.82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371.783611111111</v>
      </c>
      <c r="C88" s="316"/>
      <c r="D88" s="316"/>
      <c r="E88" s="317"/>
      <c r="F88" s="385"/>
      <c r="G88" s="315" t="s">
        <v>104</v>
      </c>
      <c r="H88" s="32" t="n">
        <f aca="false">H87/H29</f>
        <v>499.200277777778</v>
      </c>
      <c r="I88" s="316"/>
      <c r="J88" s="316"/>
      <c r="K88" s="317"/>
      <c r="L88" s="385"/>
      <c r="M88" s="315" t="s">
        <v>104</v>
      </c>
      <c r="N88" s="32" t="n">
        <f aca="false">N87/H29</f>
        <v>495.901666666667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307.527833333333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</f>
        <v>8151.73733333333</v>
      </c>
      <c r="C91" s="316"/>
      <c r="D91" s="316"/>
      <c r="E91" s="317"/>
      <c r="F91" s="385"/>
      <c r="G91" s="393" t="s">
        <v>115</v>
      </c>
      <c r="H91" s="26" t="n">
        <f aca="false">((H89*H29)+H87)*1.2</f>
        <v>7188.484</v>
      </c>
      <c r="I91" s="316"/>
      <c r="J91" s="316"/>
      <c r="K91" s="317"/>
      <c r="L91" s="385"/>
      <c r="M91" s="393" t="s">
        <v>115</v>
      </c>
      <c r="N91" s="26" t="n">
        <f aca="false">((N89*H29)+N87)</f>
        <v>5950.82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69.0546526825333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50.7456514723679</v>
      </c>
      <c r="I92" s="316"/>
      <c r="J92" s="316"/>
      <c r="K92" s="317"/>
      <c r="L92" s="385"/>
      <c r="M92" s="315" t="s">
        <v>116</v>
      </c>
      <c r="N92" s="32" t="n">
        <f aca="false">(N91/(1-N76))*N76</f>
        <v>50.4103348124244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8220.79198601587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9239.22965147237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8001.23033481242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</f>
        <v>65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685.065998834656</v>
      </c>
      <c r="C96" s="316" t="s">
        <v>4</v>
      </c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750.065998834655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129</v>
      </c>
      <c r="C105" s="311"/>
      <c r="D105" s="418" t="n">
        <v>1000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18</v>
      </c>
      <c r="B111" s="311" t="n">
        <v>30</v>
      </c>
      <c r="C111" s="311"/>
      <c r="D111" s="106" t="n">
        <v>200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19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</v>
      </c>
      <c r="E118" s="106" t="n">
        <v>6000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2000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199.99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((E124*1.2)+E123)-E120</f>
        <v>-2760.012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11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11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685.065998834656</v>
      </c>
      <c r="B134" s="320" t="n">
        <f aca="false">IF(A111="YES",B95,0)</f>
        <v>65</v>
      </c>
      <c r="C134" s="325"/>
      <c r="D134" s="320" t="n">
        <f aca="false">B97</f>
        <v>750.065998834655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Monthly in advance</v>
      </c>
      <c r="B137" s="37" t="n">
        <f aca="false">B96*B63</f>
        <v>685.065998834656</v>
      </c>
      <c r="C137" s="316"/>
      <c r="D137" s="37" t="n">
        <f aca="false">IF(A111="YES",B95*B63,0)</f>
        <v>65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750.065998834655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</v>
      </c>
      <c r="H142" s="37" t="n">
        <f aca="false">IF(G111="YES",E15*0.000002,0)</f>
        <v>0</v>
      </c>
      <c r="I142" s="37"/>
      <c r="J142" s="37" t="n">
        <f aca="false">G142+H142</f>
        <v>0</v>
      </c>
      <c r="K142" s="104"/>
      <c r="L142" s="385"/>
      <c r="M142" s="110" t="n">
        <f aca="false">E15*0.000006</f>
        <v>0</v>
      </c>
      <c r="N142" s="37" t="n">
        <f aca="false">IF(M111="YES",E15*0.000002,0)</f>
        <v>0</v>
      </c>
      <c r="O142" s="37"/>
      <c r="P142" s="37" t="n">
        <f aca="false">M142+N142</f>
        <v>0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685.065998834656</v>
      </c>
      <c r="B143" s="37" t="n">
        <f aca="false">IF(A111="YES",B95,0)</f>
        <v>65</v>
      </c>
      <c r="C143" s="316"/>
      <c r="D143" s="37" t="n">
        <f aca="false">B97</f>
        <v>750.065998834655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168.858333333333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168.858333333333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(G18*0.000006)*100</f>
        <v>24.3156</v>
      </c>
      <c r="B146" s="342" t="n">
        <f aca="false">G18*0.000002*100</f>
        <v>8.1052</v>
      </c>
      <c r="C146" s="316"/>
      <c r="D146" s="342" t="n">
        <f aca="false">A146+B146</f>
        <v>32.4208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2828.84633333333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2788.84833333333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200.49996</v>
      </c>
      <c r="B154" s="102" t="n">
        <f aca="false">B108</f>
        <v>400</v>
      </c>
      <c r="C154" s="37"/>
      <c r="D154" s="37" t="n">
        <f aca="false">IF(A111="YES",(A44/100*B111)*B131,0)*0.1</f>
        <v>18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3341.666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718.48996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750.065998834655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 t="n">
        <f aca="false">ISNUMBER(B183)</f>
        <v>1</v>
      </c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685.065998834656</v>
      </c>
      <c r="B177" s="354" t="n">
        <f aca="false">IF(A111="YES",B95,0)</f>
        <v>65</v>
      </c>
      <c r="C177" s="357"/>
      <c r="D177" s="354" t="n">
        <f aca="false">B91</f>
        <v>8151.73733333333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Monthly in advance</v>
      </c>
      <c r="B180" s="102" t="n">
        <f aca="false">B96*B63</f>
        <v>685.065998834656</v>
      </c>
      <c r="C180" s="352"/>
      <c r="D180" s="102" t="n">
        <f aca="false">IF(A111="YES",B95*B63,0)</f>
        <v>65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750.065998834655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685.065998834656</v>
      </c>
      <c r="B186" s="102" t="n">
        <f aca="false">IF(A111="YES",B95,0)</f>
        <v>65</v>
      </c>
      <c r="C186" s="352"/>
      <c r="D186" s="102" t="n">
        <f aca="false">B97</f>
        <v>750.065998834655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(G18*0.000006)*100</f>
        <v>24.3156</v>
      </c>
      <c r="B189" s="364" t="n">
        <f aca="false">G18*0.000002*100</f>
        <v>8.1052</v>
      </c>
      <c r="C189" s="352"/>
      <c r="D189" s="364" t="n">
        <f aca="false">A189+B189</f>
        <v>32.4208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200.49996</v>
      </c>
      <c r="B197" s="102" t="n">
        <f aca="false">B108</f>
        <v>400</v>
      </c>
      <c r="C197" s="102"/>
      <c r="D197" s="102" t="n">
        <f aca="false">IF(A111="YES",(A44/100*B111)*B131,0)*0.1</f>
        <v>18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718.48996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2836.82</v>
      </c>
      <c r="E209" s="321"/>
      <c r="F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200.49996</v>
      </c>
      <c r="C211" s="319" t="s">
        <v>218</v>
      </c>
      <c r="D211" s="369" t="n">
        <f aca="false">B225+E221+B221+B223</f>
        <v>519.99</v>
      </c>
      <c r="E211" s="321"/>
      <c r="F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3156.31004</v>
      </c>
      <c r="C213" s="324"/>
      <c r="D213" s="320"/>
      <c r="E213" s="321"/>
      <c r="F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2836.82</v>
      </c>
      <c r="C217" s="373" t="s">
        <v>222</v>
      </c>
      <c r="D217" s="316"/>
      <c r="E217" s="374" t="n">
        <f aca="false">B72</f>
        <v>0.01</v>
      </c>
      <c r="F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200.49996</v>
      </c>
      <c r="C219" s="335" t="s">
        <v>327</v>
      </c>
      <c r="D219" s="336"/>
      <c r="E219" s="91" t="n">
        <v>0.001</v>
      </c>
      <c r="F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3156.31004</v>
      </c>
      <c r="F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180</v>
      </c>
      <c r="C225" s="37"/>
      <c r="D225" s="340"/>
      <c r="E225" s="166"/>
      <c r="F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69.0546526825333</v>
      </c>
      <c r="F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110"/>
      <c r="B244" s="37"/>
      <c r="C244" s="37"/>
      <c r="D244" s="37"/>
      <c r="E244" s="104"/>
      <c r="F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110"/>
      <c r="B247" s="37"/>
      <c r="C247" s="316"/>
      <c r="D247" s="316"/>
      <c r="E247" s="317"/>
      <c r="F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66" colorId="64" zoomScale="85" zoomScaleNormal="85" zoomScalePageLayoutView="100" workbookViewId="0">
      <selection pane="topLeft" activeCell="B190" activeCellId="1" sqref="A191 B190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45400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str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349</v>
      </c>
      <c r="B41" s="240" t="str">
        <f aca="false">IF(B38="YES",D38+A41,D38)</f>
        <v>500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349</v>
      </c>
      <c r="E44" s="103"/>
      <c r="F44" s="62"/>
      <c r="G44" s="62" t="s">
        <v>257</v>
      </c>
      <c r="H44" s="237" t="str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339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9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3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2803.66638666667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233.638865555556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8815.66638666667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74.6789004114563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8890.34528707812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740.86210725651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740.86210725651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351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352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3" t="n">
        <v>0</v>
      </c>
      <c r="C111" s="313"/>
      <c r="D111" s="106" t="s">
        <v>353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3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740.86210725651</v>
      </c>
      <c r="B134" s="320" t="n">
        <f aca="false">IF(A111="YES",B95,0)</f>
        <v>0</v>
      </c>
      <c r="C134" s="325"/>
      <c r="D134" s="320" t="n">
        <f aca="false">B97</f>
        <v>740.86210725651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Terminal pause with 9 down</v>
      </c>
      <c r="B137" s="37" t="n">
        <f aca="false">B96*B63</f>
        <v>6667.75896530859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6667.75896530859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740.86210725651</v>
      </c>
      <c r="B143" s="37" t="n">
        <f aca="false">IF(A111="YES",B95,0)</f>
        <v>0</v>
      </c>
      <c r="C143" s="316"/>
      <c r="D143" s="37" t="n">
        <f aca="false">B97</f>
        <v>740.86210725651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24.3156</v>
      </c>
      <c r="B146" s="342" t="n">
        <f aca="false">G18*0.000002*100</f>
        <v>8.1052</v>
      </c>
      <c r="C146" s="316"/>
      <c r="D146" s="342" t="n">
        <f aca="false">A146+B146</f>
        <v>32.4208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1388.84633333333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1348.84833333333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102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710.98996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740.86210725651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740.86210725651</v>
      </c>
      <c r="B177" s="354" t="n">
        <f aca="false">IF(A111="YES",B95,0)</f>
        <v>0</v>
      </c>
      <c r="C177" s="357"/>
      <c r="D177" s="354" t="n">
        <f aca="false">B91</f>
        <v>8815.66638666667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Terminal pause with 9 down</v>
      </c>
      <c r="B180" s="102" t="n">
        <f aca="false">B96*B63</f>
        <v>6667.75896530859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6667.75896530859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740.86210725651</v>
      </c>
      <c r="B186" s="102" t="n">
        <f aca="false">IF(A111="YES",B95,0)</f>
        <v>0</v>
      </c>
      <c r="C186" s="352"/>
      <c r="D186" s="102" t="n">
        <f aca="false">B97</f>
        <v>740.86210725651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24.3156</v>
      </c>
      <c r="B189" s="364" t="n">
        <f aca="false">G18*0.000002*100</f>
        <v>8.1052</v>
      </c>
      <c r="C189" s="352"/>
      <c r="D189" s="364" t="n">
        <f aca="false">A189+B189</f>
        <v>32.4208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710.98996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1605.98976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1605.98976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74.6789004114563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E125" activeCellId="1" sqref="A191 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45400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str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70</v>
      </c>
      <c r="B41" s="240" t="n">
        <f aca="false">IF(B38="YES",D38+A41,D38)</f>
        <v>550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350</v>
      </c>
      <c r="E44" s="103"/>
      <c r="F44" s="62"/>
      <c r="G44" s="62" t="s">
        <v>257</v>
      </c>
      <c r="H44" s="237" t="str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275</v>
      </c>
      <c r="C80" s="214"/>
      <c r="D80" s="214"/>
      <c r="E80" s="426" t="n">
        <f aca="false">E79+D82</f>
        <v>957.916666666667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79.8263888888889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297.916666666667</v>
      </c>
      <c r="C82" s="214"/>
      <c r="D82" s="290" t="n">
        <f aca="false">IF(A50="YES",0,B82)</f>
        <v>297.916666666667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3101.58305333333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258.465254444444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10936.299664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77.2025994836628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11013.5022634837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78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917.791855290305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995.791855290305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18</v>
      </c>
      <c r="B111" s="311" t="n">
        <v>30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917.791855290305</v>
      </c>
      <c r="B134" s="320" t="n">
        <f aca="false">IF(A111="YES",B95,0)</f>
        <v>78</v>
      </c>
      <c r="C134" s="325"/>
      <c r="D134" s="320" t="n">
        <f aca="false">B97</f>
        <v>995.791855290305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Monthly in advance</v>
      </c>
      <c r="B137" s="37" t="n">
        <f aca="false">B96*B63</f>
        <v>917.791855290305</v>
      </c>
      <c r="C137" s="316"/>
      <c r="D137" s="37" t="n">
        <f aca="false">IF(A111="YES",B95*B63,0)</f>
        <v>78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995.791855290305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917.791855290305</v>
      </c>
      <c r="B143" s="37" t="n">
        <f aca="false">IF(A111="YES",B95,0)</f>
        <v>78</v>
      </c>
      <c r="C143" s="316"/>
      <c r="D143" s="37" t="n">
        <f aca="false">B97</f>
        <v>995.791855290305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G18*0.000002*1.2*100</f>
        <v>9.72624</v>
      </c>
      <c r="C146" s="316"/>
      <c r="D146" s="342" t="n">
        <f aca="false">A146+B146</f>
        <v>38.90496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1400.84633333333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1360.84833333333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400</v>
      </c>
      <c r="C154" s="37"/>
      <c r="D154" s="37" t="n">
        <f aca="false">IF(A111="YES",(A41/100*B111)*B131,0)*0.1</f>
        <v>18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728.991626666667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995.791855290305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917.791855290305</v>
      </c>
      <c r="B177" s="354" t="n">
        <f aca="false">IF(A111="YES",B95,0)</f>
        <v>78</v>
      </c>
      <c r="C177" s="357"/>
      <c r="D177" s="354" t="n">
        <f aca="false">B97</f>
        <v>995.791855290305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Monthly in advance</v>
      </c>
      <c r="B180" s="102" t="n">
        <f aca="false">B96*B63</f>
        <v>917.791855290305</v>
      </c>
      <c r="C180" s="352"/>
      <c r="D180" s="102" t="n">
        <f aca="false">IF(A111="YES",B95*B63,0)</f>
        <v>78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995.791855290305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917.791855290305</v>
      </c>
      <c r="B186" s="102" t="n">
        <f aca="false">IF(A111="YES",B95,0)</f>
        <v>78</v>
      </c>
      <c r="C186" s="352"/>
      <c r="D186" s="102" t="n">
        <f aca="false">B97</f>
        <v>995.791855290305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G18*0.000002*1.2*100</f>
        <v>9.72624</v>
      </c>
      <c r="C189" s="352"/>
      <c r="D189" s="364" t="n">
        <f aca="false">A189+B189</f>
        <v>38.90496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400</v>
      </c>
      <c r="C197" s="102"/>
      <c r="D197" s="102" t="n">
        <f aca="false">IF(A111="YES",(A41/100*B111)*B131,0)*0.1</f>
        <v>18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728.991626666667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519.991666666667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1785.99142666667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1785.99142666667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180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77.2025994836628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B190" activeCellId="1" sqref="A191 B190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45400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str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70</v>
      </c>
      <c r="B41" s="240" t="n">
        <f aca="false">IF(B38="YES",D38+A41,D38)</f>
        <v>550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350</v>
      </c>
      <c r="E44" s="103"/>
      <c r="F44" s="62"/>
      <c r="G44" s="62" t="s">
        <v>257</v>
      </c>
      <c r="H44" s="237" t="str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275</v>
      </c>
      <c r="C80" s="214"/>
      <c r="D80" s="214"/>
      <c r="E80" s="426" t="n">
        <f aca="false">E79+D82</f>
        <v>957.916666666667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79.8263888888889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297.916666666667</v>
      </c>
      <c r="C82" s="214"/>
      <c r="D82" s="290" t="n">
        <f aca="false">IF(A50="YES",0,B82)</f>
        <v>297.916666666667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3101.58305333333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258.465254444444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9113.58305333333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77.2025994836628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9190.785652817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65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765.898804401416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830.898804401416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18</v>
      </c>
      <c r="B111" s="311" t="n">
        <v>30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765.898804401416</v>
      </c>
      <c r="B134" s="320" t="n">
        <f aca="false">IF(A111="YES",B95,0)</f>
        <v>65</v>
      </c>
      <c r="C134" s="325"/>
      <c r="D134" s="320" t="n">
        <f aca="false">B97</f>
        <v>830.898804401416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Monthly in advance</v>
      </c>
      <c r="B137" s="37" t="n">
        <f aca="false">B96*B63</f>
        <v>765.898804401416</v>
      </c>
      <c r="C137" s="316"/>
      <c r="D137" s="37" t="n">
        <f aca="false">IF(A111="YES",B95*B63,0)</f>
        <v>65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830.898804401416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765.898804401416</v>
      </c>
      <c r="B143" s="37" t="n">
        <f aca="false">IF(A111="YES",B95,0)</f>
        <v>65</v>
      </c>
      <c r="C143" s="316"/>
      <c r="D143" s="37" t="n">
        <f aca="false">B97</f>
        <v>830.898804401416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24.3156</v>
      </c>
      <c r="B146" s="342" t="n">
        <f aca="false">G18*0.000002*100</f>
        <v>8.1052</v>
      </c>
      <c r="C146" s="316"/>
      <c r="D146" s="342" t="n">
        <f aca="false">A146+B146</f>
        <v>32.4208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1400.84633333333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1360.84833333333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400</v>
      </c>
      <c r="C154" s="37"/>
      <c r="D154" s="37" t="n">
        <f aca="false">IF(A111="YES",(A41/100*B111)*B131,0)*0.1</f>
        <v>18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728.98996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830.898804401416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765.898804401416</v>
      </c>
      <c r="B177" s="354" t="n">
        <f aca="false">IF(A111="YES",B95,0)</f>
        <v>65</v>
      </c>
      <c r="C177" s="357"/>
      <c r="D177" s="354" t="n">
        <f aca="false">B91</f>
        <v>9113.58305333333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Monthly in advance</v>
      </c>
      <c r="B180" s="102" t="n">
        <f aca="false">B96*B63</f>
        <v>765.898804401416</v>
      </c>
      <c r="C180" s="352"/>
      <c r="D180" s="102" t="n">
        <f aca="false">IF(A111="YES",B95*B63,0)</f>
        <v>65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830.898804401416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765.898804401416</v>
      </c>
      <c r="B186" s="102" t="n">
        <f aca="false">IF(A111="YES",B95,0)</f>
        <v>65</v>
      </c>
      <c r="C186" s="352"/>
      <c r="D186" s="102" t="n">
        <f aca="false">B97</f>
        <v>830.898804401416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24.3156</v>
      </c>
      <c r="B189" s="364" t="n">
        <f aca="false">G18*0.000002*100</f>
        <v>8.1052</v>
      </c>
      <c r="C189" s="352"/>
      <c r="D189" s="364" t="n">
        <f aca="false">A189+B189</f>
        <v>32.4208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B154</f>
        <v>400</v>
      </c>
      <c r="C197" s="102"/>
      <c r="D197" s="102" t="n">
        <f aca="false">IF(A111="YES",(A41/100*B111)*B131,0)*0.1</f>
        <v>18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728.98996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519.99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1785.98976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1785.98976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180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77.2025994836628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61" colorId="64" zoomScale="85" zoomScaleNormal="85" zoomScalePageLayoutView="100" workbookViewId="0">
      <selection pane="topLeft" activeCell="B147" activeCellId="1" sqref="A191 B14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45400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9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3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2803.66638666667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233.638865555556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8815.66638666667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74.6789004114563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8890.34528707812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740.86210725651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740.86210725651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342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352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s">
        <v>353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3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740.86210725651</v>
      </c>
      <c r="B134" s="320" t="n">
        <f aca="false">IF(A111="YES",B95,0)</f>
        <v>0</v>
      </c>
      <c r="C134" s="325"/>
      <c r="D134" s="320" t="n">
        <f aca="false">B97</f>
        <v>740.86210725651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Terminal pause with 9 down</v>
      </c>
      <c r="B137" s="37" t="n">
        <f aca="false">B96*B63</f>
        <v>6667.75896530859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6667.75896530859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740.86210725651</v>
      </c>
      <c r="B143" s="37" t="n">
        <f aca="false">IF(A111="YES",B95,0)</f>
        <v>0</v>
      </c>
      <c r="C143" s="316"/>
      <c r="D143" s="37" t="n">
        <f aca="false">B97</f>
        <v>740.86210725651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24.3156</v>
      </c>
      <c r="B146" s="342" t="n">
        <f aca="false">G18*0.000002*100</f>
        <v>8.1052</v>
      </c>
      <c r="C146" s="316"/>
      <c r="D146" s="342" t="n">
        <f aca="false">A146+B146</f>
        <v>32.4208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1388.84633333333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1348.84833333333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710.98996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740.86210725651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740.86210725651</v>
      </c>
      <c r="B177" s="354" t="n">
        <f aca="false">IF(A111="YES",B95,0)</f>
        <v>0</v>
      </c>
      <c r="C177" s="357"/>
      <c r="D177" s="354" t="n">
        <f aca="false">B91</f>
        <v>8815.66638666667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Terminal pause with 9 down</v>
      </c>
      <c r="B180" s="102" t="n">
        <f aca="false">B96*B63</f>
        <v>6667.75896530859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6667.75896530859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740.86210725651</v>
      </c>
      <c r="B186" s="102" t="n">
        <f aca="false">IF(A111="YES",B95,0)</f>
        <v>0</v>
      </c>
      <c r="C186" s="352"/>
      <c r="D186" s="102" t="n">
        <f aca="false">B97</f>
        <v>740.86210725651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G18*0.000002*1.2*100</f>
        <v>9.72624</v>
      </c>
      <c r="C189" s="352"/>
      <c r="D189" s="364" t="n">
        <f aca="false">A189+B189</f>
        <v>38.90496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710.98996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1605.98976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1605.98976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74.6789004114563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8" activeCellId="1" sqref="A191 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45400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275</v>
      </c>
      <c r="C80" s="214"/>
      <c r="D80" s="214"/>
      <c r="E80" s="426" t="n">
        <f aca="false">E79+D82</f>
        <v>957.916666666667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79.8263888888889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297.916666666667</v>
      </c>
      <c r="C82" s="214"/>
      <c r="D82" s="290" t="n">
        <f aca="false">IF(A50="YES",0,B82)</f>
        <v>297.916666666667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0</v>
      </c>
      <c r="C83" s="214"/>
      <c r="D83" s="290" t="n">
        <f aca="false">B83</f>
        <v>0</v>
      </c>
      <c r="E83" s="215" t="n">
        <f aca="false">D83/12</f>
        <v>0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0</v>
      </c>
      <c r="C84" s="214"/>
      <c r="D84" s="290" t="n">
        <f aca="false">B84</f>
        <v>0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2434.91638666667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202.909698888889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10136.299664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71.5551610004034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10207.8548250004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850.654568750034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850.654568750034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0</v>
      </c>
      <c r="C108" s="106"/>
      <c r="D108" s="106" t="n">
        <v>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850.654568750034</v>
      </c>
      <c r="B134" s="320" t="n">
        <f aca="false">IF(A111="YES",B95,0)</f>
        <v>0</v>
      </c>
      <c r="C134" s="325"/>
      <c r="D134" s="320" t="n">
        <f aca="false">B97</f>
        <v>850.654568750034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Monthly in advance</v>
      </c>
      <c r="B137" s="37" t="n">
        <f aca="false">B96*B63</f>
        <v>850.654568750034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850.654568750034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850.654568750034</v>
      </c>
      <c r="B143" s="37" t="n">
        <f aca="false">IF(A111="YES",B95,0)</f>
        <v>0</v>
      </c>
      <c r="C143" s="316"/>
      <c r="D143" s="37" t="n">
        <f aca="false">B97</f>
        <v>850.654568750034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G18*0.000002*1.2*100</f>
        <v>9.72624</v>
      </c>
      <c r="C146" s="316"/>
      <c r="D146" s="342" t="n">
        <f aca="false">A146+B146</f>
        <v>38.90496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1388.84633333333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1348.84833333333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310.991626666667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850.654568750034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850.654568750034</v>
      </c>
      <c r="B177" s="354" t="n">
        <f aca="false">IF(A111="YES",B95,0)</f>
        <v>0</v>
      </c>
      <c r="C177" s="357"/>
      <c r="D177" s="354" t="n">
        <f aca="false">B91</f>
        <v>10136.299664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Monthly in advance</v>
      </c>
      <c r="B180" s="102" t="n">
        <f aca="false">B96*B63</f>
        <v>850.654568750034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850.654568750034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850.654568750034</v>
      </c>
      <c r="B186" s="102" t="n">
        <f aca="false">IF(A111="YES",B95,0)</f>
        <v>0</v>
      </c>
      <c r="C186" s="352"/>
      <c r="D186" s="102" t="n">
        <f aca="false">B97</f>
        <v>850.654568750034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G18*0.000002*1.2*100</f>
        <v>9.72624</v>
      </c>
      <c r="C189" s="352"/>
      <c r="D189" s="364" t="n">
        <f aca="false">A189+B189</f>
        <v>38.90496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310.991626666667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99.9916666666667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1365.99142666667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0</v>
      </c>
      <c r="C223" s="335" t="s">
        <v>219</v>
      </c>
      <c r="D223" s="316"/>
      <c r="E223" s="32" t="n">
        <f aca="false">(B217-B211+D211)</f>
        <v>1365.99142666667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71.5551610004034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70" colorId="64" zoomScale="85" zoomScaleNormal="85" zoomScalePageLayoutView="100" workbookViewId="0">
      <selection pane="topLeft" activeCell="B190" activeCellId="1" sqref="A191 B190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45400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9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3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275</v>
      </c>
      <c r="C80" s="214"/>
      <c r="D80" s="214"/>
      <c r="E80" s="426" t="n">
        <f aca="false">E79+D82</f>
        <v>957.916666666667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79.8263888888889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297.916666666667</v>
      </c>
      <c r="C82" s="214"/>
      <c r="D82" s="290" t="n">
        <f aca="false">IF(A50="YES",0,B82)</f>
        <v>297.916666666667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3101.58305333333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258.465254444444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9113.58305333333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77.2025994836628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9190.785652817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765.898804401416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765.898804401416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352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s">
        <v>353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3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765.898804401416</v>
      </c>
      <c r="B134" s="320" t="n">
        <f aca="false">IF(A111="YES",B95,0)</f>
        <v>0</v>
      </c>
      <c r="C134" s="325"/>
      <c r="D134" s="320" t="n">
        <f aca="false">B97</f>
        <v>765.898804401416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Terminal pause with 9 down</v>
      </c>
      <c r="B137" s="37" t="n">
        <f aca="false">B96*B63</f>
        <v>6893.08923961275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6893.08923961275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765.898804401416</v>
      </c>
      <c r="B143" s="37" t="n">
        <f aca="false">IF(A111="YES",B95,0)</f>
        <v>0</v>
      </c>
      <c r="C143" s="316"/>
      <c r="D143" s="37" t="n">
        <f aca="false">B97</f>
        <v>765.898804401416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24.3156</v>
      </c>
      <c r="B146" s="342" t="n">
        <f aca="false">G18*0.000002*100</f>
        <v>8.1052</v>
      </c>
      <c r="C146" s="316"/>
      <c r="D146" s="342" t="n">
        <f aca="false">A146+B146</f>
        <v>32.4208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1388.84633333333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1348.84833333333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710.98996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765.898804401416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765.898804401416</v>
      </c>
      <c r="B177" s="354" t="n">
        <f aca="false">IF(A111="YES",B95,0)</f>
        <v>0</v>
      </c>
      <c r="C177" s="357"/>
      <c r="D177" s="354" t="n">
        <f aca="false">B91</f>
        <v>9113.58305333333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Terminal pause with 9 down</v>
      </c>
      <c r="B180" s="102" t="n">
        <f aca="false">B96*B63</f>
        <v>6893.08923961275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6893.08923961275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765.898804401416</v>
      </c>
      <c r="B186" s="102" t="n">
        <f aca="false">IF(A111="YES",B95,0)</f>
        <v>0</v>
      </c>
      <c r="C186" s="352"/>
      <c r="D186" s="102" t="n">
        <f aca="false">B97</f>
        <v>765.898804401416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24.3156</v>
      </c>
      <c r="B189" s="364" t="n">
        <f aca="false">G18*0.000002*100</f>
        <v>8.1052</v>
      </c>
      <c r="C189" s="352"/>
      <c r="D189" s="364" t="n">
        <f aca="false">A189+B189</f>
        <v>32.4208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710.98996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1605.98976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1605.98976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77.2025994836628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7" colorId="64" zoomScale="85" zoomScaleNormal="85" zoomScalePageLayoutView="100" workbookViewId="0">
      <selection pane="topLeft" activeCell="A182" activeCellId="1" sqref="A191 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16583.33</v>
      </c>
      <c r="C2" s="4" t="s">
        <v>2</v>
      </c>
      <c r="D2" s="5" t="n">
        <f aca="false">C9</f>
        <v>3316.666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19899.996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16583.33</v>
      </c>
      <c r="C9" s="9" t="n">
        <f aca="false">B9*0.2</f>
        <v>3316.666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16583.33</v>
      </c>
      <c r="C15" s="9" t="n">
        <f aca="false">SUM(C9:C13)</f>
        <v>3316.666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19899.996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16583.33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18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20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851</v>
      </c>
      <c r="P32" s="211"/>
    </row>
    <row r="33" customFormat="false" ht="36.75" hidden="false" customHeight="false" outlineLevel="0" collapsed="false">
      <c r="A33" s="178" t="n">
        <f aca="false">A52</f>
        <v>20</v>
      </c>
      <c r="B33" s="231" t="n">
        <f aca="false">B51</f>
        <v>10000</v>
      </c>
      <c r="C33" s="92"/>
      <c r="D33" s="92"/>
      <c r="E33" s="231" t="n">
        <f aca="false">K48</f>
        <v>923.438149609567</v>
      </c>
      <c r="F33" s="231"/>
      <c r="G33" s="231"/>
      <c r="H33" s="46"/>
      <c r="I33" s="2"/>
      <c r="J33" s="33" t="s">
        <v>356</v>
      </c>
      <c r="K33" s="47" t="n">
        <f aca="false">E21</f>
        <v>16583.33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880.888149609567</v>
      </c>
      <c r="B36" s="231" t="n">
        <f aca="false">IF(B26="YES",K42,"0.00")</f>
        <v>42.55</v>
      </c>
      <c r="C36" s="231"/>
      <c r="D36" s="231"/>
      <c r="E36" s="231" t="n">
        <f aca="false">K31</f>
        <v>0</v>
      </c>
      <c r="F36" s="231"/>
      <c r="G36" s="231"/>
      <c r="H36" s="46"/>
      <c r="I36" s="2"/>
      <c r="J36" s="2" t="s">
        <v>50</v>
      </c>
      <c r="K36" s="2" t="n">
        <f aca="false">K29</f>
        <v>20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16583.33</v>
      </c>
      <c r="L39" s="2" t="n">
        <f aca="false">(L47*K46)+K44</f>
        <v>14259.52127301</v>
      </c>
      <c r="N39" s="1" t="n">
        <f aca="false">K39-L39</f>
        <v>2323.80872699004</v>
      </c>
      <c r="P39" s="211"/>
    </row>
    <row r="40" customFormat="false" ht="19.5" hidden="false" customHeight="false" outlineLevel="0" collapsed="false">
      <c r="A40" s="106" t="n">
        <f aca="false">E36*A45/100</f>
        <v>0</v>
      </c>
      <c r="B40" s="106" t="n">
        <f aca="false">IF(B26="YES",K42,"0.00")</f>
        <v>42.55</v>
      </c>
      <c r="C40" s="106"/>
      <c r="D40" s="106"/>
      <c r="E40" s="181" t="n">
        <f aca="false">K32</f>
        <v>851</v>
      </c>
      <c r="F40" s="185"/>
      <c r="G40" s="185"/>
      <c r="H40" s="46"/>
      <c r="J40" s="2" t="s">
        <v>107</v>
      </c>
      <c r="K40" s="2" t="n">
        <f aca="false">(A40)/1.2</f>
        <v>0</v>
      </c>
      <c r="L40" s="2" t="n">
        <f aca="false">K39-L39</f>
        <v>2323.80872699004</v>
      </c>
      <c r="N40" s="1" t="n">
        <f aca="false">N38-N39</f>
        <v>587.871273009961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42.55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0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16583.33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18.8256931454353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880.888149609567</v>
      </c>
      <c r="L47" s="2" t="n">
        <f aca="false">L49-K42</f>
        <v>757.45</v>
      </c>
      <c r="M47" s="1" t="n">
        <f aca="false">K47-L47</f>
        <v>123.438149609567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923.438149609567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20</v>
      </c>
      <c r="B52" s="73" t="n">
        <f aca="false">K48</f>
        <v>923.438149609567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19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19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19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19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40526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40526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40526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0.0105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0.0105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6407.40567282931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0.00666666666666667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0.0583333333333333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0.00666666666666667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0.00666666666666667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120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2364.01666666667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270.173333333333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880.888149609567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880.888149609567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923.438149609567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923.438149609567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21600</v>
      </c>
      <c r="C81" s="92"/>
      <c r="D81" s="92"/>
      <c r="E81" s="112"/>
      <c r="F81" s="24" t="s">
        <v>106</v>
      </c>
      <c r="G81" s="26" t="n">
        <f aca="false">G158</f>
        <v>21600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0</v>
      </c>
      <c r="C82" s="92"/>
      <c r="D82" s="92"/>
      <c r="E82" s="112"/>
      <c r="F82" s="30" t="s">
        <v>107</v>
      </c>
      <c r="G82" s="32" t="n">
        <f aca="false">IF(A111="YES",A40,0)</f>
        <v>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0.1305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0.1415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0.1415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0.010875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0.0117916666666667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0.0117916666666667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B59</f>
        <v>19</v>
      </c>
      <c r="C85" s="92"/>
      <c r="D85" s="92"/>
      <c r="E85" s="112"/>
      <c r="F85" s="30" t="s">
        <v>110</v>
      </c>
      <c r="G85" s="32" t="n">
        <f aca="false">IF(G82=0,(B59+B58),(B59))</f>
        <v>20</v>
      </c>
      <c r="H85" s="32"/>
      <c r="J85" s="30" t="s">
        <v>110</v>
      </c>
      <c r="K85" s="32" t="n">
        <f aca="false">IF(K82=0,(K59+K58),(K59))</f>
        <v>20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19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19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0</v>
      </c>
      <c r="C86" s="92"/>
      <c r="D86" s="92"/>
      <c r="E86" s="112"/>
      <c r="F86" s="30" t="s">
        <v>111</v>
      </c>
      <c r="G86" s="32" t="n">
        <f aca="false">(G82/((1+G84)^(G85+1)))</f>
        <v>0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0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0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17.082086112366</v>
      </c>
      <c r="C87" s="92"/>
      <c r="D87" s="92"/>
      <c r="E87" s="112"/>
      <c r="F87" s="30" t="s">
        <v>112</v>
      </c>
      <c r="G87" s="32" t="n">
        <f aca="false">((1-(1/((1+G84)^G85)))/G84)</f>
        <v>18.8256931454353</v>
      </c>
      <c r="H87" s="32"/>
      <c r="J87" s="30" t="s">
        <v>112</v>
      </c>
      <c r="K87" s="32" t="n">
        <f aca="false">((1-(1/((1+K84)^K85)))/K84)</f>
        <v>16.3514333445971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16.9331388245188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16.9331388245188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21600</v>
      </c>
      <c r="C88" s="92"/>
      <c r="D88" s="92"/>
      <c r="E88" s="112"/>
      <c r="F88" s="30" t="s">
        <v>113</v>
      </c>
      <c r="G88" s="32" t="n">
        <f aca="false">G81-G86</f>
        <v>21600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1264.48256131688</v>
      </c>
      <c r="C89" s="92"/>
      <c r="D89" s="92"/>
      <c r="E89" s="112"/>
      <c r="F89" s="30" t="s">
        <v>114</v>
      </c>
      <c r="G89" s="32" t="n">
        <f aca="false">(G88/G87)</f>
        <v>1147.36811192726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24025.1686650206</v>
      </c>
      <c r="C90" s="92"/>
      <c r="D90" s="92"/>
      <c r="E90" s="112"/>
      <c r="F90" s="30" t="s">
        <v>115</v>
      </c>
      <c r="G90" s="32" t="n">
        <f aca="false">((G89*(G85))+G77)</f>
        <v>22947.3622385451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24025.1686650206</v>
      </c>
      <c r="C92" s="92"/>
      <c r="D92" s="92"/>
      <c r="E92" s="112"/>
      <c r="F92" s="55" t="s">
        <v>117</v>
      </c>
      <c r="G92" s="64" t="n">
        <f aca="false">(G90+G91)</f>
        <v>22947.3622385451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n">
        <f aca="false">IF(B26="YES",((E40/B85)*(1+A108)*1.2*(C45/100)),"0")</f>
        <v>69.8715789473684</v>
      </c>
      <c r="C94" s="92"/>
      <c r="D94" s="92"/>
      <c r="E94" s="112"/>
      <c r="F94" s="87" t="s">
        <v>118</v>
      </c>
      <c r="G94" s="93" t="n">
        <f aca="false">IF(B26="YES",((E40/B85)*(1+A108)*(C45/100)),"0")</f>
        <v>58.2263157894737</v>
      </c>
      <c r="H94" s="32"/>
      <c r="J94" s="87" t="s">
        <v>118</v>
      </c>
      <c r="K94" s="88" t="n">
        <f aca="false">((E40/K85)*(1+J108))*1.2</f>
        <v>66.378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53.7473684210526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64.4968421052632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(B92/B85)</f>
        <v>1264.48256131688</v>
      </c>
      <c r="C95" s="92"/>
      <c r="D95" s="92"/>
      <c r="E95" s="112"/>
      <c r="F95" s="94" t="s">
        <v>119</v>
      </c>
      <c r="G95" s="95" t="n">
        <f aca="false">G92/(G85)</f>
        <v>1147.36811192726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1334.35414026424</v>
      </c>
      <c r="C96" s="92"/>
      <c r="D96" s="92"/>
      <c r="E96" s="112"/>
      <c r="F96" s="96" t="s">
        <v>120</v>
      </c>
      <c r="G96" s="97" t="n">
        <f aca="false">G94+G95</f>
        <v>1205.59442771673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18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0.3</v>
      </c>
      <c r="B108" s="106" t="n">
        <v>0</v>
      </c>
      <c r="C108" s="106"/>
      <c r="D108" s="106" t="n">
        <v>0</v>
      </c>
      <c r="E108" s="107" t="n">
        <f aca="false">B83</f>
        <v>0.1305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0.1415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0.1415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200</v>
      </c>
      <c r="C111" s="106"/>
      <c r="D111" s="106"/>
      <c r="E111" s="106" t="n">
        <v>200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400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16583.33</v>
      </c>
      <c r="C121" s="120" t="n">
        <v>18750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19899.996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19899.996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19899.996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16583.33</v>
      </c>
      <c r="C125" s="132" t="n">
        <f aca="false">C121-C124</f>
        <v>18750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16583.33</v>
      </c>
      <c r="H135" s="152" t="n">
        <f aca="false">C125+E125+G125+H128</f>
        <v>18750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3316.666</v>
      </c>
      <c r="H137" s="32" t="n">
        <f aca="false">(H135+H136)*20%</f>
        <v>3750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19899.996</v>
      </c>
      <c r="H141" s="156" t="n">
        <f aca="false">(H135+H136+H139+H140+H137)-H138</f>
        <v>22500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19899.996</v>
      </c>
      <c r="H147" s="163" t="n">
        <f aca="false">H141-((H144*1.2)+(H145*1.2)+(H146*1.2)+(H142*1.2))</f>
        <v>22500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2166.67</v>
      </c>
      <c r="I148" s="1" t="n">
        <f aca="false">(H148-G81)/1.2</f>
        <v>-16194.4416666667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400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21600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1264.48256131688</v>
      </c>
      <c r="B167" s="176" t="n">
        <f aca="false">B94</f>
        <v>69.8715789473684</v>
      </c>
      <c r="C167" s="173"/>
      <c r="D167" s="173"/>
      <c r="E167" s="176" t="n">
        <f aca="false">B96</f>
        <v>1334.35414026424</v>
      </c>
      <c r="F167" s="22"/>
      <c r="G167" s="22" t="n">
        <f aca="false">ROUND(G95,2)</f>
        <v>1147.37</v>
      </c>
      <c r="H167" s="32"/>
      <c r="J167" s="175" t="e">
        <f aca="false">K95</f>
        <v>#VALUE!</v>
      </c>
      <c r="K167" s="176" t="n">
        <f aca="false">K94</f>
        <v>66.378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53.7473684210526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64.4968421052632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20</v>
      </c>
      <c r="B170" s="179" t="n">
        <f aca="false">K30</f>
        <v>10000</v>
      </c>
      <c r="C170" s="180"/>
      <c r="D170" s="22"/>
      <c r="E170" s="181" t="n">
        <f aca="false">IF(A111="YES",A40,0)</f>
        <v>0</v>
      </c>
      <c r="F170" s="22"/>
      <c r="G170" s="22"/>
      <c r="H170" s="32"/>
      <c r="J170" s="178" t="n">
        <f aca="false">K29</f>
        <v>20</v>
      </c>
      <c r="K170" s="179" t="n">
        <f aca="false">K30</f>
        <v>10000</v>
      </c>
      <c r="L170" s="180"/>
      <c r="M170" s="22"/>
      <c r="N170" s="181" t="n">
        <f aca="false">IF(A111="YES",A40,0)</f>
        <v>0</v>
      </c>
      <c r="O170" s="22"/>
      <c r="P170" s="22"/>
      <c r="Q170" s="32"/>
      <c r="S170" s="178" t="n">
        <f aca="false">K29</f>
        <v>20</v>
      </c>
      <c r="T170" s="179" t="n">
        <f aca="false">K30</f>
        <v>10000</v>
      </c>
      <c r="U170" s="180"/>
      <c r="V170" s="22"/>
      <c r="W170" s="181" t="n">
        <f aca="false">IF(A111="YES",A40,0)</f>
        <v>0</v>
      </c>
      <c r="X170" s="22"/>
      <c r="Y170" s="22"/>
      <c r="Z170" s="32"/>
      <c r="AB170" s="178" t="n">
        <f aca="false">K29</f>
        <v>20</v>
      </c>
      <c r="AC170" s="179" t="n">
        <f aca="false">K30</f>
        <v>10000</v>
      </c>
      <c r="AD170" s="180"/>
      <c r="AE170" s="22"/>
      <c r="AF170" s="181" t="n">
        <f aca="false">IF(A111="YES",A40,0)</f>
        <v>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18750</v>
      </c>
      <c r="B173" s="102" t="n">
        <f aca="false">H137</f>
        <v>3750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H141</f>
        <v>22500</v>
      </c>
      <c r="B176" s="102" t="n">
        <f aca="false">B111</f>
        <v>200</v>
      </c>
      <c r="C176" s="102"/>
      <c r="D176" s="22"/>
      <c r="E176" s="102" t="n">
        <f aca="false">E111</f>
        <v>200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400</v>
      </c>
      <c r="B179" s="102" t="n">
        <f aca="false">G154</f>
        <v>500</v>
      </c>
      <c r="C179" s="102"/>
      <c r="D179" s="22"/>
      <c r="E179" s="102" t="n">
        <f aca="false">A176-A179-B179</f>
        <v>21600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3759.52280528496</v>
      </c>
      <c r="B182" s="102" t="str">
        <f aca="false">B114</f>
        <v>239.99</v>
      </c>
      <c r="C182" s="102"/>
      <c r="D182" s="22"/>
      <c r="E182" s="102" t="n">
        <f aca="false">E179+A182+B182+A185</f>
        <v>25609.512805285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639.99</v>
      </c>
      <c r="C185" s="102"/>
      <c r="D185" s="22"/>
      <c r="E185" s="102" t="n">
        <f aca="false">IF( E170=0 , A185+E167, E170+A185)</f>
        <v>1344.35414026424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20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</f>
        <v>0.081052</v>
      </c>
      <c r="B188" s="102" t="n">
        <f aca="false">(G158*B67)/1.2</f>
        <v>120</v>
      </c>
      <c r="C188" s="92"/>
      <c r="D188" s="92"/>
      <c r="E188" s="102" t="n">
        <f aca="false">(E40*A108)*0.1*C45/100</f>
        <v>25.53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25.53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17.02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17.02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245.521666666667</v>
      </c>
      <c r="C191" s="92"/>
      <c r="D191" s="92"/>
      <c r="E191" s="102" t="n">
        <f aca="false">H148</f>
        <v>2166.67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20</v>
      </c>
      <c r="B197" s="73" t="n">
        <f aca="false">B96</f>
        <v>1334.35414026424</v>
      </c>
      <c r="C197" s="73"/>
      <c r="D197" s="73"/>
      <c r="E197" s="22"/>
      <c r="F197" s="22"/>
      <c r="G197" s="22"/>
      <c r="H197" s="32"/>
      <c r="J197" s="72" t="n">
        <f aca="false">K29</f>
        <v>20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20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20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1347.4</v>
      </c>
      <c r="B201" s="185" t="n">
        <f aca="false">E179+A201+B182+A185</f>
        <v>23197.39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20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1264.48256131688</v>
      </c>
      <c r="B212" s="176" t="n">
        <f aca="false">B167</f>
        <v>69.8715789473684</v>
      </c>
      <c r="C212" s="173"/>
      <c r="D212" s="173"/>
      <c r="E212" s="176" t="n">
        <f aca="false">E167</f>
        <v>1334.35414026424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18750</v>
      </c>
      <c r="B215" s="102" t="n">
        <f aca="false">B173</f>
        <v>3750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22500</v>
      </c>
      <c r="B218" s="102" t="n">
        <f aca="false">B176</f>
        <v>200</v>
      </c>
      <c r="C218" s="102"/>
      <c r="D218" s="112"/>
      <c r="E218" s="102" t="n">
        <f aca="false">E176</f>
        <v>200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400</v>
      </c>
      <c r="B221" s="102" t="n">
        <f aca="false">B179</f>
        <v>500</v>
      </c>
      <c r="C221" s="102"/>
      <c r="D221" s="112"/>
      <c r="E221" s="102" t="n">
        <f aca="false">E179</f>
        <v>21600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3759.52280528496</v>
      </c>
      <c r="B224" s="102" t="str">
        <f aca="false">B182</f>
        <v>239.99</v>
      </c>
      <c r="C224" s="102"/>
      <c r="D224" s="112"/>
      <c r="E224" s="102" t="n">
        <f aca="false">E182</f>
        <v>25609.512805285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639.99</v>
      </c>
      <c r="C227" s="102"/>
      <c r="D227" s="112"/>
      <c r="E227" s="102" t="n">
        <f aca="false">B59</f>
        <v>19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1264.48256131688</v>
      </c>
      <c r="B230" s="102" t="n">
        <f aca="false">B167</f>
        <v>69.8715789473684</v>
      </c>
      <c r="C230" s="185"/>
      <c r="D230" s="185"/>
      <c r="E230" s="102" t="n">
        <f aca="false">E167</f>
        <v>1334.35414026424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0</v>
      </c>
      <c r="B233" s="102" t="n">
        <f aca="false">E185</f>
        <v>1344.35414026424</v>
      </c>
      <c r="C233" s="92"/>
      <c r="D233" s="92"/>
      <c r="E233" s="102" t="n">
        <f aca="false">J18*0.000006*100*1.2</f>
        <v>29.17872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IF(E105="YES",J18*0.000002,0)*100*1.2</f>
        <v>9.72624</v>
      </c>
      <c r="B236" s="102" t="n">
        <f aca="false">E233+A236</f>
        <v>38.90496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2166.67</v>
      </c>
      <c r="B240" s="102" t="n">
        <f aca="false">B68</f>
        <v>120</v>
      </c>
      <c r="C240" s="92"/>
      <c r="D240" s="92"/>
      <c r="E240" s="102" t="n">
        <f aca="false">E188</f>
        <v>25.53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2412.19166666666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0.1305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2422.12280528496</v>
      </c>
      <c r="C254" s="196"/>
      <c r="D254" s="197" t="s">
        <v>217</v>
      </c>
      <c r="E254" s="197"/>
      <c r="F254" s="199" t="n">
        <f aca="false">F261+F267+F269+B270+B271</f>
        <v>144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355.291666666667</v>
      </c>
      <c r="C255" s="196"/>
      <c r="D255" s="197" t="s">
        <v>219</v>
      </c>
      <c r="E255" s="197"/>
      <c r="F255" s="199" t="n">
        <f aca="false">(B254-F254)+B255</f>
        <v>2633.41447195163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0.1305</v>
      </c>
      <c r="C260" s="42"/>
      <c r="D260" s="165" t="s">
        <v>216</v>
      </c>
      <c r="E260" s="165"/>
      <c r="F260" s="145" t="n">
        <f aca="false">B254</f>
        <v>2422.12280528496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0.00666666666666667</v>
      </c>
      <c r="C261" s="31"/>
      <c r="D261" s="165" t="s">
        <v>222</v>
      </c>
      <c r="E261" s="165"/>
      <c r="F261" s="150" t="n">
        <f aca="false">B68*1.2</f>
        <v>144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0.3</v>
      </c>
      <c r="C262" s="31"/>
      <c r="D262" s="165" t="s">
        <v>223</v>
      </c>
      <c r="E262" s="165"/>
      <c r="F262" s="145" t="n">
        <f aca="false">E240*10</f>
        <v>255.3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2633.41447195163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3" colorId="64" zoomScale="85" zoomScaleNormal="85" zoomScalePageLayoutView="100" workbookViewId="0">
      <selection pane="topLeft" activeCell="A182" activeCellId="1" sqref="A191 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18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12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17280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300</v>
      </c>
      <c r="P32" s="211"/>
    </row>
    <row r="33" customFormat="false" ht="36.75" hidden="false" customHeight="false" outlineLevel="0" collapsed="false">
      <c r="A33" s="178" t="n">
        <f aca="false">A52</f>
        <v>12</v>
      </c>
      <c r="B33" s="231" t="n">
        <f aca="false">B51</f>
        <v>10000</v>
      </c>
      <c r="C33" s="92"/>
      <c r="D33" s="92"/>
      <c r="E33" s="231" t="n">
        <f aca="false">K48</f>
        <v>391.182122867598</v>
      </c>
      <c r="F33" s="231"/>
      <c r="G33" s="231"/>
      <c r="H33" s="46"/>
      <c r="I33" s="2"/>
      <c r="J33" s="33" t="s">
        <v>356</v>
      </c>
      <c r="K33" s="47" t="n">
        <f aca="false">E21</f>
        <v>17583.33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366.182122867598</v>
      </c>
      <c r="B36" s="231" t="n">
        <f aca="false">IF(B26="YES",K42,"0.00")</f>
        <v>25</v>
      </c>
      <c r="C36" s="231"/>
      <c r="D36" s="231"/>
      <c r="E36" s="231" t="n">
        <f aca="false">K31</f>
        <v>17280</v>
      </c>
      <c r="F36" s="231"/>
      <c r="G36" s="231"/>
      <c r="H36" s="46"/>
      <c r="I36" s="2"/>
      <c r="J36" s="2" t="s">
        <v>50</v>
      </c>
      <c r="K36" s="2" t="n">
        <f aca="false">K29</f>
        <v>12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17583.33</v>
      </c>
      <c r="L39" s="2" t="n">
        <f aca="false">(L47*K46)+K44</f>
        <v>22308.087321496</v>
      </c>
      <c r="N39" s="1" t="n">
        <f aca="false">K39-L39</f>
        <v>-4724.75732149599</v>
      </c>
      <c r="P39" s="211"/>
    </row>
    <row r="40" customFormat="false" ht="19.5" hidden="false" customHeight="false" outlineLevel="0" collapsed="false">
      <c r="A40" s="106" t="n">
        <f aca="false">E36*A45/100</f>
        <v>17280</v>
      </c>
      <c r="B40" s="106" t="n">
        <f aca="false">IF(B26="YES",K42,"0.00")</f>
        <v>25</v>
      </c>
      <c r="C40" s="106"/>
      <c r="D40" s="106"/>
      <c r="E40" s="181" t="n">
        <f aca="false">K32</f>
        <v>300</v>
      </c>
      <c r="F40" s="185"/>
      <c r="G40" s="185"/>
      <c r="H40" s="46"/>
      <c r="J40" s="2" t="s">
        <v>107</v>
      </c>
      <c r="K40" s="2" t="n">
        <f aca="false">(A40)/1.2</f>
        <v>14400</v>
      </c>
      <c r="L40" s="2" t="n">
        <f aca="false">K39-L39</f>
        <v>-4724.75732149599</v>
      </c>
      <c r="N40" s="1" t="n">
        <f aca="false">N38-N39</f>
        <v>7636.43732149599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25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13351.319212812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4232.01078718802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11.5571201402374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366.182122867598</v>
      </c>
      <c r="L47" s="2" t="n">
        <f aca="false">L49-K42</f>
        <v>775</v>
      </c>
      <c r="M47" s="1" t="n">
        <f aca="false">K47-L47</f>
        <v>-408.817877132402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391.182122867598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12</v>
      </c>
      <c r="B52" s="73" t="n">
        <f aca="false">K48</f>
        <v>391.182122867598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11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11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11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11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40526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40526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40526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0.0105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0.0105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1816.0436977276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0.005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0.005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0.005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87.4999833333334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2026.3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202.63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366.182122867598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366.182122867598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391.182122867598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391.182122867598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20999.996</v>
      </c>
      <c r="C81" s="92"/>
      <c r="D81" s="92"/>
      <c r="E81" s="112"/>
      <c r="F81" s="24" t="s">
        <v>106</v>
      </c>
      <c r="G81" s="26" t="n">
        <f aca="false">G158</f>
        <v>20999.996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17280</v>
      </c>
      <c r="C82" s="92"/>
      <c r="D82" s="92"/>
      <c r="E82" s="112"/>
      <c r="F82" s="30" t="s">
        <v>107</v>
      </c>
      <c r="G82" s="32" t="n">
        <f aca="false">IF(A111="YES",A40,0)</f>
        <v>17280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17280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17280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0.1305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0.1415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0.1415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0.010875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0.0117916666666667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0.0117916666666667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B59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  <c r="J85" s="30" t="s">
        <v>110</v>
      </c>
      <c r="K85" s="32" t="n">
        <f aca="false">IF(K82=0,(K59+K58),(K59))</f>
        <v>12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11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11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15176.5922023999</v>
      </c>
      <c r="C86" s="92"/>
      <c r="D86" s="92"/>
      <c r="E86" s="112"/>
      <c r="F86" s="30" t="s">
        <v>111</v>
      </c>
      <c r="G86" s="32" t="n">
        <f aca="false">(G82/((1+G84)^(G85+1)))</f>
        <v>16115.0422898641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15012.4149638869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15012.4149638869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10.3148273595096</v>
      </c>
      <c r="C87" s="92"/>
      <c r="D87" s="92"/>
      <c r="E87" s="112"/>
      <c r="F87" s="30" t="s">
        <v>112</v>
      </c>
      <c r="G87" s="32" t="n">
        <f aca="false">((1-(1/((1+G84)^G85)))/G84)</f>
        <v>10.6245366743888</v>
      </c>
      <c r="H87" s="32"/>
      <c r="J87" s="30" t="s">
        <v>112</v>
      </c>
      <c r="K87" s="32" t="n">
        <f aca="false">((1-(1/((1+K84)^K85)))/K84)</f>
        <v>10.5753412209172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10.2599315027351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10.2599315027351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5823.40379760014</v>
      </c>
      <c r="C88" s="92"/>
      <c r="D88" s="92"/>
      <c r="E88" s="112"/>
      <c r="F88" s="30" t="s">
        <v>113</v>
      </c>
      <c r="G88" s="32" t="n">
        <f aca="false">G81-G86</f>
        <v>4884.95371013594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564.566288376252</v>
      </c>
      <c r="C89" s="92"/>
      <c r="D89" s="92"/>
      <c r="E89" s="112"/>
      <c r="F89" s="30" t="s">
        <v>114</v>
      </c>
      <c r="G89" s="32" t="n">
        <f aca="false">(G88/G87)</f>
        <v>459.780398886612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6210.22917213878</v>
      </c>
      <c r="C90" s="92"/>
      <c r="D90" s="92"/>
      <c r="E90" s="112"/>
      <c r="F90" s="30" t="s">
        <v>115</v>
      </c>
      <c r="G90" s="32" t="n">
        <f aca="false">((G89*(G85))+G77)</f>
        <v>5057.58438775273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6210.22917213878</v>
      </c>
      <c r="C92" s="92"/>
      <c r="D92" s="92"/>
      <c r="E92" s="112"/>
      <c r="F92" s="55" t="s">
        <v>117</v>
      </c>
      <c r="G92" s="64" t="n">
        <f aca="false">(G90+G91)</f>
        <v>5057.58438775273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n">
        <f aca="false">IF(B26="YES",((E40/B85)*(1+A108)*(C45/100)),"0")</f>
        <v>32.7272727272727</v>
      </c>
      <c r="C94" s="92"/>
      <c r="D94" s="92"/>
      <c r="E94" s="112"/>
      <c r="F94" s="87" t="s">
        <v>118</v>
      </c>
      <c r="G94" s="93" t="n">
        <f aca="false">IF(B26="YES",((E40/B85)*(1+A108)*(C45/100)),"0")</f>
        <v>32.7272727272727</v>
      </c>
      <c r="H94" s="32"/>
      <c r="J94" s="87" t="s">
        <v>118</v>
      </c>
      <c r="K94" s="88" t="n">
        <f aca="false">((E40/K85)*(1+J108))*1.2</f>
        <v>39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32.7272727272727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39.2727272727273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(B92/B85)</f>
        <v>564.566288376252</v>
      </c>
      <c r="C95" s="92"/>
      <c r="D95" s="92"/>
      <c r="E95" s="112"/>
      <c r="F95" s="94" t="s">
        <v>119</v>
      </c>
      <c r="G95" s="95" t="n">
        <f aca="false">G92/(G85)</f>
        <v>459.780398886612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597.293561103525</v>
      </c>
      <c r="C96" s="92"/>
      <c r="D96" s="92"/>
      <c r="E96" s="112"/>
      <c r="F96" s="96" t="s">
        <v>120</v>
      </c>
      <c r="G96" s="97" t="n">
        <f aca="false">G94+G95</f>
        <v>492.507671613885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18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0.1305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0.1415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0.1415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17583.33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21099.996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21099.996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21099.996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17583.33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17583.33</v>
      </c>
      <c r="H135" s="152" t="n">
        <f aca="false">C125+E125+G125+H128</f>
        <v>19583.33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-15833.33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20999.996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564.566288376252</v>
      </c>
      <c r="B167" s="176" t="n">
        <f aca="false">B94</f>
        <v>32.7272727272727</v>
      </c>
      <c r="C167" s="173"/>
      <c r="D167" s="173"/>
      <c r="E167" s="176" t="n">
        <f aca="false">B96</f>
        <v>597.293561103525</v>
      </c>
      <c r="F167" s="22"/>
      <c r="G167" s="22" t="n">
        <f aca="false">ROUND(G95,2)</f>
        <v>459.78</v>
      </c>
      <c r="H167" s="32"/>
      <c r="J167" s="175" t="e">
        <f aca="false">K95</f>
        <v>#VALUE!</v>
      </c>
      <c r="K167" s="176" t="n">
        <f aca="false">K94</f>
        <v>39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32.7272727272727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39.2727272727273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12</v>
      </c>
      <c r="B170" s="179" t="n">
        <f aca="false">K30</f>
        <v>10000</v>
      </c>
      <c r="C170" s="180"/>
      <c r="D170" s="22"/>
      <c r="E170" s="181" t="n">
        <f aca="false">IF(A111="YES",A40,0)</f>
        <v>17280</v>
      </c>
      <c r="F170" s="22"/>
      <c r="G170" s="22"/>
      <c r="H170" s="32"/>
      <c r="J170" s="178" t="n">
        <f aca="false">K29</f>
        <v>12</v>
      </c>
      <c r="K170" s="179" t="n">
        <f aca="false">K30</f>
        <v>10000</v>
      </c>
      <c r="L170" s="180"/>
      <c r="M170" s="22"/>
      <c r="N170" s="181" t="n">
        <f aca="false">IF(A111="YES",A40,0)</f>
        <v>17280</v>
      </c>
      <c r="O170" s="22"/>
      <c r="P170" s="22"/>
      <c r="Q170" s="32"/>
      <c r="S170" s="178" t="n">
        <f aca="false">K29</f>
        <v>12</v>
      </c>
      <c r="T170" s="179" t="n">
        <f aca="false">K30</f>
        <v>10000</v>
      </c>
      <c r="U170" s="180"/>
      <c r="V170" s="22"/>
      <c r="W170" s="181" t="n">
        <f aca="false">IF(A111="YES",A40,0)</f>
        <v>17280</v>
      </c>
      <c r="X170" s="22"/>
      <c r="Y170" s="22"/>
      <c r="Z170" s="32"/>
      <c r="AB170" s="178" t="n">
        <f aca="false">K29</f>
        <v>12</v>
      </c>
      <c r="AC170" s="179" t="n">
        <f aca="false">K30</f>
        <v>10000</v>
      </c>
      <c r="AD170" s="180"/>
      <c r="AE170" s="22"/>
      <c r="AF170" s="181" t="n">
        <f aca="false">IF(A111="YES",A40,0)</f>
        <v>17280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H141</f>
        <v>23499.996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20999.996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2490.23317213877</v>
      </c>
      <c r="B182" s="102" t="str">
        <f aca="false">B114</f>
        <v>199.99</v>
      </c>
      <c r="C182" s="102"/>
      <c r="D182" s="22"/>
      <c r="E182" s="102" t="n">
        <f aca="false">E179+A182+(B182*1.2)+A185</f>
        <v>23740.2171721388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A179+B182*1.2</f>
        <v>2239.988</v>
      </c>
      <c r="C185" s="102"/>
      <c r="D185" s="22"/>
      <c r="E185" s="102" t="n">
        <f aca="false">IF( E170=0 , A185+E167, E170+A185)</f>
        <v>17290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17300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17290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17290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</f>
        <v>8.1052</v>
      </c>
      <c r="B188" s="102" t="n">
        <f aca="false">(G158*B67)/1.2</f>
        <v>87.4999833333334</v>
      </c>
      <c r="C188" s="92"/>
      <c r="D188" s="92"/>
      <c r="E188" s="102" t="n">
        <f aca="false">(E40*A108)*0.1*(C45/100)</f>
        <v>6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9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6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6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193.489983333333</v>
      </c>
      <c r="C191" s="92"/>
      <c r="D191" s="92"/>
      <c r="E191" s="102" t="n">
        <f aca="false">H148</f>
        <v>2000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12</v>
      </c>
      <c r="B197" s="73" t="n">
        <f aca="false">B96</f>
        <v>597.293561103525</v>
      </c>
      <c r="C197" s="73"/>
      <c r="D197" s="73"/>
      <c r="E197" s="22"/>
      <c r="F197" s="22"/>
      <c r="G197" s="22"/>
      <c r="H197" s="32"/>
      <c r="J197" s="72" t="n">
        <f aca="false">K29</f>
        <v>12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12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12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1337.584</v>
      </c>
      <c r="B201" s="185" t="n">
        <f aca="false">E179+A201+(B182*1.2)+A185</f>
        <v>22587.568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12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564.566288376252</v>
      </c>
      <c r="B212" s="176" t="n">
        <f aca="false">B167</f>
        <v>32.7272727272727</v>
      </c>
      <c r="C212" s="173"/>
      <c r="D212" s="173"/>
      <c r="E212" s="176" t="n">
        <f aca="false">E167</f>
        <v>597.293561103525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20999.996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2490.23317213877</v>
      </c>
      <c r="B224" s="102" t="str">
        <f aca="false">B182</f>
        <v>199.99</v>
      </c>
      <c r="C224" s="102"/>
      <c r="D224" s="112"/>
      <c r="E224" s="102" t="n">
        <f aca="false">E182</f>
        <v>23740.2171721388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564.566288376252</v>
      </c>
      <c r="B230" s="102" t="n">
        <f aca="false">B167</f>
        <v>32.7272727272727</v>
      </c>
      <c r="C230" s="185"/>
      <c r="D230" s="185"/>
      <c r="E230" s="102" t="n">
        <f aca="false">E167</f>
        <v>597.293561103525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17280</v>
      </c>
      <c r="B233" s="102" t="n">
        <f aca="false">E185</f>
        <v>17290</v>
      </c>
      <c r="C233" s="92"/>
      <c r="D233" s="92"/>
      <c r="E233" s="102" t="n">
        <f aca="false">J18*0.000006*100</f>
        <v>24.3156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</f>
        <v>8.1052</v>
      </c>
      <c r="B236" s="102" t="n">
        <f aca="false">E233+A236</f>
        <v>32.4208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B68</f>
        <v>87.4999833333334</v>
      </c>
      <c r="C240" s="92"/>
      <c r="D240" s="92"/>
      <c r="E240" s="102" t="n">
        <f aca="false">E188</f>
        <v>6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2193.48998333333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0.1305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1162.64917213878</v>
      </c>
      <c r="C254" s="196"/>
      <c r="D254" s="197" t="s">
        <v>217</v>
      </c>
      <c r="E254" s="197"/>
      <c r="F254" s="199" t="n">
        <f aca="false">F261+F267+F269+B270+B271</f>
        <v>104.99998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159.99</v>
      </c>
      <c r="C255" s="196"/>
      <c r="D255" s="197" t="s">
        <v>219</v>
      </c>
      <c r="E255" s="197"/>
      <c r="F255" s="199" t="n">
        <f aca="false">(B254-F254)+B255</f>
        <v>1217.63919213878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0.1305</v>
      </c>
      <c r="C260" s="42"/>
      <c r="D260" s="165" t="s">
        <v>216</v>
      </c>
      <c r="E260" s="165"/>
      <c r="F260" s="145" t="n">
        <f aca="false">B254</f>
        <v>1162.64917213878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B68*1.2</f>
        <v>104.99998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60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1217.63919213878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48" colorId="64" zoomScale="85" zoomScaleNormal="85" zoomScalePageLayoutView="100" workbookViewId="0">
      <selection pane="topLeft" activeCell="A182" activeCellId="1" sqref="A191 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11730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299.539129582044</v>
      </c>
      <c r="F33" s="231"/>
      <c r="G33" s="231"/>
      <c r="H33" s="46"/>
      <c r="I33" s="2"/>
      <c r="J33" s="33" t="s">
        <v>356</v>
      </c>
      <c r="K33" s="47" t="n">
        <f aca="false">E21</f>
        <v>17583.33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299.539129582044</v>
      </c>
      <c r="B36" s="231" t="str">
        <f aca="false">IF(B26="YES",K42,"0.00")</f>
        <v>0.00</v>
      </c>
      <c r="C36" s="231"/>
      <c r="D36" s="231"/>
      <c r="E36" s="231" t="n">
        <f aca="false">K31</f>
        <v>11730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17583.33</v>
      </c>
      <c r="L39" s="2" t="n">
        <f aca="false">(L47*K46)+K44</f>
        <v>33791.4881892245</v>
      </c>
      <c r="N39" s="1" t="n">
        <f aca="false">K39-L39</f>
        <v>-16208.1581892245</v>
      </c>
      <c r="P39" s="211"/>
    </row>
    <row r="40" customFormat="false" ht="19.5" hidden="false" customHeight="false" outlineLevel="0" collapsed="false">
      <c r="A40" s="106" t="n">
        <f aca="false">E36*A45/100</f>
        <v>11730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9775</v>
      </c>
      <c r="L40" s="2" t="n">
        <f aca="false">K39-L39</f>
        <v>-16208.1581892245</v>
      </c>
      <c r="N40" s="1" t="n">
        <f aca="false">N38-N39</f>
        <v>19119.8381892245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7882.31662791798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9701.01337208203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299.539129582044</v>
      </c>
      <c r="L47" s="2" t="n">
        <f aca="false">L49-K42</f>
        <v>800</v>
      </c>
      <c r="M47" s="1" t="n">
        <f aca="false">K47-L47</f>
        <v>-500.460870417956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299.539129582044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299.539129582044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40526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40526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40526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4452.15254185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174.999966666667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3039.45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405.26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299.539129582044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299.539129582044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299.539129582044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299.539129582044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20999.996</v>
      </c>
      <c r="C81" s="92"/>
      <c r="D81" s="92"/>
      <c r="E81" s="112"/>
      <c r="F81" s="24" t="s">
        <v>106</v>
      </c>
      <c r="G81" s="26" t="n">
        <f aca="false">G158</f>
        <v>20999.996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11730</v>
      </c>
      <c r="C82" s="92"/>
      <c r="D82" s="92"/>
      <c r="E82" s="112"/>
      <c r="F82" s="30" t="s">
        <v>107</v>
      </c>
      <c r="G82" s="32" t="n">
        <f aca="false">IF(A111="YES",A40,0)</f>
        <v>11730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11730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11730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35</v>
      </c>
      <c r="C85" s="92"/>
      <c r="D85" s="92"/>
      <c r="E85" s="112"/>
      <c r="F85" s="30" t="s">
        <v>110</v>
      </c>
      <c r="G85" s="32" t="n">
        <f aca="false">IF(G82=0,(B59+B58),(B59))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8198.38965912775</v>
      </c>
      <c r="C86" s="92"/>
      <c r="D86" s="92"/>
      <c r="E86" s="112"/>
      <c r="F86" s="30" t="s">
        <v>111</v>
      </c>
      <c r="G86" s="32" t="n">
        <f aca="false">(G82/((1+G84)^(G85+1)))</f>
        <v>9513.956169897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7934.96785267316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7934.96785267316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12801.6063408723</v>
      </c>
      <c r="C88" s="92"/>
      <c r="D88" s="92"/>
      <c r="E88" s="112"/>
      <c r="F88" s="30" t="s">
        <v>113</v>
      </c>
      <c r="G88" s="32" t="n">
        <f aca="false">G81-G86</f>
        <v>11486.039830103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435.301748765817</v>
      </c>
      <c r="C89" s="92"/>
      <c r="D89" s="92"/>
      <c r="E89" s="112"/>
      <c r="F89" s="30" t="s">
        <v>114</v>
      </c>
      <c r="G89" s="32" t="n">
        <f aca="false">(G88/G87)</f>
        <v>363.765624720186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15235.5612068036</v>
      </c>
      <c r="C90" s="92"/>
      <c r="D90" s="92"/>
      <c r="E90" s="112"/>
      <c r="F90" s="30" t="s">
        <v>115</v>
      </c>
      <c r="G90" s="32" t="n">
        <f aca="false">((G89*(G85))+G77)</f>
        <v>12731.7968652065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15235.5612068036</v>
      </c>
      <c r="C92" s="92"/>
      <c r="D92" s="92"/>
      <c r="E92" s="112"/>
      <c r="F92" s="55" t="s">
        <v>117</v>
      </c>
      <c r="G92" s="64" t="n">
        <f aca="false">(G90+G91)</f>
        <v>12731.7968652065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IF(B26="YES",((E40/B85)*(1+A108)*1.2*(C45/100)),"0")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435.301748765817</v>
      </c>
      <c r="C95" s="92"/>
      <c r="D95" s="92"/>
      <c r="E95" s="112"/>
      <c r="F95" s="94" t="s">
        <v>119</v>
      </c>
      <c r="G95" s="95" t="n">
        <f aca="false">G92/(G85)</f>
        <v>363.765624720186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435.301748765817</v>
      </c>
      <c r="C96" s="92"/>
      <c r="D96" s="92"/>
      <c r="E96" s="112"/>
      <c r="F96" s="96" t="s">
        <v>120</v>
      </c>
      <c r="G96" s="97" t="n">
        <f aca="false">G94+G95</f>
        <v>363.765624720186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19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17583.33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21099.996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21099.996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21099.996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17583.33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17583.33</v>
      </c>
      <c r="H135" s="152" t="n">
        <f aca="false">C125+E125+G125+H128</f>
        <v>19583.33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-15833.33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20999.996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435.301748765817</v>
      </c>
      <c r="B167" s="176" t="str">
        <f aca="false">B94</f>
        <v>0</v>
      </c>
      <c r="C167" s="173"/>
      <c r="D167" s="173"/>
      <c r="E167" s="176" t="n">
        <f aca="false">B96</f>
        <v>435.301748765817</v>
      </c>
      <c r="F167" s="22"/>
      <c r="G167" s="22" t="n">
        <f aca="false">ROUND(G95,2)</f>
        <v>363.77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11730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11730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11730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11730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23499.996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20999.996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5965.5652068036</v>
      </c>
      <c r="B182" s="102" t="str">
        <f aca="false">B114</f>
        <v>239.99</v>
      </c>
      <c r="C182" s="102"/>
      <c r="D182" s="22"/>
      <c r="E182" s="102" t="n">
        <f aca="false">E179+A182+B182+A185</f>
        <v>27215.5512068036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A179+(B182)</f>
        <v>2239.99</v>
      </c>
      <c r="C185" s="102"/>
      <c r="D185" s="22"/>
      <c r="E185" s="102" t="n">
        <f aca="false">IF( E170=0 , A185+E167, E170+A185)</f>
        <v>11740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11750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11740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11740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IF(E105="YES",J18*0.000002,0)*100*1.2</f>
        <v>0</v>
      </c>
      <c r="B188" s="102" t="n">
        <f aca="false">(G158*B67)</f>
        <v>209.99996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B182/1.2-100</f>
        <v>99.9916666666667</v>
      </c>
      <c r="B191" s="102" t="n">
        <f aca="false">B188+E188+A191</f>
        <v>309.991626666667</v>
      </c>
      <c r="C191" s="92"/>
      <c r="D191" s="92"/>
      <c r="E191" s="102" t="n">
        <f aca="false">H148</f>
        <v>2000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435.301748765817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3461.95399999999</v>
      </c>
      <c r="B201" s="185" t="n">
        <f aca="false">E179+A201+B182+A185</f>
        <v>24711.94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435.301748765817</v>
      </c>
      <c r="B212" s="176" t="str">
        <f aca="false">B167</f>
        <v>0</v>
      </c>
      <c r="C212" s="173"/>
      <c r="D212" s="173"/>
      <c r="E212" s="176" t="n">
        <f aca="false">E167</f>
        <v>435.301748765817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20999.996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5965.5652068036</v>
      </c>
      <c r="B224" s="102" t="str">
        <f aca="false">B182</f>
        <v>239.99</v>
      </c>
      <c r="C224" s="102"/>
      <c r="D224" s="112"/>
      <c r="E224" s="102" t="n">
        <f aca="false">E182</f>
        <v>27215.5512068036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2239.99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435.301748765817</v>
      </c>
      <c r="B230" s="102" t="str">
        <f aca="false">B167</f>
        <v>0</v>
      </c>
      <c r="C230" s="185"/>
      <c r="D230" s="185"/>
      <c r="E230" s="102" t="n">
        <f aca="false">E167</f>
        <v>435.301748765817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11730</v>
      </c>
      <c r="B233" s="102" t="n">
        <f aca="false">E185</f>
        <v>11740</v>
      </c>
      <c r="C233" s="92"/>
      <c r="D233" s="92"/>
      <c r="E233" s="102" t="n">
        <f aca="false">A188</f>
        <v>0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B68</f>
        <v>174.999966666667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2274.99163333333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2513.6112068036</v>
      </c>
      <c r="C254" s="196"/>
      <c r="D254" s="197" t="s">
        <v>217</v>
      </c>
      <c r="E254" s="197"/>
      <c r="F254" s="199" t="n">
        <f aca="false">F261+F267+F269+B270+B271</f>
        <v>209.99996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2403.60291347026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2513.6112068036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0.01</v>
      </c>
      <c r="C261" s="31"/>
      <c r="D261" s="165" t="s">
        <v>222</v>
      </c>
      <c r="E261" s="165"/>
      <c r="F261" s="150" t="n">
        <f aca="false">B68*1.2</f>
        <v>209.99996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2403.60291347026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7" colorId="64" zoomScale="85" zoomScaleNormal="85" zoomScalePageLayoutView="100" workbookViewId="0">
      <selection pane="topLeft" activeCell="A182" activeCellId="1" sqref="A191 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18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12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17280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300</v>
      </c>
      <c r="P32" s="211"/>
    </row>
    <row r="33" customFormat="false" ht="36.75" hidden="false" customHeight="false" outlineLevel="0" collapsed="false">
      <c r="A33" s="178" t="n">
        <f aca="false">A52</f>
        <v>12</v>
      </c>
      <c r="B33" s="231" t="n">
        <f aca="false">B51</f>
        <v>10000</v>
      </c>
      <c r="C33" s="92"/>
      <c r="D33" s="92"/>
      <c r="E33" s="231" t="n">
        <f aca="false">K48</f>
        <v>391.182122867598</v>
      </c>
      <c r="F33" s="231"/>
      <c r="G33" s="231"/>
      <c r="H33" s="46"/>
      <c r="I33" s="2"/>
      <c r="J33" s="33" t="s">
        <v>356</v>
      </c>
      <c r="K33" s="47" t="n">
        <f aca="false">E21</f>
        <v>17583.33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366.182122867598</v>
      </c>
      <c r="B36" s="231" t="n">
        <f aca="false">IF(B26="YES",K42,"0.00")</f>
        <v>25</v>
      </c>
      <c r="C36" s="231"/>
      <c r="D36" s="231"/>
      <c r="E36" s="231" t="n">
        <f aca="false">K31</f>
        <v>17280</v>
      </c>
      <c r="F36" s="231"/>
      <c r="G36" s="231"/>
      <c r="H36" s="46"/>
      <c r="I36" s="2"/>
      <c r="J36" s="2" t="s">
        <v>50</v>
      </c>
      <c r="K36" s="2" t="n">
        <f aca="false">K29</f>
        <v>12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17583.33</v>
      </c>
      <c r="L39" s="2" t="n">
        <f aca="false">(L47*K46)+K44</f>
        <v>22308.087321496</v>
      </c>
      <c r="N39" s="1" t="n">
        <f aca="false">K39-L39</f>
        <v>-4724.75732149599</v>
      </c>
      <c r="P39" s="211"/>
    </row>
    <row r="40" customFormat="false" ht="19.5" hidden="false" customHeight="false" outlineLevel="0" collapsed="false">
      <c r="A40" s="106" t="n">
        <f aca="false">E36*A45/100</f>
        <v>17280</v>
      </c>
      <c r="B40" s="106" t="n">
        <f aca="false">IF(B26="YES",K42,"0.00")</f>
        <v>25</v>
      </c>
      <c r="C40" s="106"/>
      <c r="D40" s="106"/>
      <c r="E40" s="181" t="n">
        <f aca="false">K32</f>
        <v>300</v>
      </c>
      <c r="F40" s="185"/>
      <c r="G40" s="185"/>
      <c r="H40" s="46"/>
      <c r="J40" s="2" t="s">
        <v>107</v>
      </c>
      <c r="K40" s="2" t="n">
        <f aca="false">(A40)/1.2</f>
        <v>14400</v>
      </c>
      <c r="L40" s="2" t="n">
        <f aca="false">K39-L39</f>
        <v>-4724.75732149599</v>
      </c>
      <c r="N40" s="1" t="n">
        <f aca="false">N38-N39</f>
        <v>7636.43732149599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25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13351.319212812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4232.01078718802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11.5571201402374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366.182122867598</v>
      </c>
      <c r="L47" s="2" t="n">
        <f aca="false">L49-K42</f>
        <v>775</v>
      </c>
      <c r="M47" s="1" t="n">
        <f aca="false">K47-L47</f>
        <v>-408.817877132402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391.182122867598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12</v>
      </c>
      <c r="B52" s="73" t="n">
        <f aca="false">K48</f>
        <v>391.182122867598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11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11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11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11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40526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40526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40526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0.0105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0.0105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1816.0436977276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0.005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0.005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0.005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87.4999833333334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2026.3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202.63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366.182122867598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366.182122867598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391.182122867598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391.182122867598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20999.996</v>
      </c>
      <c r="C81" s="92"/>
      <c r="D81" s="92"/>
      <c r="E81" s="112"/>
      <c r="F81" s="24" t="s">
        <v>106</v>
      </c>
      <c r="G81" s="26" t="n">
        <f aca="false">G158</f>
        <v>20999.996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17280</v>
      </c>
      <c r="C82" s="92"/>
      <c r="D82" s="92"/>
      <c r="E82" s="112"/>
      <c r="F82" s="30" t="s">
        <v>107</v>
      </c>
      <c r="G82" s="32" t="n">
        <f aca="false">IF(A111="YES",A40,0)</f>
        <v>17280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17280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17280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0.1305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0.1415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0.1415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0.010875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0.0117916666666667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0.0117916666666667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  <c r="J85" s="30" t="s">
        <v>110</v>
      </c>
      <c r="K85" s="32" t="n">
        <f aca="false">IF(K82=0,(K59+K58),(K59))</f>
        <v>12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11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11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15176.5922023999</v>
      </c>
      <c r="C86" s="92"/>
      <c r="D86" s="92"/>
      <c r="E86" s="112"/>
      <c r="F86" s="30" t="s">
        <v>111</v>
      </c>
      <c r="G86" s="32" t="n">
        <f aca="false">(G82/((1+G84)^(G85+1)))</f>
        <v>16115.0422898641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15012.4149638869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15012.4149638869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10.3148273595096</v>
      </c>
      <c r="C87" s="92"/>
      <c r="D87" s="92"/>
      <c r="E87" s="112"/>
      <c r="F87" s="30" t="s">
        <v>112</v>
      </c>
      <c r="G87" s="32" t="n">
        <f aca="false">((1-(1/((1+G84)^G85)))/G84)</f>
        <v>10.6245366743888</v>
      </c>
      <c r="H87" s="32"/>
      <c r="J87" s="30" t="s">
        <v>112</v>
      </c>
      <c r="K87" s="32" t="n">
        <f aca="false">((1-(1/((1+K84)^K85)))/K84)</f>
        <v>10.5753412209172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10.2599315027351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10.2599315027351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5823.40379760014</v>
      </c>
      <c r="C88" s="92"/>
      <c r="D88" s="92"/>
      <c r="E88" s="112"/>
      <c r="F88" s="30" t="s">
        <v>113</v>
      </c>
      <c r="G88" s="32" t="n">
        <f aca="false">G81-G86</f>
        <v>4884.95371013594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564.566288376252</v>
      </c>
      <c r="C89" s="92"/>
      <c r="D89" s="92"/>
      <c r="E89" s="112"/>
      <c r="F89" s="30" t="s">
        <v>114</v>
      </c>
      <c r="G89" s="32" t="n">
        <f aca="false">(G88/G87)</f>
        <v>459.780398886612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6210.22917213878</v>
      </c>
      <c r="C90" s="92"/>
      <c r="D90" s="92"/>
      <c r="E90" s="112"/>
      <c r="F90" s="30" t="s">
        <v>115</v>
      </c>
      <c r="G90" s="32" t="n">
        <f aca="false">((G89*(G85))+G77)</f>
        <v>5057.58438775273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6210.22917213878</v>
      </c>
      <c r="C92" s="92"/>
      <c r="D92" s="92"/>
      <c r="E92" s="112"/>
      <c r="F92" s="55" t="s">
        <v>117</v>
      </c>
      <c r="G92" s="64" t="n">
        <f aca="false">(G90+G91)</f>
        <v>5057.58438775273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n">
        <f aca="false">IF(B26="YES",((E40/B85)*(1+A108)*(C45/100)),"0")</f>
        <v>35.4545454545455</v>
      </c>
      <c r="C94" s="92"/>
      <c r="D94" s="92"/>
      <c r="E94" s="112"/>
      <c r="F94" s="87" t="s">
        <v>118</v>
      </c>
      <c r="G94" s="93" t="n">
        <f aca="false">IF(B26="YES",((E40/B85)*(1+A108)*(C45/100)),"0")</f>
        <v>35.4545454545455</v>
      </c>
      <c r="H94" s="32"/>
      <c r="J94" s="87" t="s">
        <v>118</v>
      </c>
      <c r="K94" s="88" t="n">
        <f aca="false">((E40/K85)*(1+J108))*1.2</f>
        <v>39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32.7272727272727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39.2727272727273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564.566288376252</v>
      </c>
      <c r="C95" s="92"/>
      <c r="D95" s="92"/>
      <c r="E95" s="112"/>
      <c r="F95" s="94" t="s">
        <v>119</v>
      </c>
      <c r="G95" s="95" t="n">
        <f aca="false">G92/(G85)</f>
        <v>459.780398886612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600.020833830798</v>
      </c>
      <c r="C96" s="92"/>
      <c r="D96" s="92"/>
      <c r="E96" s="112"/>
      <c r="F96" s="96" t="s">
        <v>120</v>
      </c>
      <c r="G96" s="97" t="n">
        <f aca="false">G94+G95</f>
        <v>495.234944341158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18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0.3</v>
      </c>
      <c r="B108" s="106" t="n">
        <v>0</v>
      </c>
      <c r="C108" s="106"/>
      <c r="D108" s="106" t="n">
        <v>0</v>
      </c>
      <c r="E108" s="107" t="n">
        <f aca="false">B83</f>
        <v>0.1305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0.1415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0.1415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17583.33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21099.996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21099.996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21099.996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17583.33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17583.33</v>
      </c>
      <c r="H135" s="152" t="n">
        <f aca="false">C125+E125+G125+H128</f>
        <v>19583.33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-15833.33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20999.996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564.566288376252</v>
      </c>
      <c r="B167" s="176" t="n">
        <f aca="false">B94</f>
        <v>35.4545454545455</v>
      </c>
      <c r="C167" s="173"/>
      <c r="D167" s="173"/>
      <c r="E167" s="176" t="n">
        <f aca="false">B96</f>
        <v>600.020833830798</v>
      </c>
      <c r="F167" s="22"/>
      <c r="G167" s="22" t="n">
        <f aca="false">ROUND(G95,2)</f>
        <v>459.78</v>
      </c>
      <c r="H167" s="32"/>
      <c r="J167" s="175" t="e">
        <f aca="false">K95</f>
        <v>#VALUE!</v>
      </c>
      <c r="K167" s="176" t="n">
        <f aca="false">K94</f>
        <v>39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32.7272727272727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39.2727272727273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12</v>
      </c>
      <c r="B170" s="228" t="n">
        <f aca="false">K30</f>
        <v>10000</v>
      </c>
      <c r="C170" s="180"/>
      <c r="D170" s="22"/>
      <c r="E170" s="181" t="n">
        <f aca="false">IF(A111="YES",A40,0)</f>
        <v>17280</v>
      </c>
      <c r="F170" s="22"/>
      <c r="G170" s="22"/>
      <c r="H170" s="32"/>
      <c r="J170" s="178" t="n">
        <f aca="false">K29</f>
        <v>12</v>
      </c>
      <c r="K170" s="179" t="n">
        <f aca="false">K30</f>
        <v>10000</v>
      </c>
      <c r="L170" s="180"/>
      <c r="M170" s="22"/>
      <c r="N170" s="181" t="n">
        <f aca="false">IF(A111="YES",A40,0)</f>
        <v>17280</v>
      </c>
      <c r="O170" s="22"/>
      <c r="P170" s="22"/>
      <c r="Q170" s="32"/>
      <c r="S170" s="178" t="n">
        <f aca="false">K29</f>
        <v>12</v>
      </c>
      <c r="T170" s="179" t="n">
        <f aca="false">K30</f>
        <v>10000</v>
      </c>
      <c r="U170" s="180"/>
      <c r="V170" s="22"/>
      <c r="W170" s="181" t="n">
        <f aca="false">IF(A111="YES",A40,0)</f>
        <v>17280</v>
      </c>
      <c r="X170" s="22"/>
      <c r="Y170" s="22"/>
      <c r="Z170" s="32"/>
      <c r="AB170" s="178" t="n">
        <f aca="false">K29</f>
        <v>12</v>
      </c>
      <c r="AC170" s="179" t="n">
        <f aca="false">K30</f>
        <v>10000</v>
      </c>
      <c r="AD170" s="180"/>
      <c r="AE170" s="22"/>
      <c r="AF170" s="181" t="n">
        <f aca="false">IF(A111="YES",A40,0)</f>
        <v>17280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23499.996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20999.996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2490.23317213877</v>
      </c>
      <c r="B182" s="102" t="str">
        <f aca="false">B114</f>
        <v>199.99</v>
      </c>
      <c r="C182" s="102"/>
      <c r="D182" s="22"/>
      <c r="E182" s="102" t="n">
        <f aca="false">E179+A182+(B182*1.2)+A185</f>
        <v>23740.2171721388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A179+(B182*1.2)</f>
        <v>2239.988</v>
      </c>
      <c r="C185" s="102"/>
      <c r="D185" s="22"/>
      <c r="E185" s="102" t="n">
        <f aca="false">IF( E170=0 , A185+E167, E170+A185)</f>
        <v>17290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17300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17290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17290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</f>
        <v>8.1052</v>
      </c>
      <c r="B188" s="102" t="n">
        <f aca="false">(G158*B67)/1.2</f>
        <v>87.4999833333334</v>
      </c>
      <c r="C188" s="92"/>
      <c r="D188" s="92"/>
      <c r="E188" s="102" t="n">
        <f aca="false">(E40*A108)*0.1*(C45/100)</f>
        <v>9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9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6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6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196.489983333333</v>
      </c>
      <c r="C191" s="92"/>
      <c r="D191" s="92"/>
      <c r="E191" s="102" t="n">
        <f aca="false">H148</f>
        <v>2000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12</v>
      </c>
      <c r="B197" s="73" t="n">
        <f aca="false">B96</f>
        <v>600.020833830798</v>
      </c>
      <c r="C197" s="73"/>
      <c r="D197" s="73"/>
      <c r="E197" s="22"/>
      <c r="F197" s="22"/>
      <c r="G197" s="22"/>
      <c r="H197" s="32"/>
      <c r="J197" s="72" t="n">
        <f aca="false">K29</f>
        <v>12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12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12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1337.584</v>
      </c>
      <c r="B201" s="185" t="n">
        <f aca="false">E179+A201+(B182*1.2)+A185</f>
        <v>22587.568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12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564.566288376252</v>
      </c>
      <c r="B212" s="176" t="n">
        <f aca="false">B167</f>
        <v>35.4545454545455</v>
      </c>
      <c r="C212" s="173"/>
      <c r="D212" s="173"/>
      <c r="E212" s="176" t="n">
        <f aca="false">E167</f>
        <v>600.020833830798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20999.996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2490.23317213877</v>
      </c>
      <c r="B224" s="102" t="str">
        <f aca="false">B182</f>
        <v>199.99</v>
      </c>
      <c r="C224" s="102"/>
      <c r="D224" s="112"/>
      <c r="E224" s="102" t="n">
        <f aca="false">E182</f>
        <v>23740.2171721388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564.566288376252</v>
      </c>
      <c r="B230" s="102" t="n">
        <f aca="false">B167</f>
        <v>35.4545454545455</v>
      </c>
      <c r="C230" s="185"/>
      <c r="D230" s="185"/>
      <c r="E230" s="102" t="n">
        <f aca="false">E167</f>
        <v>600.020833830798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17280</v>
      </c>
      <c r="B233" s="102" t="n">
        <f aca="false">E185</f>
        <v>17290</v>
      </c>
      <c r="C233" s="92"/>
      <c r="D233" s="92"/>
      <c r="E233" s="102" t="n">
        <f aca="false">A188</f>
        <v>8.1052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B68</f>
        <v>87.4999833333334</v>
      </c>
      <c r="C240" s="92"/>
      <c r="D240" s="92"/>
      <c r="E240" s="102" t="n">
        <f aca="false">E188</f>
        <v>9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2196.48998333333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0.1305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1162.64917213878</v>
      </c>
      <c r="C254" s="196"/>
      <c r="D254" s="197" t="s">
        <v>217</v>
      </c>
      <c r="E254" s="197"/>
      <c r="F254" s="199" t="n">
        <f aca="false">F261+F267+F269+B270+B271</f>
        <v>104.99998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189.99</v>
      </c>
      <c r="C255" s="196"/>
      <c r="D255" s="197" t="s">
        <v>219</v>
      </c>
      <c r="E255" s="197"/>
      <c r="F255" s="199" t="n">
        <f aca="false">(B254-F254)+B255</f>
        <v>1247.63919213878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0.1305</v>
      </c>
      <c r="C260" s="42"/>
      <c r="D260" s="165" t="s">
        <v>216</v>
      </c>
      <c r="E260" s="165"/>
      <c r="F260" s="145" t="n">
        <f aca="false">B254</f>
        <v>1162.64917213878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B68*1.2</f>
        <v>104.99998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0.3</v>
      </c>
      <c r="C262" s="31"/>
      <c r="D262" s="165" t="s">
        <v>223</v>
      </c>
      <c r="E262" s="165"/>
      <c r="F262" s="145" t="n">
        <f aca="false">E240*10</f>
        <v>90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1247.63919213878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202" colorId="64" zoomScale="85" zoomScaleNormal="85" zoomScalePageLayoutView="100" workbookViewId="0">
      <selection pane="topLeft" activeCell="B189" activeCellId="1" sqref="A191 B18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35</v>
      </c>
      <c r="I29" s="384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35000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0</v>
      </c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35</v>
      </c>
      <c r="B33" s="228" t="n">
        <v>10000</v>
      </c>
      <c r="C33" s="229"/>
      <c r="D33" s="455" t="n">
        <f aca="false">H48</f>
        <v>552.861519485774</v>
      </c>
      <c r="E33" s="215"/>
      <c r="F33" s="62"/>
      <c r="G33" s="218" t="s">
        <v>356</v>
      </c>
      <c r="H33" s="456" t="n">
        <f aca="false">E21-E11</f>
        <v>17583.33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35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552.861519485774</v>
      </c>
      <c r="B36" s="102" t="n">
        <f aca="false">IF(B26="YES",H42,"")</f>
        <v>0</v>
      </c>
      <c r="C36" s="220"/>
      <c r="D36" s="183" t="n">
        <f aca="false">H31</f>
        <v>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17583.33</v>
      </c>
      <c r="I39" s="237" t="n">
        <f aca="false">(I48*H46)+H44</f>
        <v>44525.9095313712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0</v>
      </c>
      <c r="B40" s="106" t="n">
        <f aca="false">IF(B26="YES",H42,"0")</f>
        <v>0</v>
      </c>
      <c r="C40" s="106"/>
      <c r="D40" s="183" t="n">
        <f aca="false">I32</f>
        <v>0</v>
      </c>
      <c r="E40" s="215"/>
      <c r="F40" s="62"/>
      <c r="G40" s="62" t="s">
        <v>107</v>
      </c>
      <c r="H40" s="237" t="n">
        <f aca="false">A40/1.2</f>
        <v>0</v>
      </c>
      <c r="I40" s="237" t="n">
        <f aca="false">H39-I39</f>
        <v>-26942.5795313712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</v>
      </c>
      <c r="B45" s="214"/>
      <c r="C45" s="459" t="n">
        <v>100</v>
      </c>
      <c r="D45" s="459"/>
      <c r="E45" s="215"/>
      <c r="F45" s="62"/>
      <c r="G45" s="62" t="s">
        <v>374</v>
      </c>
      <c r="H45" s="237" t="n">
        <f aca="false">(H39-H44)</f>
        <v>17583.33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31.8042210938366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552.861519485774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552.861519485774</v>
      </c>
      <c r="I48" s="237" t="n">
        <f aca="false">I49-H42</f>
        <v>1400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35000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35</v>
      </c>
      <c r="B52" s="73" t="n">
        <f aca="false">H48</f>
        <v>552.861519485774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34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34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34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21099.996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40526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B62+(B62*0.25*((H29/12)-1))</f>
        <v>0.103541666666667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0.103541666666667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0.103541666666667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C64</f>
        <v>10000</v>
      </c>
      <c r="C64" s="461" t="n">
        <v>10000</v>
      </c>
      <c r="D64" s="290" t="n">
        <f aca="false">B64</f>
        <v>10000</v>
      </c>
      <c r="E64" s="462" t="n">
        <f aca="false">D64/(B58+B57)</f>
        <v>285.714285714286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0.0195833333333333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0.0195833333333333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0.0195833333333333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413.208255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175</v>
      </c>
      <c r="C73" s="214"/>
      <c r="D73" s="468" t="n">
        <f aca="false">B73+B71</f>
        <v>375</v>
      </c>
      <c r="E73" s="215" t="s">
        <v>228</v>
      </c>
      <c r="F73" s="62"/>
      <c r="G73" s="284" t="s">
        <v>100</v>
      </c>
      <c r="H73" s="132" t="n">
        <f aca="false">H72*H29</f>
        <v>157.5</v>
      </c>
      <c r="I73" s="214"/>
      <c r="J73" s="290" t="n">
        <f aca="false">H73+H71</f>
        <v>317.5</v>
      </c>
      <c r="K73" s="215"/>
      <c r="L73" s="62"/>
      <c r="M73" s="284" t="s">
        <v>100</v>
      </c>
      <c r="N73" s="132" t="n">
        <f aca="false">N72*H29</f>
        <v>157.5</v>
      </c>
      <c r="O73" s="214"/>
      <c r="P73" s="290" t="n">
        <f aca="false">N73+N71</f>
        <v>317.5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330</v>
      </c>
      <c r="I76" s="214"/>
      <c r="J76" s="290" t="n">
        <f aca="false">H76</f>
        <v>330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444.444444444444</v>
      </c>
      <c r="C77" s="469"/>
      <c r="D77" s="290" t="n">
        <f aca="false">B77</f>
        <v>444.444444444444</v>
      </c>
      <c r="E77" s="462" t="n">
        <f aca="false">D77/(B58+B57)</f>
        <v>12.6984126984127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469"/>
      <c r="D78" s="290" t="n">
        <f aca="false">B78</f>
        <v>222.222222222222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22.1428571428571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11441.6666666667</v>
      </c>
      <c r="C81" s="469"/>
      <c r="D81" s="470"/>
      <c r="E81" s="462"/>
      <c r="F81" s="62"/>
      <c r="G81" s="302" t="s">
        <v>103</v>
      </c>
      <c r="H81" s="303" t="n">
        <f aca="false">SUM(J64:J80)</f>
        <v>1047.5</v>
      </c>
      <c r="I81" s="214"/>
      <c r="J81" s="214"/>
      <c r="K81" s="215"/>
      <c r="L81" s="62"/>
      <c r="M81" s="302" t="s">
        <v>103</v>
      </c>
      <c r="N81" s="303" t="n">
        <f aca="false">SUM(P64:P80)</f>
        <v>717.5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326.904761904762</v>
      </c>
      <c r="C82" s="469"/>
      <c r="D82" s="214"/>
      <c r="E82" s="462"/>
      <c r="F82" s="62"/>
      <c r="G82" s="213" t="s">
        <v>104</v>
      </c>
      <c r="H82" s="299" t="n">
        <f aca="false">H81/H29</f>
        <v>29.9285714285714</v>
      </c>
      <c r="I82" s="214"/>
      <c r="J82" s="214"/>
      <c r="K82" s="215"/>
      <c r="L82" s="62"/>
      <c r="M82" s="213" t="s">
        <v>104</v>
      </c>
      <c r="N82" s="299" t="n">
        <f aca="false">N81/H29</f>
        <v>20.5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552.861519485774</v>
      </c>
      <c r="C83" s="469"/>
      <c r="D83" s="214"/>
      <c r="E83" s="462" t="n">
        <f aca="false">B83+E80+E77+E64</f>
        <v>873.41707504133</v>
      </c>
      <c r="F83" s="62"/>
      <c r="G83" s="304" t="s">
        <v>105</v>
      </c>
      <c r="H83" s="305" t="n">
        <f aca="false">H47</f>
        <v>552.861519485774</v>
      </c>
      <c r="I83" s="214"/>
      <c r="J83" s="214"/>
      <c r="K83" s="215"/>
      <c r="L83" s="62"/>
      <c r="M83" s="304" t="s">
        <v>105</v>
      </c>
      <c r="N83" s="305" t="n">
        <f aca="false">H47</f>
        <v>552.861519485774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30791.8198486688</v>
      </c>
      <c r="C85" s="469"/>
      <c r="D85" s="469"/>
      <c r="E85" s="462" t="n">
        <f aca="false">B85/(B58+B57)</f>
        <v>879.766281390536</v>
      </c>
      <c r="F85" s="62"/>
      <c r="G85" s="287" t="s">
        <v>115</v>
      </c>
      <c r="H85" s="130" t="n">
        <f aca="false">((H83*H29)+H81)*1.2</f>
        <v>24477.1838184025</v>
      </c>
      <c r="I85" s="214"/>
      <c r="J85" s="214"/>
      <c r="K85" s="215"/>
      <c r="L85" s="62"/>
      <c r="M85" s="287" t="s">
        <v>115</v>
      </c>
      <c r="N85" s="130" t="n">
        <f aca="false">((N83*H29)+N81)</f>
        <v>20067.6531820021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260.842362574443</v>
      </c>
      <c r="C86" s="469" t="s">
        <v>231</v>
      </c>
      <c r="D86" s="214"/>
      <c r="E86" s="462" t="n">
        <f aca="false">B86/(B58+B57)</f>
        <v>7.45263893069837</v>
      </c>
      <c r="F86" s="62"/>
      <c r="G86" s="213" t="s">
        <v>116</v>
      </c>
      <c r="H86" s="299" t="n">
        <f aca="false">((((H83*H29)+H81))/(1-H70))*H70</f>
        <v>172.791737322325</v>
      </c>
      <c r="I86" s="214"/>
      <c r="J86" s="214"/>
      <c r="K86" s="215"/>
      <c r="L86" s="62"/>
      <c r="M86" s="213" t="s">
        <v>116</v>
      </c>
      <c r="N86" s="299" t="n">
        <f aca="false">(N85/(1-N70))*N70</f>
        <v>169.996255273112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31052.6622112432</v>
      </c>
      <c r="C87" s="469"/>
      <c r="D87" s="471"/>
      <c r="E87" s="462" t="n">
        <f aca="false">E86+E85</f>
        <v>887.218920321235</v>
      </c>
      <c r="F87" s="62"/>
      <c r="G87" s="284" t="s">
        <v>117</v>
      </c>
      <c r="H87" s="132" t="n">
        <f aca="false">IF(H110="YES",((H85+H86)-K114),(H85+H86))</f>
        <v>24649.9755557248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20237.6494372752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0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0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0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887.218920321235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616.249388893121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505.94123593188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887.218920321235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616.249388893121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505.94123593188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0.2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(E118*1.2)+E117-E114</f>
        <v>-2760.012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616.249388893121</v>
      </c>
      <c r="H127" s="176" t="n">
        <f aca="false">IF(G105="YES",H89*H57,0)</f>
        <v>0</v>
      </c>
      <c r="I127" s="176"/>
      <c r="J127" s="333" t="n">
        <f aca="false">H91</f>
        <v>616.249388893121</v>
      </c>
      <c r="K127" s="215"/>
      <c r="L127" s="62"/>
      <c r="M127" s="332" t="n">
        <f aca="false">N90</f>
        <v>505.94123593188</v>
      </c>
      <c r="N127" s="176" t="n">
        <f aca="false">IF(M105="YES",N89*N57,0)</f>
        <v>0</v>
      </c>
      <c r="O127" s="176"/>
      <c r="P127" s="176" t="n">
        <f aca="false">N91</f>
        <v>505.94123593188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887.218920321235</v>
      </c>
      <c r="B128" s="320" t="n">
        <f aca="false">IF(A105="YES",B89,0)</f>
        <v>0</v>
      </c>
      <c r="C128" s="324"/>
      <c r="D128" s="320" t="n">
        <f aca="false">B91</f>
        <v>887.218920321235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35</v>
      </c>
      <c r="H130" s="228" t="n">
        <f aca="false">B151</f>
        <v>0</v>
      </c>
      <c r="I130" s="229"/>
      <c r="J130" s="228" t="n">
        <f aca="false">B58</f>
        <v>34</v>
      </c>
      <c r="K130" s="215"/>
      <c r="L130" s="62"/>
      <c r="M130" s="227" t="n">
        <f aca="false">M155</f>
        <v>35</v>
      </c>
      <c r="N130" s="228" t="n">
        <f aca="false">B151</f>
        <v>0</v>
      </c>
      <c r="O130" s="229"/>
      <c r="P130" s="228" t="n">
        <f aca="false">B58</f>
        <v>34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Monthly in advance</v>
      </c>
      <c r="B131" s="37" t="n">
        <f aca="false">B90*B57</f>
        <v>887.218920321235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3697.49633335873</v>
      </c>
      <c r="H133" s="102" t="n">
        <f aca="false">IF(G105="YES",H89*H57,0)</f>
        <v>0</v>
      </c>
      <c r="I133" s="220"/>
      <c r="J133" s="183" t="n">
        <f aca="false">H91*H57</f>
        <v>3697.49633335873</v>
      </c>
      <c r="K133" s="215"/>
      <c r="L133" s="62"/>
      <c r="M133" s="184" t="n">
        <f aca="false">N90*N57</f>
        <v>3035.64741559128</v>
      </c>
      <c r="N133" s="102" t="n">
        <f aca="false">IF(M105="YES",N89*N57,0)</f>
        <v>0</v>
      </c>
      <c r="O133" s="220"/>
      <c r="P133" s="183" t="n">
        <f aca="false">N91*N57</f>
        <v>3035.64741559128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887.218920321235</v>
      </c>
      <c r="B134" s="37" t="n">
        <f aca="false">E114</f>
        <v>4000</v>
      </c>
      <c r="C134" s="316"/>
      <c r="D134" s="336" t="n">
        <f aca="false">B58</f>
        <v>34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887.218920321235</v>
      </c>
      <c r="B137" s="37" t="n">
        <f aca="false">IF(A105="YES",B89,0)</f>
        <v>0</v>
      </c>
      <c r="C137" s="316"/>
      <c r="D137" s="37" t="n">
        <f aca="false">B91</f>
        <v>887.218920321235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(B61*0.000006)*100</f>
        <v>24.3156</v>
      </c>
      <c r="B140" s="342" t="n">
        <f aca="false">IF(A105="YES",B61*0.000002,0)*100</f>
        <v>8.1052</v>
      </c>
      <c r="C140" s="316"/>
      <c r="D140" s="342" t="n">
        <f aca="false">A140+B140</f>
        <v>32.4208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0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0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413.208255</v>
      </c>
      <c r="B148" s="102" t="n">
        <f aca="false">B102</f>
        <v>400</v>
      </c>
      <c r="C148" s="37"/>
      <c r="D148" s="37" t="n">
        <f aca="false">IF(A105="YES",(B40*B105)*B125,0)*0.1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913.198255</v>
      </c>
      <c r="E151" s="104"/>
      <c r="F151" s="62"/>
      <c r="G151" s="249"/>
      <c r="H151" s="251" t="n">
        <f aca="false">B51</f>
        <v>35000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35</v>
      </c>
      <c r="H152" s="73" t="n">
        <f aca="false">H91</f>
        <v>616.249388893121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35000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35</v>
      </c>
      <c r="N155" s="73" t="n">
        <f aca="false">N91</f>
        <v>505.94123593188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35000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35</v>
      </c>
      <c r="B161" s="73" t="n">
        <f aca="false">B91</f>
        <v>887.218920321235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887.218920321235</v>
      </c>
      <c r="B177" s="354" t="n">
        <f aca="false">IF(A105="YES",B89,0)</f>
        <v>0</v>
      </c>
      <c r="C177" s="356"/>
      <c r="D177" s="354" t="n">
        <f aca="false">B91</f>
        <v>887.218920321235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Monthly in advance</v>
      </c>
      <c r="B180" s="102" t="n">
        <f aca="false">B90*B57</f>
        <v>887.218920321235</v>
      </c>
      <c r="C180" s="352"/>
      <c r="D180" s="102" t="n">
        <f aca="false">IF(A105="YES",B89*B57,0)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887.218920321235</v>
      </c>
      <c r="B183" s="102" t="n">
        <f aca="false">E114</f>
        <v>4000</v>
      </c>
      <c r="C183" s="352"/>
      <c r="D183" s="360" t="n">
        <f aca="false">B58</f>
        <v>34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887.218920321235</v>
      </c>
      <c r="B186" s="102" t="n">
        <f aca="false">IF(A105="YES",B89,0)</f>
        <v>0</v>
      </c>
      <c r="C186" s="352"/>
      <c r="D186" s="102" t="n">
        <f aca="false">B91</f>
        <v>887.218920321235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24.3156</v>
      </c>
      <c r="B189" s="364" t="n">
        <f aca="false">B140</f>
        <v>8.1052</v>
      </c>
      <c r="C189" s="352"/>
      <c r="D189" s="364" t="n">
        <f aca="false">A189+B189</f>
        <v>32.4208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413.208255</v>
      </c>
      <c r="B197" s="102" t="n">
        <f aca="false">B102</f>
        <v>400</v>
      </c>
      <c r="C197" s="102"/>
      <c r="D197" s="102" t="n">
        <f aca="false">IF(A105="YES",(B40*B105)*B125,0)*0.1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913.198255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10000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413.208255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9926.781745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10000</v>
      </c>
      <c r="C217" s="373" t="s">
        <v>222</v>
      </c>
      <c r="D217" s="316"/>
      <c r="E217" s="374" t="n">
        <f aca="false">B66</f>
        <v>0.0195833333333333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413.208255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9926.781745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375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260.842362574443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H31" activeCellId="1" sqref="A191 H31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12</v>
      </c>
      <c r="I29" s="384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35000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15450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1040</v>
      </c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12</v>
      </c>
      <c r="B33" s="228" t="n">
        <v>10000</v>
      </c>
      <c r="C33" s="229"/>
      <c r="D33" s="455" t="n">
        <f aca="false">H48</f>
        <v>1232.66338128253</v>
      </c>
      <c r="E33" s="215"/>
      <c r="F33" s="62"/>
      <c r="G33" s="218" t="s">
        <v>356</v>
      </c>
      <c r="H33" s="456" t="n">
        <f aca="false">E21-E11</f>
        <v>17583.33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12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1206.66338128253</v>
      </c>
      <c r="B36" s="102" t="n">
        <f aca="false">IF(B26="YES",H42,"")</f>
        <v>26</v>
      </c>
      <c r="C36" s="220"/>
      <c r="D36" s="183" t="n">
        <f aca="false">H31</f>
        <v>15450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17583.33</v>
      </c>
      <c r="I39" s="237" t="n">
        <f aca="false">(I48*H46)+H44</f>
        <v>19522.4211536279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4635</v>
      </c>
      <c r="B40" s="106" t="n">
        <f aca="false">IF(B26="YES",H42,"0")</f>
        <v>26</v>
      </c>
      <c r="C40" s="106"/>
      <c r="D40" s="183" t="n">
        <f aca="false">I32</f>
        <v>1040</v>
      </c>
      <c r="E40" s="215"/>
      <c r="F40" s="62"/>
      <c r="G40" s="62" t="s">
        <v>107</v>
      </c>
      <c r="H40" s="237" t="n">
        <f aca="false">A40/1.2</f>
        <v>3862.5</v>
      </c>
      <c r="I40" s="237" t="n">
        <f aca="false">H39-I39</f>
        <v>-1939.09115362792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26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3600.55500439506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30</v>
      </c>
      <c r="B45" s="214"/>
      <c r="C45" s="459" t="n">
        <v>30</v>
      </c>
      <c r="D45" s="459"/>
      <c r="E45" s="215"/>
      <c r="F45" s="62"/>
      <c r="G45" s="62" t="s">
        <v>374</v>
      </c>
      <c r="H45" s="237" t="n">
        <f aca="false">(H39-H44)</f>
        <v>13982.7749956049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11.5879666297182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1206.66338128253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1232.66338128253</v>
      </c>
      <c r="I48" s="237" t="n">
        <f aca="false">I49-H42</f>
        <v>1374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35000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H48</f>
        <v>1232.66338128253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11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11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11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21099.996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40526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B62+(B62*0.25*((H29/12)-1))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0.07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1476.99972</v>
      </c>
      <c r="C64" s="461" t="n">
        <v>10000</v>
      </c>
      <c r="D64" s="290" t="n">
        <f aca="false">B64</f>
        <v>1476.99972</v>
      </c>
      <c r="E64" s="462" t="n">
        <f aca="false">D64/(B58+B57)</f>
        <v>123.08331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0.01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210.99996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468" t="n">
        <f aca="false">B73+B71</f>
        <v>260</v>
      </c>
      <c r="E73" s="215" t="s">
        <v>228</v>
      </c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284" t="s">
        <v>100</v>
      </c>
      <c r="N73" s="132" t="n">
        <f aca="false">N72*H29</f>
        <v>54</v>
      </c>
      <c r="O73" s="214"/>
      <c r="P73" s="290" t="n">
        <f aca="false">N73+N71</f>
        <v>214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275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297.916666666667</v>
      </c>
      <c r="C76" s="214"/>
      <c r="D76" s="290" t="n">
        <f aca="false">B76</f>
        <v>297.916666666667</v>
      </c>
      <c r="E76" s="215"/>
      <c r="F76" s="62"/>
      <c r="G76" s="284" t="s">
        <v>282</v>
      </c>
      <c r="H76" s="132" t="n">
        <f aca="false">((H74+H75)/12)*(H29-11)</f>
        <v>13.75</v>
      </c>
      <c r="I76" s="214"/>
      <c r="J76" s="290" t="n">
        <f aca="false">H76</f>
        <v>13.75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0</v>
      </c>
      <c r="C77" s="469"/>
      <c r="D77" s="290" t="n">
        <f aca="false">B77</f>
        <v>0</v>
      </c>
      <c r="E77" s="462" t="n">
        <f aca="false">D77/(B58+B57)</f>
        <v>0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0</v>
      </c>
      <c r="C78" s="469"/>
      <c r="D78" s="290" t="n">
        <f aca="false">B78</f>
        <v>0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79.8263888888889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2434.91638666667</v>
      </c>
      <c r="C81" s="469"/>
      <c r="D81" s="470"/>
      <c r="E81" s="462"/>
      <c r="F81" s="62"/>
      <c r="G81" s="302" t="s">
        <v>103</v>
      </c>
      <c r="H81" s="303" t="n">
        <f aca="false">SUM(J64:J80)</f>
        <v>627.75</v>
      </c>
      <c r="I81" s="214"/>
      <c r="J81" s="214"/>
      <c r="K81" s="215"/>
      <c r="L81" s="62"/>
      <c r="M81" s="302" t="s">
        <v>103</v>
      </c>
      <c r="N81" s="303" t="n">
        <f aca="false">SUM(P64:P80)</f>
        <v>614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202.909698888889</v>
      </c>
      <c r="C82" s="469"/>
      <c r="D82" s="214"/>
      <c r="E82" s="462"/>
      <c r="F82" s="62"/>
      <c r="G82" s="213" t="s">
        <v>104</v>
      </c>
      <c r="H82" s="299" t="n">
        <f aca="false">H81/H29</f>
        <v>52.3125</v>
      </c>
      <c r="I82" s="214"/>
      <c r="J82" s="214"/>
      <c r="K82" s="215"/>
      <c r="L82" s="62"/>
      <c r="M82" s="213" t="s">
        <v>104</v>
      </c>
      <c r="N82" s="299" t="n">
        <f aca="false">N81/H29</f>
        <v>51.1666666666667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1206.66338128253</v>
      </c>
      <c r="C83" s="469"/>
      <c r="D83" s="214"/>
      <c r="E83" s="462" t="n">
        <f aca="false">B83+E80+E77+E64</f>
        <v>1409.57308017142</v>
      </c>
      <c r="F83" s="62"/>
      <c r="G83" s="304" t="s">
        <v>105</v>
      </c>
      <c r="H83" s="305" t="n">
        <f aca="false">H47</f>
        <v>1206.66338128253</v>
      </c>
      <c r="I83" s="214"/>
      <c r="J83" s="214"/>
      <c r="K83" s="215"/>
      <c r="L83" s="62"/>
      <c r="M83" s="304" t="s">
        <v>105</v>
      </c>
      <c r="N83" s="305" t="n">
        <f aca="false">H47</f>
        <v>1206.66338128253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((B83*H29)+B81)*1.2</f>
        <v>20297.8523544684</v>
      </c>
      <c r="C85" s="469"/>
      <c r="D85" s="469"/>
      <c r="E85" s="462" t="n">
        <f aca="false">B85/(B58+B57)</f>
        <v>1691.4876962057</v>
      </c>
      <c r="F85" s="62"/>
      <c r="G85" s="287" t="s">
        <v>115</v>
      </c>
      <c r="H85" s="130" t="n">
        <f aca="false">((H83*H29)+H81)*1.2</f>
        <v>18129.2526904684</v>
      </c>
      <c r="I85" s="214"/>
      <c r="J85" s="214"/>
      <c r="K85" s="215"/>
      <c r="L85" s="62"/>
      <c r="M85" s="287" t="s">
        <v>115</v>
      </c>
      <c r="N85" s="130" t="n">
        <f aca="false">((N83*H29)+N81)</f>
        <v>15093.9605753904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143.288590642678</v>
      </c>
      <c r="C86" s="469" t="s">
        <v>231</v>
      </c>
      <c r="D86" s="214"/>
      <c r="E86" s="462" t="n">
        <f aca="false">B86/(B58+B57)</f>
        <v>11.9407158868898</v>
      </c>
      <c r="F86" s="62"/>
      <c r="G86" s="213" t="s">
        <v>116</v>
      </c>
      <c r="H86" s="299" t="n">
        <f aca="false">((((H83*H29)+H81))/(1-H70))*H70</f>
        <v>127.979799146106</v>
      </c>
      <c r="I86" s="214"/>
      <c r="J86" s="214"/>
      <c r="K86" s="215"/>
      <c r="L86" s="62"/>
      <c r="M86" s="213" t="s">
        <v>116</v>
      </c>
      <c r="N86" s="299" t="n">
        <f aca="false">(N85/(1-N70))*N70</f>
        <v>127.863320727389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20441.1409451111</v>
      </c>
      <c r="C87" s="469"/>
      <c r="D87" s="471"/>
      <c r="E87" s="462" t="n">
        <f aca="false">E86+E85</f>
        <v>1703.42841209259</v>
      </c>
      <c r="F87" s="62"/>
      <c r="G87" s="284" t="s">
        <v>117</v>
      </c>
      <c r="H87" s="132" t="n">
        <f aca="false">IF(H110="YES",((H85+H86)-K114),(H85+H86))</f>
        <v>18257.2324896146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15221.8238961178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IF(B99=Y98,(I32+(I32*B105))/(B58),(I32+(I32*B105))/(B57+B58))*(C45/100)*1.2</f>
        <v>37.44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88.0941176470588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73.4117647058824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1703.42841209259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1073.95485233027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895.401405653986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1740.86841209259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1162.04896997733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968.813170359868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239.99</v>
      </c>
      <c r="B102" s="106" t="n">
        <v>0</v>
      </c>
      <c r="C102" s="106"/>
      <c r="D102" s="106" t="n">
        <v>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0.2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0</v>
      </c>
      <c r="E113" s="106" t="n">
        <v>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0</v>
      </c>
      <c r="E114" s="166" t="n">
        <f aca="false">E112-E113</f>
        <v>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(E118)+E117-E114</f>
        <v>239.99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35000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1073.95485233027</v>
      </c>
      <c r="H127" s="176" t="n">
        <f aca="false">IF(G105="YES",H89*H57,0)</f>
        <v>528.564705882353</v>
      </c>
      <c r="I127" s="176"/>
      <c r="J127" s="333" t="n">
        <f aca="false">H91</f>
        <v>1162.04896997733</v>
      </c>
      <c r="K127" s="215"/>
      <c r="L127" s="62"/>
      <c r="M127" s="332" t="n">
        <f aca="false">N90</f>
        <v>895.401405653986</v>
      </c>
      <c r="N127" s="176" t="n">
        <f aca="false">IF(M105="YES",N89*N57,0)</f>
        <v>440.470588235294</v>
      </c>
      <c r="O127" s="176"/>
      <c r="P127" s="176" t="n">
        <f aca="false">N91</f>
        <v>968.813170359868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1703.42841209259</v>
      </c>
      <c r="B128" s="320" t="n">
        <f aca="false">IF(A105="YES",B89,0)</f>
        <v>37.44</v>
      </c>
      <c r="C128" s="324"/>
      <c r="D128" s="320" t="n">
        <f aca="false">B91</f>
        <v>1740.86841209259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12</v>
      </c>
      <c r="H130" s="228" t="n">
        <f aca="false">B151</f>
        <v>0</v>
      </c>
      <c r="I130" s="229"/>
      <c r="J130" s="228" t="n">
        <f aca="false">B58</f>
        <v>11</v>
      </c>
      <c r="K130" s="215"/>
      <c r="L130" s="62"/>
      <c r="M130" s="227" t="n">
        <f aca="false">M155</f>
        <v>12</v>
      </c>
      <c r="N130" s="228" t="n">
        <f aca="false">B151</f>
        <v>0</v>
      </c>
      <c r="O130" s="229"/>
      <c r="P130" s="228" t="n">
        <f aca="false">B58</f>
        <v>11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Monthly in advance</v>
      </c>
      <c r="B131" s="37" t="n">
        <f aca="false">B90*B57</f>
        <v>1703.42841209259</v>
      </c>
      <c r="C131" s="316"/>
      <c r="D131" s="37" t="n">
        <f aca="false">IF(A105="YES",B89*B57,0)</f>
        <v>37.44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6443.72911398161</v>
      </c>
      <c r="H133" s="102" t="n">
        <f aca="false">IF(G105="YES",H89*H57,0)</f>
        <v>528.564705882353</v>
      </c>
      <c r="I133" s="220"/>
      <c r="J133" s="183" t="n">
        <f aca="false">H91*H57</f>
        <v>6972.29381986396</v>
      </c>
      <c r="K133" s="215"/>
      <c r="L133" s="62"/>
      <c r="M133" s="184" t="n">
        <f aca="false">N90*N57</f>
        <v>5372.40843392392</v>
      </c>
      <c r="N133" s="102" t="n">
        <f aca="false">IF(M105="YES",N89*N57,0)</f>
        <v>440.470588235294</v>
      </c>
      <c r="O133" s="220"/>
      <c r="P133" s="183" t="n">
        <f aca="false">N91*N57</f>
        <v>5812.87902215921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1740.86841209259</v>
      </c>
      <c r="B134" s="37" t="n">
        <f aca="false">E114</f>
        <v>0</v>
      </c>
      <c r="C134" s="316"/>
      <c r="D134" s="336" t="n">
        <f aca="false">B58</f>
        <v>11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1703.42841209259</v>
      </c>
      <c r="B137" s="37" t="n">
        <f aca="false">IF(A105="YES",B89,0)</f>
        <v>37.44</v>
      </c>
      <c r="C137" s="316"/>
      <c r="D137" s="37" t="n">
        <f aca="false">B91</f>
        <v>1740.86841209259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IF(A105="YES",B61*0.000002,0)*1.2*100</f>
        <v>9.72624</v>
      </c>
      <c r="C140" s="316"/>
      <c r="D140" s="342" t="n">
        <f aca="false">A140+B140</f>
        <v>38.90496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6.24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6.24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239.99</v>
      </c>
      <c r="C143" s="316"/>
      <c r="D143" s="150" t="n">
        <f aca="false">B102</f>
        <v>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210.99996</v>
      </c>
      <c r="B148" s="102" t="n">
        <f aca="false">B102</f>
        <v>0</v>
      </c>
      <c r="C148" s="37"/>
      <c r="D148" s="37" t="n">
        <f aca="false">IF(A105="YES",(B40*B105)*B125,0)*0.1</f>
        <v>6.24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E118/1.2-100</f>
        <v>99.9916666666667</v>
      </c>
      <c r="B151" s="37" t="n">
        <f aca="false">(A148+B148+D148+A151)*(A143/B64)</f>
        <v>0</v>
      </c>
      <c r="C151" s="37"/>
      <c r="D151" s="37" t="n">
        <f aca="false">(A148+B148+D148+A151)-B151</f>
        <v>317.231626666667</v>
      </c>
      <c r="E151" s="104"/>
      <c r="F151" s="62"/>
      <c r="G151" s="249"/>
      <c r="H151" s="251" t="n">
        <f aca="false">B51</f>
        <v>35000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1162.04896997733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35000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12</v>
      </c>
      <c r="N155" s="73" t="n">
        <f aca="false">N91</f>
        <v>968.813170359868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35000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1740.86841209259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12</v>
      </c>
      <c r="C174" s="356"/>
      <c r="D174" s="323" t="n">
        <f aca="false">D125</f>
        <v>35000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1703.42841209259</v>
      </c>
      <c r="B177" s="354" t="n">
        <f aca="false">IF(A105="YES",B89,0)</f>
        <v>37.44</v>
      </c>
      <c r="C177" s="356"/>
      <c r="D177" s="354" t="n">
        <f aca="false">B91</f>
        <v>1740.86841209259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Monthly in advance</v>
      </c>
      <c r="B180" s="102" t="n">
        <f aca="false">B90*B57</f>
        <v>1703.42841209259</v>
      </c>
      <c r="C180" s="352"/>
      <c r="D180" s="102" t="n">
        <f aca="false">IF(A105="YES",B89*B57,0)</f>
        <v>37.44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1740.86841209259</v>
      </c>
      <c r="B183" s="102" t="n">
        <f aca="false">E114</f>
        <v>0</v>
      </c>
      <c r="C183" s="352"/>
      <c r="D183" s="360" t="n">
        <f aca="false">B58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1703.42841209259</v>
      </c>
      <c r="B186" s="102" t="n">
        <f aca="false">IF(A105="YES",B89,0)</f>
        <v>37.44</v>
      </c>
      <c r="C186" s="352"/>
      <c r="D186" s="102" t="n">
        <f aca="false">B91</f>
        <v>1740.86841209259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239.99</v>
      </c>
      <c r="C192" s="352"/>
      <c r="D192" s="150" t="n">
        <f aca="false">B102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210.99996</v>
      </c>
      <c r="B197" s="102" t="n">
        <f aca="false">B102</f>
        <v>0</v>
      </c>
      <c r="C197" s="102"/>
      <c r="D197" s="102" t="n">
        <f aca="false">IF(A105="YES",(B40*B105)*B125,0)*0.1</f>
        <v>6.24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E118/1.2-100</f>
        <v>99.9916666666667</v>
      </c>
      <c r="B200" s="102" t="n">
        <f aca="false">(A148+B148+D148+A151)*(A143/B64)</f>
        <v>0</v>
      </c>
      <c r="C200" s="102"/>
      <c r="D200" s="102" t="n">
        <f aca="false">(A148+B148+D148+A151)-B151</f>
        <v>317.231626666667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162.391666666667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1428.39142666667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1476.99972</v>
      </c>
      <c r="C217" s="373" t="s">
        <v>222</v>
      </c>
      <c r="D217" s="316"/>
      <c r="E217" s="374" t="n">
        <f aca="false">B66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0</v>
      </c>
      <c r="C223" s="335" t="s">
        <v>219</v>
      </c>
      <c r="D223" s="316"/>
      <c r="E223" s="32" t="n">
        <f aca="false">(B217-B211+D211)</f>
        <v>1428.39142666667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62.4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143.288590642678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66" colorId="64" zoomScale="85" zoomScaleNormal="85" zoomScalePageLayoutView="100" workbookViewId="0">
      <selection pane="topLeft" activeCell="B189" activeCellId="1" sqref="A191 B18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16583.33</v>
      </c>
      <c r="C2" s="4" t="s">
        <v>2</v>
      </c>
      <c r="D2" s="5" t="n">
        <f aca="false">C9</f>
        <v>3316.666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19899.996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16583.33</v>
      </c>
      <c r="C9" s="9" t="n">
        <f aca="false">B9*0.2</f>
        <v>3316.666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16583.33</v>
      </c>
      <c r="C15" s="9" t="n">
        <f aca="false">SUM(C9:C13)</f>
        <v>3316.666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19899.996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</v>
      </c>
      <c r="I29" s="384"/>
      <c r="J29" s="62"/>
      <c r="K29" s="62" t="n">
        <v>35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10000</v>
      </c>
      <c r="I30" s="62"/>
      <c r="J30" s="62"/>
      <c r="K30" s="62" t="n">
        <v>35000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80000</v>
      </c>
      <c r="I31" s="62"/>
      <c r="J31" s="62"/>
      <c r="K31" s="62" t="n">
        <v>80000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6000</v>
      </c>
      <c r="J32" s="62"/>
      <c r="K32" s="62" t="n">
        <v>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36</v>
      </c>
      <c r="B33" s="228" t="n">
        <v>10000</v>
      </c>
      <c r="C33" s="229"/>
      <c r="D33" s="455" t="n">
        <f aca="false">H48</f>
        <v>64.0746437041516</v>
      </c>
      <c r="E33" s="215"/>
      <c r="F33" s="62"/>
      <c r="G33" s="218" t="s">
        <v>356</v>
      </c>
      <c r="H33" s="456" t="n">
        <f aca="false">E21-E11</f>
        <v>16583.33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36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0.07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14.0746437041516</v>
      </c>
      <c r="B36" s="102" t="n">
        <f aca="false">IF(B26="YES",H42,"")</f>
        <v>50</v>
      </c>
      <c r="C36" s="220"/>
      <c r="D36" s="183" t="n">
        <f aca="false">H31</f>
        <v>80000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16583.33</v>
      </c>
      <c r="I39" s="237" t="n">
        <f aca="false">(I48*H46)+H44</f>
        <v>59849.2290617109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24000</v>
      </c>
      <c r="B40" s="106" t="n">
        <f aca="false">IF(B26="YES",H42,"0")</f>
        <v>50</v>
      </c>
      <c r="C40" s="106"/>
      <c r="D40" s="183" t="n">
        <f aca="false">I32</f>
        <v>6000</v>
      </c>
      <c r="E40" s="215"/>
      <c r="F40" s="62"/>
      <c r="G40" s="62" t="s">
        <v>107</v>
      </c>
      <c r="H40" s="237" t="n">
        <f aca="false">A40/1.2</f>
        <v>20000</v>
      </c>
      <c r="I40" s="237" t="n">
        <f aca="false">H39-I39</f>
        <v>-43265.8990617109</v>
      </c>
      <c r="J40" s="62" t="n">
        <v>0</v>
      </c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0.00583333333333333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50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16127.5020520061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30</v>
      </c>
      <c r="B45" s="214"/>
      <c r="C45" s="459" t="n">
        <v>30</v>
      </c>
      <c r="D45" s="459"/>
      <c r="E45" s="215"/>
      <c r="F45" s="62"/>
      <c r="G45" s="62" t="s">
        <v>374</v>
      </c>
      <c r="H45" s="237" t="n">
        <f aca="false">(H39-H44)</f>
        <v>455.82794799391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32.3864644516332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14.0746437041516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64.0746437041516</v>
      </c>
      <c r="I48" s="237" t="n">
        <f aca="false">I49-H42</f>
        <v>1350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10000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36</v>
      </c>
      <c r="B52" s="73" t="n">
        <f aca="false">H48</f>
        <v>64.0746437041516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35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35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35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19899.996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40526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B62+(B62*0.25*((H29/12)-1))</f>
        <v>0.105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0.105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0.105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C64</f>
        <v>10000</v>
      </c>
      <c r="C64" s="461" t="n">
        <v>10000</v>
      </c>
      <c r="D64" s="290" t="n">
        <f aca="false">B64</f>
        <v>10000</v>
      </c>
      <c r="E64" s="462" t="n">
        <f aca="false">D64/(B58+B57)</f>
        <v>277.777777777778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0.02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0.02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0.02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397.99992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180</v>
      </c>
      <c r="C73" s="214"/>
      <c r="D73" s="468" t="n">
        <f aca="false">B73+B71</f>
        <v>380</v>
      </c>
      <c r="E73" s="215" t="s">
        <v>228</v>
      </c>
      <c r="F73" s="62"/>
      <c r="G73" s="284" t="s">
        <v>100</v>
      </c>
      <c r="H73" s="132" t="n">
        <f aca="false">H72*H29</f>
        <v>162</v>
      </c>
      <c r="I73" s="214"/>
      <c r="J73" s="290" t="n">
        <f aca="false">H73+H71</f>
        <v>322</v>
      </c>
      <c r="K73" s="215"/>
      <c r="L73" s="62"/>
      <c r="M73" s="284" t="s">
        <v>100</v>
      </c>
      <c r="N73" s="132" t="n">
        <f aca="false">N72*H29</f>
        <v>162</v>
      </c>
      <c r="O73" s="214"/>
      <c r="P73" s="290" t="n">
        <f aca="false">N73+N71</f>
        <v>322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275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847.916666666667</v>
      </c>
      <c r="C76" s="214"/>
      <c r="D76" s="290" t="n">
        <f aca="false">B76</f>
        <v>847.916666666667</v>
      </c>
      <c r="E76" s="215"/>
      <c r="F76" s="62"/>
      <c r="G76" s="284" t="s">
        <v>282</v>
      </c>
      <c r="H76" s="132" t="n">
        <f aca="false">((H74+H75)/12)*(H29-11)</f>
        <v>343.75</v>
      </c>
      <c r="I76" s="214"/>
      <c r="J76" s="290" t="n">
        <f aca="false">H76</f>
        <v>343.75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444.444444444444</v>
      </c>
      <c r="C77" s="469"/>
      <c r="D77" s="290" t="n">
        <f aca="false">B77</f>
        <v>444.444444444444</v>
      </c>
      <c r="E77" s="462" t="n">
        <f aca="false">D77/(B58+B57)</f>
        <v>12.3456790123457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469"/>
      <c r="D78" s="290" t="n">
        <f aca="false">B78</f>
        <v>222.222222222222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45.2199074074074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12294.5833333333</v>
      </c>
      <c r="C81" s="469"/>
      <c r="D81" s="470"/>
      <c r="E81" s="462"/>
      <c r="F81" s="62"/>
      <c r="G81" s="302" t="s">
        <v>103</v>
      </c>
      <c r="H81" s="303" t="n">
        <f aca="false">SUM(J64:J80)</f>
        <v>1065.75</v>
      </c>
      <c r="I81" s="214"/>
      <c r="J81" s="214"/>
      <c r="K81" s="215"/>
      <c r="L81" s="62"/>
      <c r="M81" s="302" t="s">
        <v>103</v>
      </c>
      <c r="N81" s="303" t="n">
        <f aca="false">SUM(P64:P80)</f>
        <v>722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341.516203703704</v>
      </c>
      <c r="C82" s="469"/>
      <c r="D82" s="214"/>
      <c r="E82" s="462"/>
      <c r="F82" s="62"/>
      <c r="G82" s="213" t="s">
        <v>104</v>
      </c>
      <c r="H82" s="299" t="n">
        <f aca="false">H81/H29</f>
        <v>29.6041666666667</v>
      </c>
      <c r="I82" s="214"/>
      <c r="J82" s="214"/>
      <c r="K82" s="215"/>
      <c r="L82" s="62"/>
      <c r="M82" s="213" t="s">
        <v>104</v>
      </c>
      <c r="N82" s="299" t="n">
        <f aca="false">N81/H29</f>
        <v>20.0555555555556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14.0746437041516</v>
      </c>
      <c r="C83" s="469"/>
      <c r="D83" s="214"/>
      <c r="E83" s="462" t="n">
        <f aca="false">B83+E80+E77+E64</f>
        <v>349.418007901682</v>
      </c>
      <c r="F83" s="62"/>
      <c r="G83" s="304" t="s">
        <v>105</v>
      </c>
      <c r="H83" s="305" t="n">
        <f aca="false">H47</f>
        <v>14.0746437041516</v>
      </c>
      <c r="I83" s="214"/>
      <c r="J83" s="214"/>
      <c r="K83" s="215"/>
      <c r="L83" s="62"/>
      <c r="M83" s="304" t="s">
        <v>105</v>
      </c>
      <c r="N83" s="305" t="n">
        <f aca="false">H47</f>
        <v>14.0746437041516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12801.2705066828</v>
      </c>
      <c r="C85" s="469"/>
      <c r="D85" s="469"/>
      <c r="E85" s="462" t="n">
        <f aca="false">B85/(B58+B57)</f>
        <v>355.590847407855</v>
      </c>
      <c r="F85" s="62"/>
      <c r="G85" s="287" t="s">
        <v>115</v>
      </c>
      <c r="H85" s="130" t="n">
        <f aca="false">((H83*H29)+H81)*1.2</f>
        <v>1886.92460801935</v>
      </c>
      <c r="I85" s="214"/>
      <c r="J85" s="214"/>
      <c r="K85" s="215"/>
      <c r="L85" s="62"/>
      <c r="M85" s="287" t="s">
        <v>115</v>
      </c>
      <c r="N85" s="130" t="n">
        <f aca="false">((N83*H29)+N81)</f>
        <v>1228.68717334946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108.441581541081</v>
      </c>
      <c r="C86" s="469" t="s">
        <v>231</v>
      </c>
      <c r="D86" s="214"/>
      <c r="E86" s="462" t="n">
        <f aca="false">B86/(B58+B57)</f>
        <v>3.0122661539189</v>
      </c>
      <c r="F86" s="62"/>
      <c r="G86" s="213" t="s">
        <v>116</v>
      </c>
      <c r="H86" s="299" t="n">
        <f aca="false">((((H83*H29)+H81))/(1-H70))*H70</f>
        <v>13.320363307922</v>
      </c>
      <c r="I86" s="214"/>
      <c r="J86" s="214"/>
      <c r="K86" s="215"/>
      <c r="L86" s="62"/>
      <c r="M86" s="213" t="s">
        <v>116</v>
      </c>
      <c r="N86" s="299" t="n">
        <f aca="false">(N85/(1-N70))*N70</f>
        <v>10.4084028399914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12909.7120882239</v>
      </c>
      <c r="C87" s="469"/>
      <c r="D87" s="471"/>
      <c r="E87" s="462" t="n">
        <f aca="false">E86+E85</f>
        <v>358.603113561774</v>
      </c>
      <c r="F87" s="62"/>
      <c r="G87" s="284" t="s">
        <v>117</v>
      </c>
      <c r="H87" s="132" t="n">
        <f aca="false">IF(H110="YES",((H85+H86)-K114),(H85+H86))</f>
        <v>1900.24497132727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1239.09557618945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65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210.731707317073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175.609756097561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358.603113561774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46.3474383250554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30.2218433216939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423.603113561774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257.079145642129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205.831599419255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0.3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(E118*1.2)+E117-E114</f>
        <v>-2760.012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46.3474383250554</v>
      </c>
      <c r="H127" s="176" t="n">
        <f aca="false">IF(G105="YES",H89*H57,0)</f>
        <v>1264.39024390244</v>
      </c>
      <c r="I127" s="176"/>
      <c r="J127" s="333" t="n">
        <f aca="false">H91</f>
        <v>257.079145642129</v>
      </c>
      <c r="K127" s="215"/>
      <c r="L127" s="62"/>
      <c r="M127" s="332" t="n">
        <f aca="false">N90</f>
        <v>30.2218433216939</v>
      </c>
      <c r="N127" s="176" t="n">
        <f aca="false">IF(M105="YES",N89*N57,0)</f>
        <v>1053.65853658537</v>
      </c>
      <c r="O127" s="176"/>
      <c r="P127" s="176" t="n">
        <f aca="false">N91</f>
        <v>205.831599419255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358.603113561774</v>
      </c>
      <c r="B128" s="320" t="n">
        <f aca="false">IF(A105="YES",B89,0)</f>
        <v>65</v>
      </c>
      <c r="C128" s="324"/>
      <c r="D128" s="320" t="n">
        <f aca="false">B91</f>
        <v>423.603113561774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36</v>
      </c>
      <c r="H130" s="228" t="n">
        <f aca="false">B151</f>
        <v>0</v>
      </c>
      <c r="I130" s="229"/>
      <c r="J130" s="228" t="n">
        <f aca="false">B58</f>
        <v>35</v>
      </c>
      <c r="K130" s="215"/>
      <c r="L130" s="62"/>
      <c r="M130" s="227" t="n">
        <f aca="false">M155</f>
        <v>36</v>
      </c>
      <c r="N130" s="228" t="n">
        <f aca="false">B151</f>
        <v>0</v>
      </c>
      <c r="O130" s="229"/>
      <c r="P130" s="228" t="n">
        <f aca="false">B58</f>
        <v>35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Monthly in advance</v>
      </c>
      <c r="B131" s="37" t="n">
        <f aca="false">B90*B57</f>
        <v>358.603113561774</v>
      </c>
      <c r="C131" s="316"/>
      <c r="D131" s="37" t="n">
        <f aca="false">IF(A105="YES",B89*B57,0)</f>
        <v>65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278.084629950333</v>
      </c>
      <c r="H133" s="102" t="n">
        <f aca="false">IF(G105="YES",H89*H57,0)</f>
        <v>1264.39024390244</v>
      </c>
      <c r="I133" s="220"/>
      <c r="J133" s="183" t="n">
        <f aca="false">H91*H57</f>
        <v>1542.47487385277</v>
      </c>
      <c r="K133" s="215"/>
      <c r="L133" s="62"/>
      <c r="M133" s="184" t="n">
        <f aca="false">N90*N57</f>
        <v>181.331059930164</v>
      </c>
      <c r="N133" s="102" t="n">
        <f aca="false">IF(M105="YES",N89*N57,0)</f>
        <v>1053.65853658537</v>
      </c>
      <c r="O133" s="220"/>
      <c r="P133" s="183" t="n">
        <f aca="false">N91*N57</f>
        <v>1234.98959651553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423.603113561774</v>
      </c>
      <c r="B134" s="37" t="n">
        <f aca="false">E114</f>
        <v>4000</v>
      </c>
      <c r="C134" s="316"/>
      <c r="D134" s="336" t="n">
        <f aca="false">B58</f>
        <v>35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358.603113561774</v>
      </c>
      <c r="B137" s="37" t="n">
        <f aca="false">IF(A105="YES",B89,0)</f>
        <v>65</v>
      </c>
      <c r="C137" s="316"/>
      <c r="D137" s="37" t="n">
        <f aca="false">B91</f>
        <v>423.603113561774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(B61*0.000006)*100</f>
        <v>24.3156</v>
      </c>
      <c r="B140" s="342" t="n">
        <f aca="false">IF(A105="YES",B61*0.000002,0)*100</f>
        <v>8.1052</v>
      </c>
      <c r="C140" s="316"/>
      <c r="D140" s="342" t="n">
        <f aca="false">A140+B140</f>
        <v>32.4208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36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36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397.99992</v>
      </c>
      <c r="B148" s="102" t="n">
        <f aca="false">B102</f>
        <v>400</v>
      </c>
      <c r="C148" s="37"/>
      <c r="D148" s="37" t="n">
        <f aca="false">IF(A105="YES",(B40*B105)*B125,0)*0.1</f>
        <v>54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951.98992</v>
      </c>
      <c r="E151" s="104"/>
      <c r="F151" s="62"/>
      <c r="G151" s="249"/>
      <c r="H151" s="251" t="n">
        <f aca="false">B51</f>
        <v>10000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36</v>
      </c>
      <c r="H152" s="73" t="n">
        <f aca="false">H91</f>
        <v>257.079145642129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10000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36</v>
      </c>
      <c r="N155" s="73" t="n">
        <f aca="false">N91</f>
        <v>205.831599419255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10000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36</v>
      </c>
      <c r="B161" s="73" t="n">
        <f aca="false">B91</f>
        <v>423.603113561774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358.603113561774</v>
      </c>
      <c r="B177" s="354" t="n">
        <f aca="false">IF(A105="YES",B89,0)</f>
        <v>65</v>
      </c>
      <c r="C177" s="356"/>
      <c r="D177" s="354" t="n">
        <f aca="false">B91</f>
        <v>423.603113561774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Monthly in advance</v>
      </c>
      <c r="B180" s="102" t="n">
        <f aca="false">B90*B57</f>
        <v>358.603113561774</v>
      </c>
      <c r="C180" s="352"/>
      <c r="D180" s="102" t="n">
        <f aca="false">IF(A105="YES",B89*B57,0)</f>
        <v>65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423.603113561774</v>
      </c>
      <c r="B183" s="102" t="n">
        <f aca="false">E114</f>
        <v>4000</v>
      </c>
      <c r="C183" s="352"/>
      <c r="D183" s="360" t="n">
        <f aca="false">B58</f>
        <v>35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358.603113561774</v>
      </c>
      <c r="B186" s="102" t="n">
        <f aca="false">IF(A105="YES",B89,0)</f>
        <v>65</v>
      </c>
      <c r="C186" s="352"/>
      <c r="D186" s="102" t="n">
        <f aca="false">B91</f>
        <v>423.603113561774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24.3156</v>
      </c>
      <c r="B189" s="364" t="n">
        <f aca="false">B140</f>
        <v>8.1052</v>
      </c>
      <c r="C189" s="352"/>
      <c r="D189" s="364" t="n">
        <f aca="false">A189+B189</f>
        <v>32.4208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397.99992</v>
      </c>
      <c r="B197" s="102" t="n">
        <f aca="false">B102</f>
        <v>400</v>
      </c>
      <c r="C197" s="102"/>
      <c r="D197" s="102" t="n">
        <f aca="false">IF(A105="YES",(B40*B105)*B125,0)*0.1</f>
        <v>54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951.98992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0.07</v>
      </c>
      <c r="C209" s="320" t="s">
        <v>216</v>
      </c>
      <c r="D209" s="369" t="n">
        <f aca="false">D64</f>
        <v>10000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397.99992</v>
      </c>
      <c r="C211" s="319" t="s">
        <v>218</v>
      </c>
      <c r="D211" s="369" t="n">
        <f aca="false">B225+E221+B221+B223</f>
        <v>879.99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10481.99008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10000</v>
      </c>
      <c r="C217" s="373" t="s">
        <v>222</v>
      </c>
      <c r="D217" s="316"/>
      <c r="E217" s="374" t="n">
        <f aca="false">B66</f>
        <v>0.02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397.99992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10481.99008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540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380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108.441581541081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63" colorId="64" zoomScale="85" zoomScaleNormal="85" zoomScalePageLayoutView="100" workbookViewId="0">
      <selection pane="topLeft" activeCell="A191" activeCellId="0" sqref="A191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 t="s">
        <v>4</v>
      </c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12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str">
        <f aca="false">A46</f>
        <v>50</v>
      </c>
      <c r="M32" s="43" t="s">
        <v>37</v>
      </c>
      <c r="N32" s="44" t="s">
        <v>38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  <c r="M33" s="43"/>
      <c r="N33" s="12"/>
    </row>
    <row r="34" customFormat="false" ht="19.5" hidden="false" customHeight="false" outlineLevel="0" collapsed="false">
      <c r="A34" s="39" t="s">
        <v>42</v>
      </c>
      <c r="B34" s="31"/>
      <c r="C34" s="40" t="s">
        <v>43</v>
      </c>
      <c r="D34" s="40"/>
      <c r="E34" s="31"/>
      <c r="F34" s="40" t="n">
        <f aca="false">(A34/12)*C34</f>
        <v>5000</v>
      </c>
      <c r="G34" s="40"/>
      <c r="H34" s="46"/>
      <c r="I34" s="2"/>
      <c r="J34" s="2"/>
      <c r="K34" s="2"/>
      <c r="M34" s="43" t="s">
        <v>44</v>
      </c>
      <c r="N34" s="48" t="s">
        <v>45</v>
      </c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50" t="n">
        <v>0.065</v>
      </c>
      <c r="M35" s="43"/>
      <c r="N35" s="12" t="s">
        <v>4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11</v>
      </c>
      <c r="M36" s="43" t="s">
        <v>51</v>
      </c>
      <c r="N36" s="51" t="n">
        <f aca="false">N32-N34</f>
        <v>22125</v>
      </c>
    </row>
    <row r="37" customFormat="false" ht="19.5" hidden="false" customHeight="false" outlineLevel="0" collapsed="false">
      <c r="A37" s="35" t="n">
        <f aca="false">E19</f>
        <v>21600</v>
      </c>
      <c r="B37" s="31"/>
      <c r="C37" s="40" t="s">
        <v>45</v>
      </c>
      <c r="D37" s="40"/>
      <c r="E37" s="31"/>
      <c r="F37" s="42" t="n">
        <f aca="false">A37-C37</f>
        <v>20600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42</v>
      </c>
      <c r="B40" s="31"/>
      <c r="C40" s="53" t="n">
        <f aca="false">A34-1</f>
        <v>11</v>
      </c>
      <c r="D40" s="53"/>
      <c r="E40" s="31"/>
      <c r="F40" s="40" t="s">
        <v>57</v>
      </c>
      <c r="G40" s="40"/>
      <c r="H40" s="46"/>
      <c r="J40" s="2" t="s">
        <v>58</v>
      </c>
      <c r="K40" s="2" t="n">
        <f aca="false">C15</f>
        <v>3600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str">
        <f aca="false">IF(F43="Yes",A46,0)</f>
        <v>50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</v>
      </c>
      <c r="B43" s="31"/>
      <c r="C43" s="40" t="n">
        <v>20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12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216.666666666667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333.333333333333</v>
      </c>
      <c r="L45" s="2"/>
    </row>
    <row r="46" customFormat="false" ht="19.5" hidden="false" customHeight="false" outlineLevel="0" collapsed="false">
      <c r="A46" s="39" t="s">
        <v>70</v>
      </c>
      <c r="B46" s="31"/>
      <c r="C46" s="40" t="n">
        <v>1</v>
      </c>
      <c r="D46" s="40"/>
      <c r="E46" s="31"/>
      <c r="F46" s="40" t="n">
        <v>0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1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1.66666666666667</v>
      </c>
      <c r="L48" s="2"/>
    </row>
    <row r="49" customFormat="false" ht="18.75" hidden="false" customHeight="false" outlineLevel="0" collapsed="false">
      <c r="A49" s="35" t="n">
        <f aca="false">C46+F46</f>
        <v>1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336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286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249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600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12</v>
      </c>
      <c r="B60" s="73" t="n">
        <f aca="false">K49</f>
        <v>336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/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/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/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/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11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11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11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11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37404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37404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37404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37404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0.0105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16269.2033287732</v>
      </c>
      <c r="C74" s="31"/>
      <c r="D74" s="31"/>
      <c r="E74" s="22"/>
      <c r="F74" s="22"/>
      <c r="G74" s="22"/>
      <c r="H74" s="32"/>
      <c r="J74" s="55" t="s">
        <v>91</v>
      </c>
      <c r="K74" s="64" t="e">
        <f aca="false">(K98*K68)-(K47*K29)</f>
        <v>#VALUE!</v>
      </c>
      <c r="L74" s="31"/>
      <c r="M74" s="31"/>
      <c r="N74" s="22"/>
      <c r="O74" s="22"/>
      <c r="P74" s="22"/>
      <c r="Q74" s="32"/>
      <c r="S74" s="55" t="s">
        <v>91</v>
      </c>
      <c r="T74" s="64" t="e">
        <f aca="false">(T98*T68)-(K47*K29)</f>
        <v>#VALUE!</v>
      </c>
      <c r="U74" s="31"/>
      <c r="V74" s="31"/>
      <c r="W74" s="22"/>
      <c r="X74" s="22"/>
      <c r="Y74" s="22"/>
      <c r="Z74" s="32"/>
      <c r="AB74" s="55" t="s">
        <v>91</v>
      </c>
      <c r="AC74" s="64" t="e">
        <f aca="false">(AC98*AC68)-(K47*K29)</f>
        <v>#VALUE!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118.75002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1870.2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187.02</v>
      </c>
      <c r="U77" s="31"/>
      <c r="V77" s="31"/>
      <c r="W77" s="22"/>
      <c r="X77" s="22"/>
      <c r="Y77" s="22"/>
      <c r="Z77" s="32"/>
      <c r="AB77" s="55" t="s">
        <v>94</v>
      </c>
      <c r="AC77" s="64" t="e">
        <f aca="false">AH167*AC76</f>
        <v>#VALUE!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336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1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336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336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20600</v>
      </c>
      <c r="C90" s="31"/>
      <c r="D90" s="31"/>
      <c r="E90" s="22"/>
      <c r="F90" s="24" t="s">
        <v>106</v>
      </c>
      <c r="G90" s="26" t="n">
        <f aca="false">F37</f>
        <v>20600</v>
      </c>
      <c r="H90" s="32"/>
      <c r="J90" s="24" t="s">
        <v>106</v>
      </c>
      <c r="K90" s="26" t="e">
        <f aca="false">P167</f>
        <v>#VALUE!</v>
      </c>
      <c r="L90" s="31"/>
      <c r="M90" s="31"/>
      <c r="N90" s="22"/>
      <c r="O90" s="22"/>
      <c r="P90" s="22"/>
      <c r="Q90" s="32"/>
      <c r="S90" s="24" t="s">
        <v>106</v>
      </c>
      <c r="T90" s="26" t="e">
        <f aca="false">Y167</f>
        <v>#VALUE!</v>
      </c>
      <c r="U90" s="31"/>
      <c r="V90" s="31"/>
      <c r="W90" s="22"/>
      <c r="X90" s="22"/>
      <c r="Y90" s="22"/>
      <c r="Z90" s="32"/>
      <c r="AB90" s="24" t="s">
        <v>106</v>
      </c>
      <c r="AC90" s="26" t="e">
        <f aca="false">AH167</f>
        <v>#VALUE!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</f>
        <v>6000</v>
      </c>
      <c r="C91" s="31"/>
      <c r="D91" s="31"/>
      <c r="E91" s="22"/>
      <c r="F91" s="30" t="s">
        <v>107</v>
      </c>
      <c r="G91" s="32" t="n">
        <f aca="false">IF(A111="YES",A43,0)</f>
        <v>6000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0.1255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0.0104583333333333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11</v>
      </c>
      <c r="C94" s="31"/>
      <c r="D94" s="31"/>
      <c r="E94" s="22"/>
      <c r="F94" s="30" t="s">
        <v>110</v>
      </c>
      <c r="G94" s="32" t="n">
        <f aca="false">IF(G91=0,(B68+B67),(B68))</f>
        <v>11</v>
      </c>
      <c r="H94" s="32"/>
      <c r="J94" s="30" t="s">
        <v>110</v>
      </c>
      <c r="K94" s="32" t="n">
        <f aca="false">IF(K91=0,(K68+K67),(K68))</f>
        <v>12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11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11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5295.78483323301</v>
      </c>
      <c r="C95" s="31"/>
      <c r="D95" s="31"/>
      <c r="E95" s="22"/>
      <c r="F95" s="30" t="s">
        <v>111</v>
      </c>
      <c r="G95" s="32" t="n">
        <f aca="false">(G91/((1+G93)^(G94+1)))</f>
        <v>5623.39108453416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10.6125560515631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10.6125560515631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10.3399216528992</v>
      </c>
      <c r="C96" s="31"/>
      <c r="D96" s="31"/>
      <c r="E96" s="22"/>
      <c r="F96" s="30" t="s">
        <v>112</v>
      </c>
      <c r="G96" s="32" t="n">
        <f aca="false">((1-(1/((1+G93)^G94)))/G93)</f>
        <v>10.6507347822959</v>
      </c>
      <c r="H96" s="32"/>
      <c r="J96" s="30" t="s">
        <v>112</v>
      </c>
      <c r="K96" s="32" t="n">
        <f aca="false">((1-(1/((1+K93)^K94)))/K93)</f>
        <v>10.5753412209172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10.3499842839909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10.3499842839909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15304.215166767</v>
      </c>
      <c r="C97" s="31"/>
      <c r="D97" s="31"/>
      <c r="E97" s="22"/>
      <c r="F97" s="30" t="s">
        <v>113</v>
      </c>
      <c r="G97" s="32" t="n">
        <f aca="false">G90-G95</f>
        <v>14976.6089154658</v>
      </c>
      <c r="H97" s="32"/>
      <c r="J97" s="30" t="s">
        <v>113</v>
      </c>
      <c r="K97" s="32" t="e">
        <f aca="false">K90-K95</f>
        <v>#VALUE!</v>
      </c>
      <c r="L97" s="31"/>
      <c r="M97" s="31"/>
      <c r="N97" s="22"/>
      <c r="O97" s="22"/>
      <c r="P97" s="22"/>
      <c r="Q97" s="32"/>
      <c r="S97" s="30" t="s">
        <v>113</v>
      </c>
      <c r="T97" s="32" t="e">
        <f aca="false">T90-T95</f>
        <v>#VALUE!</v>
      </c>
      <c r="U97" s="31"/>
      <c r="V97" s="31"/>
      <c r="W97" s="22"/>
      <c r="X97" s="22"/>
      <c r="Y97" s="22"/>
      <c r="Z97" s="32"/>
      <c r="AB97" s="30" t="s">
        <v>113</v>
      </c>
      <c r="AC97" s="32" t="e">
        <f aca="false">AC90-AC95</f>
        <v>#VALUE!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1480.10939352484</v>
      </c>
      <c r="C98" s="31"/>
      <c r="D98" s="31"/>
      <c r="E98" s="22"/>
      <c r="F98" s="30" t="s">
        <v>114</v>
      </c>
      <c r="G98" s="32" t="n">
        <f aca="false">(G97/G96)</f>
        <v>1406.1573423423</v>
      </c>
      <c r="H98" s="32"/>
      <c r="J98" s="30" t="s">
        <v>114</v>
      </c>
      <c r="K98" s="32" t="e">
        <f aca="false">(K97/K96)</f>
        <v>#VALUE!</v>
      </c>
      <c r="L98" s="31"/>
      <c r="M98" s="31"/>
      <c r="N98" s="22"/>
      <c r="O98" s="22"/>
      <c r="P98" s="22"/>
      <c r="Q98" s="32"/>
      <c r="S98" s="30" t="s">
        <v>114</v>
      </c>
      <c r="T98" s="32" t="e">
        <f aca="false">(T97/T96)</f>
        <v>#VALUE!</v>
      </c>
      <c r="U98" s="31"/>
      <c r="V98" s="31"/>
      <c r="W98" s="22"/>
      <c r="X98" s="22"/>
      <c r="Y98" s="22"/>
      <c r="Z98" s="32"/>
      <c r="AB98" s="30" t="s">
        <v>114</v>
      </c>
      <c r="AC98" s="32" t="e">
        <f aca="false">(AC97/AC96)</f>
        <v>#VALUE!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16281.2033287732</v>
      </c>
      <c r="C99" s="31"/>
      <c r="D99" s="31"/>
      <c r="E99" s="22"/>
      <c r="F99" s="30" t="s">
        <v>115</v>
      </c>
      <c r="G99" s="32" t="n">
        <f aca="false">((G98*(G94))+G86)</f>
        <v>15467.7307657653</v>
      </c>
      <c r="H99" s="32"/>
      <c r="J99" s="30" t="s">
        <v>115</v>
      </c>
      <c r="K99" s="32" t="e">
        <f aca="false">((K98*(K94))+K86)</f>
        <v>#VALUE!</v>
      </c>
      <c r="L99" s="31"/>
      <c r="M99" s="31"/>
      <c r="N99" s="22"/>
      <c r="O99" s="22"/>
      <c r="P99" s="22"/>
      <c r="Q99" s="32"/>
      <c r="S99" s="30" t="s">
        <v>115</v>
      </c>
      <c r="T99" s="32" t="e">
        <f aca="false">(T98*(T94))+T86</f>
        <v>#VALUE!</v>
      </c>
      <c r="U99" s="31"/>
      <c r="V99" s="31"/>
      <c r="W99" s="22"/>
      <c r="X99" s="22"/>
      <c r="Y99" s="22"/>
      <c r="Z99" s="32"/>
      <c r="AB99" s="30" t="s">
        <v>115</v>
      </c>
      <c r="AC99" s="32" t="e">
        <f aca="false">(AC98*(AC68))+AC86</f>
        <v>#VALUE!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e">
        <f aca="false">(K99/(1-K80))*K80</f>
        <v>#VALUE!</v>
      </c>
      <c r="L100" s="31"/>
      <c r="M100" s="31"/>
      <c r="N100" s="22"/>
      <c r="O100" s="22"/>
      <c r="P100" s="22"/>
      <c r="Q100" s="32"/>
      <c r="S100" s="30" t="s">
        <v>116</v>
      </c>
      <c r="T100" s="32" t="e">
        <f aca="false">(T99/(1-T80))*T80</f>
        <v>#VALUE!</v>
      </c>
      <c r="U100" s="31"/>
      <c r="V100" s="31"/>
      <c r="W100" s="22"/>
      <c r="X100" s="22"/>
      <c r="Y100" s="22"/>
      <c r="Z100" s="32"/>
      <c r="AB100" s="30" t="s">
        <v>116</v>
      </c>
      <c r="AC100" s="32" t="e">
        <f aca="false">(AC99/(1-AC80))*AC80</f>
        <v>#VALUE!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16281.2033287732</v>
      </c>
      <c r="C101" s="31"/>
      <c r="D101" s="31"/>
      <c r="E101" s="22"/>
      <c r="F101" s="55" t="s">
        <v>117</v>
      </c>
      <c r="G101" s="64" t="n">
        <f aca="false">(G99+G100)</f>
        <v>15467.7307657653</v>
      </c>
      <c r="H101" s="32"/>
      <c r="J101" s="55" t="s">
        <v>117</v>
      </c>
      <c r="K101" s="64" t="e">
        <f aca="false">(K99+K100)</f>
        <v>#VALUE!</v>
      </c>
      <c r="L101" s="31"/>
      <c r="M101" s="31"/>
      <c r="N101" s="22"/>
      <c r="O101" s="22"/>
      <c r="P101" s="22"/>
      <c r="Q101" s="32"/>
      <c r="S101" s="55" t="s">
        <v>117</v>
      </c>
      <c r="T101" s="64" t="e">
        <f aca="false">(T99+T100)</f>
        <v>#VALUE!</v>
      </c>
      <c r="U101" s="31"/>
      <c r="V101" s="31"/>
      <c r="W101" s="22"/>
      <c r="X101" s="22"/>
      <c r="Y101" s="22"/>
      <c r="Z101" s="32"/>
      <c r="AB101" s="55" t="s">
        <v>117</v>
      </c>
      <c r="AC101" s="64" t="e">
        <f aca="false">(AC99+AC100)</f>
        <v>#VALUE!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((A46*A34)+((A46*A34)*A117))/(B68)*1.2</f>
        <v>85.0909090909091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1480.10939352484</v>
      </c>
      <c r="C104" s="31"/>
      <c r="D104" s="31"/>
      <c r="E104" s="22"/>
      <c r="F104" s="94" t="s">
        <v>119</v>
      </c>
      <c r="G104" s="95" t="n">
        <f aca="false">G101/(G94)</f>
        <v>1406.1573423423</v>
      </c>
      <c r="H104" s="32"/>
      <c r="J104" s="94" t="s">
        <v>119</v>
      </c>
      <c r="K104" s="95" t="e">
        <f aca="false">K101/(K94)</f>
        <v>#VALUE!</v>
      </c>
      <c r="L104" s="31"/>
      <c r="M104" s="31"/>
      <c r="N104" s="22"/>
      <c r="O104" s="22"/>
      <c r="P104" s="22"/>
      <c r="Q104" s="32"/>
      <c r="S104" s="94" t="s">
        <v>119</v>
      </c>
      <c r="T104" s="95" t="e">
        <f aca="false">T101/(T94)</f>
        <v>#VALUE!</v>
      </c>
      <c r="U104" s="31"/>
      <c r="V104" s="31"/>
      <c r="W104" s="22"/>
      <c r="X104" s="22"/>
      <c r="Y104" s="22"/>
      <c r="Z104" s="32"/>
      <c r="AB104" s="94" t="s">
        <v>119</v>
      </c>
      <c r="AC104" s="95" t="e">
        <f aca="false">AC101/(AC68)</f>
        <v>#VALUE!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1565.20030261575</v>
      </c>
      <c r="C105" s="31"/>
      <c r="D105" s="31"/>
      <c r="E105" s="22" t="s">
        <v>18</v>
      </c>
      <c r="F105" s="96" t="s">
        <v>120</v>
      </c>
      <c r="G105" s="97" t="n">
        <f aca="false">G103+G104</f>
        <v>1406.1573423423</v>
      </c>
      <c r="H105" s="32"/>
      <c r="J105" s="96" t="s">
        <v>120</v>
      </c>
      <c r="K105" s="97" t="e">
        <f aca="false">(K103+K104)</f>
        <v>#VALUE!</v>
      </c>
      <c r="L105" s="31"/>
      <c r="M105" s="31"/>
      <c r="N105" s="22"/>
      <c r="O105" s="22"/>
      <c r="P105" s="22"/>
      <c r="Q105" s="32"/>
      <c r="S105" s="96" t="s">
        <v>120</v>
      </c>
      <c r="T105" s="97" t="e">
        <f aca="false">T103+T104</f>
        <v>#VALUE!</v>
      </c>
      <c r="U105" s="31"/>
      <c r="V105" s="31"/>
      <c r="W105" s="22"/>
      <c r="X105" s="22"/>
      <c r="Y105" s="22"/>
      <c r="Z105" s="32"/>
      <c r="AB105" s="96" t="s">
        <v>120</v>
      </c>
      <c r="AC105" s="97" t="e">
        <f aca="false">AC103+AC104</f>
        <v>#VALUE!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s">
        <v>267</v>
      </c>
      <c r="C108" s="22"/>
      <c r="D108" s="22" t="n">
        <v>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 t="s">
        <v>129</v>
      </c>
      <c r="C114" s="102"/>
      <c r="D114" s="102"/>
      <c r="E114" s="103" t="s">
        <v>19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0.3</v>
      </c>
      <c r="B117" s="106" t="s">
        <v>133</v>
      </c>
      <c r="C117" s="106"/>
      <c r="D117" s="106"/>
      <c r="E117" s="107" t="n">
        <f aca="false">B92</f>
        <v>0.1255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/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142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112"/>
      <c r="C127" s="112"/>
      <c r="D127" s="112"/>
      <c r="E127" s="112"/>
      <c r="F127" s="112"/>
      <c r="G127" s="11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119" t="n">
        <f aca="false">E19</f>
        <v>21600</v>
      </c>
      <c r="C130" s="120" t="n">
        <v>19791.67</v>
      </c>
      <c r="D130" s="119" t="n">
        <f aca="false">D12</f>
        <v>0</v>
      </c>
      <c r="E130" s="120" t="n">
        <f aca="false">D130</f>
        <v>0</v>
      </c>
      <c r="F130" s="119" t="n">
        <v>0</v>
      </c>
      <c r="G130" s="120" t="n">
        <f aca="false">F130</f>
        <v>0</v>
      </c>
      <c r="H130" s="121" t="n">
        <f aca="false">H12</f>
        <v>0</v>
      </c>
      <c r="J130" s="24" t="s">
        <v>150</v>
      </c>
      <c r="K130" s="24" t="n">
        <f aca="false">B3</f>
        <v>0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str">
        <f aca="false">F3</f>
        <v> </v>
      </c>
      <c r="P130" s="39" t="str">
        <f aca="false">O130</f>
        <v> </v>
      </c>
      <c r="Q130" s="121" t="n">
        <f aca="false">H3</f>
        <v>0</v>
      </c>
      <c r="S130" s="24" t="s">
        <v>150</v>
      </c>
      <c r="T130" s="24" t="n">
        <f aca="false">B3</f>
        <v>0</v>
      </c>
      <c r="U130" s="39" t="n">
        <f aca="false">T130</f>
        <v>0</v>
      </c>
      <c r="V130" s="24" t="n">
        <f aca="false">D3</f>
        <v>0</v>
      </c>
      <c r="W130" s="39" t="n">
        <f aca="false">V130</f>
        <v>0</v>
      </c>
      <c r="X130" s="24" t="str">
        <f aca="false">F3</f>
        <v> </v>
      </c>
      <c r="Y130" s="39" t="str">
        <f aca="false">X130</f>
        <v> </v>
      </c>
      <c r="Z130" s="121" t="n">
        <f aca="false">H3</f>
        <v>0</v>
      </c>
      <c r="AB130" s="24" t="s">
        <v>150</v>
      </c>
      <c r="AC130" s="24" t="n">
        <f aca="false">B3</f>
        <v>0</v>
      </c>
      <c r="AD130" s="39" t="n">
        <f aca="false">AC130</f>
        <v>0</v>
      </c>
      <c r="AE130" s="24" t="n">
        <f aca="false">D3</f>
        <v>0</v>
      </c>
      <c r="AF130" s="39" t="n">
        <f aca="false">AE130</f>
        <v>0</v>
      </c>
      <c r="AG130" s="24" t="str">
        <f aca="false">F3</f>
        <v> </v>
      </c>
      <c r="AH130" s="39" t="str">
        <f aca="false">AG130</f>
        <v> 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2" t="n">
        <v>0</v>
      </c>
      <c r="C131" s="123" t="n">
        <f aca="false">B131</f>
        <v>0</v>
      </c>
      <c r="D131" s="122" t="n">
        <v>0</v>
      </c>
      <c r="E131" s="123" t="n">
        <f aca="false">D131</f>
        <v>0</v>
      </c>
      <c r="F131" s="122" t="n">
        <v>0</v>
      </c>
      <c r="G131" s="124" t="n">
        <f aca="false">F131</f>
        <v>0</v>
      </c>
      <c r="H131" s="125"/>
      <c r="J131" s="30" t="s">
        <v>151</v>
      </c>
      <c r="K131" s="126" t="n">
        <f aca="false">B4</f>
        <v>21600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str">
        <f aca="false">F4</f>
        <v> </v>
      </c>
      <c r="P131" s="127" t="str">
        <f aca="false">O131</f>
        <v> </v>
      </c>
      <c r="Q131" s="128"/>
      <c r="S131" s="30" t="s">
        <v>151</v>
      </c>
      <c r="T131" s="126" t="n">
        <f aca="false">B4</f>
        <v>21600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str">
        <f aca="false">F4</f>
        <v> </v>
      </c>
      <c r="Y131" s="127" t="str">
        <f aca="false">X131</f>
        <v> </v>
      </c>
      <c r="Z131" s="128"/>
      <c r="AB131" s="30" t="s">
        <v>151</v>
      </c>
      <c r="AC131" s="126" t="n">
        <f aca="false">B4</f>
        <v>21600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str">
        <f aca="false">F4</f>
        <v> </v>
      </c>
      <c r="AH131" s="127" t="str">
        <f aca="false">AG131</f>
        <v> </v>
      </c>
      <c r="AI131" s="128"/>
    </row>
    <row r="132" customFormat="false" ht="19.5" hidden="false" customHeight="false" outlineLevel="0" collapsed="false">
      <c r="A132" s="30" t="s">
        <v>152</v>
      </c>
      <c r="B132" s="129" t="n">
        <v>0</v>
      </c>
      <c r="C132" s="120" t="n">
        <f aca="false">B132</f>
        <v>0</v>
      </c>
      <c r="D132" s="129" t="n">
        <v>0</v>
      </c>
      <c r="E132" s="120" t="n">
        <f aca="false">D132</f>
        <v>0</v>
      </c>
      <c r="F132" s="129" t="n">
        <v>0</v>
      </c>
      <c r="G132" s="120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str">
        <f aca="false">F5</f>
        <v> </v>
      </c>
      <c r="P132" s="39" t="str">
        <f aca="false">O132</f>
        <v> 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str">
        <f aca="false">F5</f>
        <v> </v>
      </c>
      <c r="Y132" s="39" t="str">
        <f aca="false">X132</f>
        <v> 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str">
        <f aca="false">F5</f>
        <v> </v>
      </c>
      <c r="AH132" s="39" t="str">
        <f aca="false">AG132</f>
        <v> </v>
      </c>
      <c r="AI132" s="32"/>
    </row>
    <row r="133" customFormat="false" ht="18.75" hidden="false" customHeight="false" outlineLevel="0" collapsed="false">
      <c r="A133" s="30" t="s">
        <v>153</v>
      </c>
      <c r="B133" s="129" t="n">
        <f aca="false">(B130*B131)+B132</f>
        <v>0</v>
      </c>
      <c r="C133" s="130" t="n">
        <f aca="false">(C130*C131/100)+C132</f>
        <v>0</v>
      </c>
      <c r="D133" s="129" t="n">
        <f aca="false">(D130*D131)+D132</f>
        <v>0</v>
      </c>
      <c r="E133" s="130" t="n">
        <f aca="false">(E130*E131/100)+E132</f>
        <v>0</v>
      </c>
      <c r="F133" s="129" t="n">
        <f aca="false">(F130*F131)+F132</f>
        <v>0</v>
      </c>
      <c r="G133" s="130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e">
        <f aca="false">(O130*O131)+O132</f>
        <v>#VALUE!</v>
      </c>
      <c r="P133" s="26" t="e">
        <f aca="false">(P130*P131)+P132</f>
        <v>#VALUE!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0</v>
      </c>
      <c r="V133" s="30" t="n">
        <f aca="false">(V130*V131)+V132</f>
        <v>0</v>
      </c>
      <c r="W133" s="26" t="n">
        <f aca="false">(W130*W131)+W132</f>
        <v>0</v>
      </c>
      <c r="X133" s="30" t="e">
        <f aca="false">(X130*X131)+X132</f>
        <v>#VALUE!</v>
      </c>
      <c r="Y133" s="26" t="e">
        <f aca="false">(Y130*Y131)+Y132</f>
        <v>#VALUE!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0</v>
      </c>
      <c r="AE133" s="30" t="n">
        <f aca="false">(AE130*AE131)+AE132</f>
        <v>0</v>
      </c>
      <c r="AF133" s="26" t="n">
        <f aca="false">(AF130*AF131)+AF132</f>
        <v>0</v>
      </c>
      <c r="AG133" s="30" t="e">
        <f aca="false">(AG130*AG131)+AG132</f>
        <v>#VALUE!</v>
      </c>
      <c r="AH133" s="26" t="e">
        <f aca="false">(AH130*AH131)+AH132</f>
        <v>#VALUE!</v>
      </c>
      <c r="AI133" s="32"/>
    </row>
    <row r="134" customFormat="false" ht="19.5" hidden="false" customHeight="false" outlineLevel="0" collapsed="false">
      <c r="A134" s="55" t="s">
        <v>154</v>
      </c>
      <c r="B134" s="131" t="n">
        <f aca="false">B130-B133</f>
        <v>21600</v>
      </c>
      <c r="C134" s="132" t="n">
        <f aca="false">C130-C133</f>
        <v>19791.67</v>
      </c>
      <c r="D134" s="131" t="n">
        <f aca="false">D130-D133</f>
        <v>0</v>
      </c>
      <c r="E134" s="132" t="n">
        <f aca="false">E130-E133</f>
        <v>0</v>
      </c>
      <c r="F134" s="131" t="n">
        <f aca="false">F130-F133</f>
        <v>0</v>
      </c>
      <c r="G134" s="132" t="n">
        <f aca="false">G130-G133</f>
        <v>0</v>
      </c>
      <c r="H134" s="64"/>
      <c r="J134" s="55" t="s">
        <v>154</v>
      </c>
      <c r="K134" s="55" t="n">
        <f aca="false">K130-K133</f>
        <v>0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e">
        <f aca="false">O130-O133</f>
        <v>#VALUE!</v>
      </c>
      <c r="P134" s="64" t="e">
        <f aca="false">P130-P133</f>
        <v>#VALUE!</v>
      </c>
      <c r="Q134" s="64"/>
      <c r="S134" s="55" t="s">
        <v>154</v>
      </c>
      <c r="T134" s="55" t="n">
        <f aca="false">T130-T133</f>
        <v>0</v>
      </c>
      <c r="U134" s="64" t="n">
        <f aca="false">U130-U133</f>
        <v>0</v>
      </c>
      <c r="V134" s="55" t="n">
        <f aca="false">V130-V133</f>
        <v>0</v>
      </c>
      <c r="W134" s="64" t="n">
        <f aca="false">W130-W133</f>
        <v>0</v>
      </c>
      <c r="X134" s="55" t="e">
        <f aca="false">X130-X133</f>
        <v>#VALUE!</v>
      </c>
      <c r="Y134" s="64" t="e">
        <f aca="false">Y130-Y133</f>
        <v>#VALUE!</v>
      </c>
      <c r="Z134" s="64"/>
      <c r="AB134" s="55" t="s">
        <v>154</v>
      </c>
      <c r="AC134" s="55" t="n">
        <f aca="false">AC130-AC133</f>
        <v>0</v>
      </c>
      <c r="AD134" s="64" t="n">
        <f aca="false">AD130-AD133</f>
        <v>0</v>
      </c>
      <c r="AE134" s="55" t="n">
        <f aca="false">AE130-AE133</f>
        <v>0</v>
      </c>
      <c r="AF134" s="64" t="n">
        <f aca="false">AF130-AF133</f>
        <v>0</v>
      </c>
      <c r="AG134" s="55" t="e">
        <f aca="false">AG130-AG133</f>
        <v>#VALUE!</v>
      </c>
      <c r="AH134" s="64" t="e">
        <f aca="false">AH130-AH133</f>
        <v>#VALUE!</v>
      </c>
      <c r="AI134" s="64"/>
    </row>
    <row r="135" customFormat="false" ht="18.75" hidden="false" customHeight="false" outlineLevel="0" collapsed="false">
      <c r="A135" s="30"/>
      <c r="B135" s="92"/>
      <c r="C135" s="92"/>
      <c r="D135" s="92"/>
      <c r="E135" s="92"/>
      <c r="F135" s="92"/>
      <c r="G135" s="92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4"/>
      <c r="C136" s="134"/>
      <c r="D136" s="134"/>
      <c r="E136" s="134"/>
      <c r="F136" s="134"/>
      <c r="G136" s="135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92"/>
      <c r="C138" s="92"/>
      <c r="D138" s="92"/>
      <c r="E138" s="92"/>
      <c r="F138" s="92"/>
      <c r="G138" s="143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92"/>
      <c r="C143" s="92"/>
      <c r="D143" s="92"/>
      <c r="E143" s="92"/>
      <c r="F143" s="92"/>
      <c r="G143" s="143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5" t="n">
        <f aca="false">E21</f>
        <v>18000</v>
      </c>
      <c r="H144" s="152" t="n">
        <f aca="false">C134+E134+G134+H137</f>
        <v>19791.67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0</v>
      </c>
      <c r="Q144" s="152" t="e">
        <f aca="false">L134+N134+P134+Q137</f>
        <v>#VALUE!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0</v>
      </c>
      <c r="Z144" s="152" t="e">
        <f aca="false">U134+W134+Y134+Z137</f>
        <v>#VALUE!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0</v>
      </c>
      <c r="AI144" s="152" t="e">
        <f aca="false">AD134+AF134+AH134+AI137</f>
        <v>#VALUE!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4" t="n">
        <f aca="false">H19</f>
        <v>0</v>
      </c>
      <c r="H145" s="32" t="n">
        <f aca="false">G145</f>
        <v>0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0</v>
      </c>
      <c r="Q145" s="32" t="n">
        <f aca="false">P145</f>
        <v>0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0</v>
      </c>
      <c r="Z145" s="32" t="n">
        <f aca="false">Y145</f>
        <v>0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0</v>
      </c>
      <c r="AI145" s="32" t="n">
        <f aca="false">AH145</f>
        <v>0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32" t="n">
        <f aca="false">(G144+G145)*20%</f>
        <v>3600</v>
      </c>
      <c r="H146" s="32" t="n">
        <f aca="false">(H144+H145)*20%</f>
        <v>3958.334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0</v>
      </c>
      <c r="Q146" s="32" t="e">
        <f aca="false">(Q144+Q145)*20%</f>
        <v>#VALUE!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0</v>
      </c>
      <c r="Z146" s="32" t="e">
        <f aca="false">(Z144+Z145)*20%</f>
        <v>#VALUE!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0</v>
      </c>
      <c r="AI146" s="32" t="e">
        <f aca="false">(AI144+AI145)*20%</f>
        <v>#VALUE!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4" t="n">
        <f aca="false">H21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4" t="n">
        <f aca="false">H22</f>
        <v>0</v>
      </c>
      <c r="H148" s="32" t="n">
        <f aca="false">G148</f>
        <v>0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0</v>
      </c>
      <c r="Q148" s="32" t="n">
        <f aca="false">P148</f>
        <v>0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0</v>
      </c>
      <c r="Z148" s="32" t="n">
        <f aca="false">Y148</f>
        <v>0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0</v>
      </c>
      <c r="AI148" s="32" t="n">
        <f aca="false">AH148</f>
        <v>0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4" t="n">
        <f aca="false">H23</f>
        <v>0</v>
      </c>
      <c r="H149" s="32" t="n">
        <f aca="false">G149</f>
        <v>0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0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0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0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6" t="n">
        <f aca="false">(G144+G145+G148+G149+G146)-G147</f>
        <v>21600</v>
      </c>
      <c r="H150" s="156" t="n">
        <f aca="false">(H144+H145+H148+H149+H146)-H147</f>
        <v>23750.004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0</v>
      </c>
      <c r="Q150" s="156" t="e">
        <f aca="false">(Q144+Q145+Q148+Q149+Q146)-Q147</f>
        <v>#VALUE!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0</v>
      </c>
      <c r="Z150" s="156" t="e">
        <f aca="false">(Z144+Z145+Z148+Z149+Z146)-Z147</f>
        <v>#VALUE!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0</v>
      </c>
      <c r="AI150" s="156" t="e">
        <f aca="false">(AI144+AI145+AI148+AI149+AI146)-AI147</f>
        <v>#VALUE!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39" t="n">
        <f aca="false">F151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2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n">
        <v>0</v>
      </c>
      <c r="C153" s="160"/>
      <c r="D153" s="160"/>
      <c r="E153" s="160"/>
      <c r="F153" s="160"/>
      <c r="G153" s="39" t="n">
        <v>0</v>
      </c>
      <c r="H153" s="39" t="n"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39" t="n"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39" t="n"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63" t="n">
        <f aca="false">G150-((G153*1.2)+(G154*1.2)+(G155*1.2)+(G151*1.2))</f>
        <v>21600</v>
      </c>
      <c r="H156" s="163" t="n">
        <f aca="false">H150-((H153*1.2)+(H154*1.2)+(H155*1.2)+(H151*1.2))</f>
        <v>23750.004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0</v>
      </c>
      <c r="Q156" s="163" t="e">
        <f aca="false">Q150-((Q153*1.2)+(Q154*1.2)+(Q155*1.2)+(Q151*1.2))</f>
        <v>#VALUE!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0</v>
      </c>
      <c r="Z156" s="163" t="e">
        <f aca="false">Z150-((Z153*1.2)+(Z154*1.2)+(Z155*1.2)+(Z151*1.2))</f>
        <v>#VALUE!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0</v>
      </c>
      <c r="AI156" s="163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4"/>
      <c r="H157" s="39" t="n">
        <f aca="false">((H156-G156)-(H146-G146))+((I155-I154)*0.2)</f>
        <v>1791.67</v>
      </c>
      <c r="I157" s="1" t="n">
        <f aca="false">(H157-G90)/1.2</f>
        <v>-15673.6083333333</v>
      </c>
      <c r="J157" s="153" t="s">
        <v>173</v>
      </c>
      <c r="K157" s="153"/>
      <c r="L157" s="153"/>
      <c r="M157" s="153"/>
      <c r="N157" s="153"/>
      <c r="O157" s="153"/>
      <c r="P157" s="155"/>
      <c r="Q157" s="39" t="e">
        <f aca="false">Q156-P156</f>
        <v>#VALUE!</v>
      </c>
      <c r="S157" s="153" t="s">
        <v>173</v>
      </c>
      <c r="T157" s="153"/>
      <c r="U157" s="153"/>
      <c r="V157" s="153"/>
      <c r="W157" s="153"/>
      <c r="X157" s="153"/>
      <c r="Y157" s="155"/>
      <c r="Z157" s="39" t="e">
        <f aca="false">Z156-Y156</f>
        <v>#VALUE!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e">
        <f aca="false">AI156-AH156</f>
        <v>#VALUE!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23750.004</v>
      </c>
      <c r="H167" s="169"/>
      <c r="J167" s="168" t="s">
        <v>180</v>
      </c>
      <c r="K167" s="31"/>
      <c r="L167" s="31"/>
      <c r="M167" s="22"/>
      <c r="N167" s="31"/>
      <c r="O167" s="22"/>
      <c r="P167" s="169" t="e">
        <f aca="false">Q156-P163-P166</f>
        <v>#VALUE!</v>
      </c>
      <c r="Q167" s="169"/>
      <c r="S167" s="168" t="s">
        <v>180</v>
      </c>
      <c r="T167" s="31"/>
      <c r="U167" s="31"/>
      <c r="V167" s="22"/>
      <c r="W167" s="31"/>
      <c r="X167" s="22"/>
      <c r="Y167" s="169" t="e">
        <f aca="false">Z156-Y163-Y166</f>
        <v>#VALUE!</v>
      </c>
      <c r="Z167" s="169"/>
      <c r="AB167" s="168" t="s">
        <v>180</v>
      </c>
      <c r="AC167" s="31"/>
      <c r="AD167" s="31"/>
      <c r="AE167" s="22"/>
      <c r="AF167" s="31"/>
      <c r="AG167" s="22"/>
      <c r="AH167" s="169" t="e">
        <f aca="false">AI156-AH163-AH166</f>
        <v>#VALUE!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239.99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6000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1480.10939352484</v>
      </c>
      <c r="B176" s="176" t="n">
        <f aca="false">B103</f>
        <v>85.0909090909091</v>
      </c>
      <c r="C176" s="173"/>
      <c r="D176" s="173"/>
      <c r="E176" s="176" t="n">
        <f aca="false">B105</f>
        <v>1565.20030261575</v>
      </c>
      <c r="F176" s="22"/>
      <c r="G176" s="22" t="n">
        <f aca="false">ROUND(G104,2)</f>
        <v>1406.16</v>
      </c>
      <c r="H176" s="32"/>
      <c r="J176" s="175" t="e">
        <f aca="false">K104</f>
        <v>#VALUE!</v>
      </c>
      <c r="K176" s="177" t="n">
        <f aca="false">K103</f>
        <v>0</v>
      </c>
      <c r="L176" s="174"/>
      <c r="M176" s="174"/>
      <c r="N176" s="177" t="e">
        <f aca="false">K105</f>
        <v>#VALUE!</v>
      </c>
      <c r="O176" s="22"/>
      <c r="P176" s="22"/>
      <c r="Q176" s="32"/>
      <c r="S176" s="175" t="e">
        <f aca="false">T104</f>
        <v>#VALUE!</v>
      </c>
      <c r="T176" s="177" t="n">
        <f aca="false">T103</f>
        <v>0</v>
      </c>
      <c r="U176" s="174"/>
      <c r="V176" s="174"/>
      <c r="W176" s="177" t="e">
        <f aca="false">T105</f>
        <v>#VALUE!</v>
      </c>
      <c r="X176" s="22"/>
      <c r="Y176" s="22"/>
      <c r="Z176" s="32"/>
      <c r="AB176" s="175" t="e">
        <f aca="false">AC104</f>
        <v>#VALUE!</v>
      </c>
      <c r="AC176" s="177" t="n">
        <f aca="false">AC103</f>
        <v>0</v>
      </c>
      <c r="AD176" s="174"/>
      <c r="AE176" s="174"/>
      <c r="AF176" s="177" t="e">
        <f aca="false">AC105</f>
        <v>#VALUE!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n">
        <f aca="false">B38</f>
        <v>0</v>
      </c>
      <c r="B179" s="179" t="n">
        <f aca="false">B39</f>
        <v>0</v>
      </c>
      <c r="C179" s="180"/>
      <c r="D179" s="22"/>
      <c r="E179" s="181" t="n">
        <f aca="false">B91</f>
        <v>6000</v>
      </c>
      <c r="F179" s="22"/>
      <c r="G179" s="22"/>
      <c r="H179" s="32"/>
      <c r="J179" s="178" t="str">
        <f aca="false">K29</f>
        <v>12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12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12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19791.67</v>
      </c>
      <c r="B182" s="102" t="n">
        <f aca="false">H146</f>
        <v>3958.334</v>
      </c>
      <c r="C182" s="185"/>
      <c r="D182" s="22"/>
      <c r="E182" s="181" t="n">
        <f aca="false">H148+H149</f>
        <v>0</v>
      </c>
      <c r="F182" s="22"/>
      <c r="G182" s="22"/>
      <c r="H182" s="32"/>
      <c r="J182" s="184" t="e">
        <f aca="false">Q150-Q146-Q148-Q149</f>
        <v>#VALUE!</v>
      </c>
      <c r="K182" s="37" t="e">
        <f aca="false">Q146</f>
        <v>#VALUE!</v>
      </c>
      <c r="L182" s="42"/>
      <c r="M182" s="22"/>
      <c r="N182" s="183" t="n">
        <f aca="false">Q148+Q149</f>
        <v>55</v>
      </c>
      <c r="O182" s="22"/>
      <c r="P182" s="22"/>
      <c r="Q182" s="32"/>
      <c r="S182" s="184" t="e">
        <f aca="false">Z150-Z146-Z148-Z149</f>
        <v>#VALUE!</v>
      </c>
      <c r="T182" s="37" t="e">
        <f aca="false">Z146</f>
        <v>#VALUE!</v>
      </c>
      <c r="U182" s="42"/>
      <c r="V182" s="22"/>
      <c r="W182" s="183" t="n">
        <f aca="false">Z148+Z149</f>
        <v>55</v>
      </c>
      <c r="X182" s="22"/>
      <c r="Y182" s="22"/>
      <c r="Z182" s="32"/>
      <c r="AB182" s="184" t="e">
        <f aca="false">AI150-AI146-AI148-AI149</f>
        <v>#VALUE!</v>
      </c>
      <c r="AC182" s="37" t="e">
        <f aca="false">AI146</f>
        <v>#VALUE!</v>
      </c>
      <c r="AD182" s="42"/>
      <c r="AE182" s="22"/>
      <c r="AF182" s="183" t="n">
        <f aca="false">AI148+AI149</f>
        <v>55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23750.004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e">
        <f aca="false">Q150</f>
        <v>#VALUE!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e">
        <f aca="false">Z150</f>
        <v>#VALUE!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e">
        <f aca="false">AI150</f>
        <v>#VALUE!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23750.004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e">
        <f aca="false">J185-J188-K188</f>
        <v>#VALUE!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e">
        <f aca="false">S185-S188-T188</f>
        <v>#VALUE!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e">
        <f aca="false">AB185-AB188-AC188</f>
        <v>#VALUE!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-1468.80067122676</v>
      </c>
      <c r="B191" s="102" t="str">
        <f aca="false">B123</f>
        <v>239.99</v>
      </c>
      <c r="C191" s="102"/>
      <c r="D191" s="22"/>
      <c r="E191" s="102" t="n">
        <f aca="false">E188+A191+B191+A194</f>
        <v>22531.1933287732</v>
      </c>
      <c r="F191" s="22"/>
      <c r="G191" s="22"/>
      <c r="H191" s="104"/>
      <c r="J191" s="110" t="e">
        <f aca="false">(J176*K68)+N194-N188-J194</f>
        <v>#VALUE!</v>
      </c>
      <c r="K191" s="37" t="n">
        <f aca="false">K123</f>
        <v>239.99</v>
      </c>
      <c r="L191" s="37"/>
      <c r="M191" s="22"/>
      <c r="N191" s="37" t="e">
        <f aca="false">N188+J191+K191+J194</f>
        <v>#VALUE!</v>
      </c>
      <c r="O191" s="22"/>
      <c r="P191" s="22"/>
      <c r="Q191" s="104"/>
      <c r="S191" s="110" t="e">
        <f aca="false">(S176*T68)+W194-W188-S194</f>
        <v>#VALUE!</v>
      </c>
      <c r="T191" s="37" t="n">
        <f aca="false">T123</f>
        <v>199.99</v>
      </c>
      <c r="U191" s="37"/>
      <c r="V191" s="22"/>
      <c r="W191" s="37" t="e">
        <f aca="false">W188+S191+T191+S194</f>
        <v>#VALUE!</v>
      </c>
      <c r="X191" s="22"/>
      <c r="Y191" s="22"/>
      <c r="Z191" s="104"/>
      <c r="AB191" s="110" t="e">
        <f aca="false">(AB176*AC68)+AF194-AF188-AB194</f>
        <v>#VALUE!</v>
      </c>
      <c r="AC191" s="37" t="n">
        <f aca="false">AC123</f>
        <v>239.99</v>
      </c>
      <c r="AD191" s="37"/>
      <c r="AE191" s="22"/>
      <c r="AF191" s="37" t="e">
        <f aca="false">AF188+AB191+AC191+AB194</f>
        <v>#VALUE!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</f>
        <v>239.99</v>
      </c>
      <c r="C194" s="102"/>
      <c r="D194" s="22"/>
      <c r="E194" s="102" t="n">
        <f aca="false">IF( E179=0 , A194+E176, E179+A194)</f>
        <v>6010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J18*0.000002*100*1.2</f>
        <v>8.97696</v>
      </c>
      <c r="B197" s="102" t="n">
        <f aca="false">(G167*B76)/1.2</f>
        <v>98.95835</v>
      </c>
      <c r="C197" s="92"/>
      <c r="D197" s="92"/>
      <c r="E197" s="102" t="n">
        <f aca="false">K55*A117*0.1</f>
        <v>18</v>
      </c>
      <c r="F197" s="22"/>
      <c r="G197" s="22"/>
      <c r="H197" s="32"/>
      <c r="J197" s="110" t="n">
        <f aca="false">IF(N114="YES",H15*0.000002,0)</f>
        <v>0</v>
      </c>
      <c r="K197" s="37" t="e">
        <f aca="false">(P167*K76)/1.2</f>
        <v>#VALUE!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e">
        <f aca="false">(Y167*T76)/1.2</f>
        <v>#VALUE!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e">
        <f aca="false">(AH167*AC76)/1.2</f>
        <v>#VALUE!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(B191/1.2)-100</f>
        <v>99.9916666666667</v>
      </c>
      <c r="B200" s="102" t="n">
        <f aca="false">B197+E197+A200</f>
        <v>216.950016666667</v>
      </c>
      <c r="C200" s="92"/>
      <c r="D200" s="92"/>
      <c r="E200" s="102" t="n">
        <f aca="false">H157</f>
        <v>1791.67</v>
      </c>
      <c r="F200" s="22"/>
      <c r="G200" s="22"/>
      <c r="H200" s="32"/>
      <c r="J200" s="110" t="n">
        <f aca="false">K194-100</f>
        <v>1139.99</v>
      </c>
      <c r="K200" s="37" t="e">
        <f aca="false">K197+N197+J200</f>
        <v>#VALUE!</v>
      </c>
      <c r="L200" s="31"/>
      <c r="M200" s="31"/>
      <c r="N200" s="37" t="e">
        <f aca="false">Q157</f>
        <v>#VALUE!</v>
      </c>
      <c r="O200" s="22"/>
      <c r="P200" s="22"/>
      <c r="Q200" s="32"/>
      <c r="S200" s="110" t="n">
        <f aca="false">T194-100</f>
        <v>1099.99</v>
      </c>
      <c r="T200" s="37" t="e">
        <f aca="false">T197+W197+S200</f>
        <v>#VALUE!</v>
      </c>
      <c r="U200" s="31"/>
      <c r="V200" s="31"/>
      <c r="W200" s="37" t="e">
        <f aca="false">Z157</f>
        <v>#VALUE!</v>
      </c>
      <c r="X200" s="31"/>
      <c r="Y200" s="31"/>
      <c r="Z200" s="32"/>
      <c r="AB200" s="110" t="n">
        <f aca="false">AC194-100</f>
        <v>1139.99</v>
      </c>
      <c r="AC200" s="37" t="e">
        <f aca="false">AC197+AF197+AB200</f>
        <v>#VALUE!</v>
      </c>
      <c r="AD200" s="31"/>
      <c r="AE200" s="31"/>
      <c r="AF200" s="37" t="e">
        <f aca="false">AI157</f>
        <v>#VALUE!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12</v>
      </c>
      <c r="B206" s="73" t="n">
        <f aca="false">B105</f>
        <v>1565.20030261575</v>
      </c>
      <c r="C206" s="73"/>
      <c r="D206" s="73"/>
      <c r="E206" s="22"/>
      <c r="F206" s="22"/>
      <c r="G206" s="22"/>
      <c r="H206" s="32"/>
      <c r="J206" s="72" t="str">
        <f aca="false">K29</f>
        <v>12</v>
      </c>
      <c r="K206" s="73" t="e">
        <f aca="false">K105</f>
        <v>#VALUE!</v>
      </c>
      <c r="L206" s="73"/>
      <c r="M206" s="73"/>
      <c r="N206" s="22"/>
      <c r="O206" s="22"/>
      <c r="P206" s="22"/>
      <c r="Q206" s="32"/>
      <c r="S206" s="72" t="str">
        <f aca="false">K29</f>
        <v>12</v>
      </c>
      <c r="T206" s="73" t="e">
        <f aca="false">T105</f>
        <v>#VALUE!</v>
      </c>
      <c r="U206" s="73"/>
      <c r="V206" s="73"/>
      <c r="W206" s="22"/>
      <c r="X206" s="22"/>
      <c r="Y206" s="22"/>
      <c r="Z206" s="32"/>
      <c r="AB206" s="72" t="str">
        <f aca="false">K29</f>
        <v>12</v>
      </c>
      <c r="AC206" s="73" t="e">
        <f aca="false">AC105</f>
        <v>#VALUE!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-2282.24399999999</v>
      </c>
      <c r="B210" s="185" t="n">
        <f aca="false">E188+A210+B191+A194</f>
        <v>21717.75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12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1480.10939352484</v>
      </c>
      <c r="B221" s="176" t="n">
        <f aca="false">B176</f>
        <v>85.0909090909091</v>
      </c>
      <c r="C221" s="173"/>
      <c r="D221" s="173"/>
      <c r="E221" s="176" t="n">
        <f aca="false">E176</f>
        <v>1565.20030261575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19791.67</v>
      </c>
      <c r="B224" s="102" t="n">
        <f aca="false">B182</f>
        <v>3958.334</v>
      </c>
      <c r="C224" s="185"/>
      <c r="D224" s="112"/>
      <c r="E224" s="181" t="n">
        <f aca="false">E182</f>
        <v>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23750.004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23750.004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-1468.80067122676</v>
      </c>
      <c r="B233" s="102" t="str">
        <f aca="false">B191</f>
        <v>239.99</v>
      </c>
      <c r="C233" s="102"/>
      <c r="D233" s="112"/>
      <c r="E233" s="102" t="n">
        <f aca="false">E191</f>
        <v>22531.1933287732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239.99</v>
      </c>
      <c r="C236" s="102"/>
      <c r="D236" s="112"/>
      <c r="E236" s="102" t="n">
        <f aca="false">B68</f>
        <v>11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1480.10939352484</v>
      </c>
      <c r="B239" s="102" t="n">
        <f aca="false">B176</f>
        <v>85.0909090909091</v>
      </c>
      <c r="C239" s="185"/>
      <c r="D239" s="185"/>
      <c r="E239" s="102" t="n">
        <f aca="false">E176</f>
        <v>1565.20030261575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6000</v>
      </c>
      <c r="B242" s="102" t="n">
        <f aca="false">E194</f>
        <v>6010</v>
      </c>
      <c r="C242" s="92"/>
      <c r="D242" s="92"/>
      <c r="E242" s="102" t="n">
        <f aca="false">J18*0.000006*100*1.2</f>
        <v>26.93088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8.97696</v>
      </c>
      <c r="B245" s="102" t="n">
        <f aca="false">E242+A245</f>
        <v>35.90784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1791.67</v>
      </c>
      <c r="B249" s="102" t="n">
        <f aca="false">B197</f>
        <v>98.95835</v>
      </c>
      <c r="C249" s="92"/>
      <c r="D249" s="92"/>
      <c r="E249" s="102" t="n">
        <f aca="false">E197</f>
        <v>18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99.9916666666667</v>
      </c>
      <c r="B252" s="102" t="n">
        <f aca="false">B249+E249+A252+A249</f>
        <v>2008.62001666666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0.1255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8" t="n">
        <f aca="false">(E191-B191)-(B210-B191-A194)</f>
        <v>823.443328773243</v>
      </c>
      <c r="C263" s="196"/>
      <c r="D263" s="197" t="s">
        <v>217</v>
      </c>
      <c r="E263" s="197"/>
      <c r="F263" s="199" t="n">
        <f aca="false">F270+F276+F278+B279+B280</f>
        <v>118.75002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279.991666666667</v>
      </c>
      <c r="C264" s="196"/>
      <c r="D264" s="197" t="s">
        <v>219</v>
      </c>
      <c r="E264" s="197"/>
      <c r="F264" s="199" t="n">
        <f aca="false">(B263-F263)+B264</f>
        <v>984.68497543991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0.1255</v>
      </c>
      <c r="C269" s="42"/>
      <c r="D269" s="165" t="s">
        <v>216</v>
      </c>
      <c r="E269" s="165"/>
      <c r="F269" s="145" t="n">
        <f aca="false">B263</f>
        <v>823.443328773243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0.005</v>
      </c>
      <c r="C270" s="31"/>
      <c r="D270" s="165" t="s">
        <v>222</v>
      </c>
      <c r="E270" s="165"/>
      <c r="F270" s="150" t="n">
        <f aca="false">B77</f>
        <v>118.75002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0.3</v>
      </c>
      <c r="C271" s="31"/>
      <c r="D271" s="165" t="s">
        <v>223</v>
      </c>
      <c r="E271" s="165"/>
      <c r="F271" s="145" t="n">
        <f aca="false">E249*10</f>
        <v>180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99.9916666666667</v>
      </c>
      <c r="C272" s="31"/>
      <c r="D272" s="38" t="s">
        <v>219</v>
      </c>
      <c r="E272" s="38"/>
      <c r="F272" s="145" t="n">
        <f aca="false">(B263-F263)+B264</f>
        <v>984.68497543991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75" colorId="64" zoomScale="85" zoomScaleNormal="85" zoomScalePageLayoutView="100" workbookViewId="0">
      <selection pane="topLeft" activeCell="A191" activeCellId="0" sqref="A191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4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 t="s">
        <v>4</v>
      </c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12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n">
        <f aca="false">A46</f>
        <v>0</v>
      </c>
      <c r="M32" s="43" t="s">
        <v>37</v>
      </c>
      <c r="N32" s="44" t="s">
        <v>38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  <c r="M33" s="43"/>
      <c r="N33" s="12"/>
    </row>
    <row r="34" customFormat="false" ht="19.5" hidden="false" customHeight="false" outlineLevel="0" collapsed="false">
      <c r="A34" s="39" t="s">
        <v>42</v>
      </c>
      <c r="B34" s="31"/>
      <c r="C34" s="40" t="s">
        <v>43</v>
      </c>
      <c r="D34" s="40"/>
      <c r="E34" s="31"/>
      <c r="F34" s="40" t="n">
        <f aca="false">(A34/12)*C34</f>
        <v>5000</v>
      </c>
      <c r="G34" s="40"/>
      <c r="H34" s="46"/>
      <c r="I34" s="2"/>
      <c r="J34" s="2"/>
      <c r="K34" s="2"/>
      <c r="M34" s="43" t="s">
        <v>44</v>
      </c>
      <c r="N34" s="48" t="s">
        <v>45</v>
      </c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50" t="n">
        <v>0.065</v>
      </c>
      <c r="M35" s="43"/>
      <c r="N35" s="12" t="n">
        <v>0.065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11</v>
      </c>
      <c r="M36" s="43" t="s">
        <v>51</v>
      </c>
      <c r="N36" s="51" t="n">
        <f aca="false">N32-N34</f>
        <v>22125</v>
      </c>
    </row>
    <row r="37" customFormat="false" ht="19.5" hidden="false" customHeight="false" outlineLevel="0" collapsed="false">
      <c r="A37" s="35" t="n">
        <f aca="false">E19</f>
        <v>21600</v>
      </c>
      <c r="B37" s="31"/>
      <c r="C37" s="40" t="s">
        <v>45</v>
      </c>
      <c r="D37" s="40"/>
      <c r="E37" s="31"/>
      <c r="F37" s="42" t="n">
        <f aca="false">A37-C37</f>
        <v>20600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42</v>
      </c>
      <c r="B40" s="31"/>
      <c r="C40" s="53" t="n">
        <f aca="false">A34-1</f>
        <v>11</v>
      </c>
      <c r="D40" s="53"/>
      <c r="E40" s="31"/>
      <c r="F40" s="40" t="s">
        <v>57</v>
      </c>
      <c r="G40" s="40"/>
      <c r="H40" s="46"/>
      <c r="J40" s="2" t="s">
        <v>58</v>
      </c>
      <c r="K40" s="2" t="n">
        <f aca="false">C15</f>
        <v>3600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n">
        <f aca="false">IF(F43="Yes",A46,0)</f>
        <v>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</v>
      </c>
      <c r="B43" s="31"/>
      <c r="C43" s="40" t="n">
        <v>20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12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216.666666666667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283.333333333333</v>
      </c>
      <c r="L45" s="2"/>
    </row>
    <row r="46" customFormat="false" ht="19.5" hidden="false" customHeight="false" outlineLevel="0" collapsed="false">
      <c r="A46" s="39" t="n">
        <v>0</v>
      </c>
      <c r="B46" s="31"/>
      <c r="C46" s="40" t="n">
        <v>1</v>
      </c>
      <c r="D46" s="40"/>
      <c r="E46" s="31"/>
      <c r="F46" s="40" t="n">
        <v>1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1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1.66666666666667</v>
      </c>
      <c r="L48" s="2"/>
    </row>
    <row r="49" customFormat="false" ht="18.75" hidden="false" customHeight="false" outlineLevel="0" collapsed="false">
      <c r="A49" s="35" t="n">
        <f aca="false">C46+F46</f>
        <v>2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286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286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249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12</v>
      </c>
      <c r="B60" s="73" t="n">
        <f aca="false">K49</f>
        <v>286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 t="s">
        <v>4</v>
      </c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 t="s">
        <v>4</v>
      </c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 t="s">
        <v>4</v>
      </c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 t="s">
        <v>4</v>
      </c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11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11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11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11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37404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37404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37404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37404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0.0105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16269.2033287732</v>
      </c>
      <c r="C74" s="31"/>
      <c r="D74" s="31"/>
      <c r="E74" s="22"/>
      <c r="F74" s="22"/>
      <c r="G74" s="22"/>
      <c r="H74" s="32"/>
      <c r="J74" s="55" t="s">
        <v>91</v>
      </c>
      <c r="K74" s="64" t="e">
        <f aca="false">(K98*K68)-(K47*K29)</f>
        <v>#VALUE!</v>
      </c>
      <c r="L74" s="31"/>
      <c r="M74" s="31"/>
      <c r="N74" s="22"/>
      <c r="O74" s="22"/>
      <c r="P74" s="22"/>
      <c r="Q74" s="32"/>
      <c r="S74" s="55" t="s">
        <v>91</v>
      </c>
      <c r="T74" s="64" t="e">
        <f aca="false">(T98*T68)-(K47*K29)</f>
        <v>#VALUE!</v>
      </c>
      <c r="U74" s="31"/>
      <c r="V74" s="31"/>
      <c r="W74" s="22"/>
      <c r="X74" s="22"/>
      <c r="Y74" s="22"/>
      <c r="Z74" s="32"/>
      <c r="AB74" s="55" t="s">
        <v>91</v>
      </c>
      <c r="AC74" s="64" t="e">
        <f aca="false">(AC98*AC68)-(K47*K29)</f>
        <v>#VALUE!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118.75002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1870.2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187.02</v>
      </c>
      <c r="U77" s="31"/>
      <c r="V77" s="31"/>
      <c r="W77" s="22"/>
      <c r="X77" s="22"/>
      <c r="Y77" s="22"/>
      <c r="Z77" s="32"/>
      <c r="AB77" s="55" t="s">
        <v>94</v>
      </c>
      <c r="AC77" s="64" t="e">
        <f aca="false">AH167*AC76</f>
        <v>#VALUE!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286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1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286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286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20600</v>
      </c>
      <c r="C90" s="31"/>
      <c r="D90" s="31"/>
      <c r="E90" s="22"/>
      <c r="F90" s="24" t="s">
        <v>106</v>
      </c>
      <c r="G90" s="26" t="n">
        <f aca="false">F37</f>
        <v>20600</v>
      </c>
      <c r="H90" s="32"/>
      <c r="J90" s="24" t="s">
        <v>106</v>
      </c>
      <c r="K90" s="26" t="e">
        <f aca="false">P167</f>
        <v>#VALUE!</v>
      </c>
      <c r="L90" s="31"/>
      <c r="M90" s="31"/>
      <c r="N90" s="22"/>
      <c r="O90" s="22"/>
      <c r="P90" s="22"/>
      <c r="Q90" s="32"/>
      <c r="S90" s="24" t="s">
        <v>106</v>
      </c>
      <c r="T90" s="26" t="e">
        <f aca="false">Y167</f>
        <v>#VALUE!</v>
      </c>
      <c r="U90" s="31"/>
      <c r="V90" s="31"/>
      <c r="W90" s="22"/>
      <c r="X90" s="22"/>
      <c r="Y90" s="22"/>
      <c r="Z90" s="32"/>
      <c r="AB90" s="24" t="s">
        <v>106</v>
      </c>
      <c r="AC90" s="26" t="e">
        <f aca="false">AH167</f>
        <v>#VALUE!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</f>
        <v>6000</v>
      </c>
      <c r="C91" s="31"/>
      <c r="D91" s="31"/>
      <c r="E91" s="22"/>
      <c r="F91" s="30" t="s">
        <v>107</v>
      </c>
      <c r="G91" s="32" t="n">
        <f aca="false">IF(A111="YES",A43,0)</f>
        <v>6000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0.1255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0.0104583333333333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11</v>
      </c>
      <c r="C94" s="31"/>
      <c r="D94" s="31"/>
      <c r="E94" s="22"/>
      <c r="F94" s="30" t="s">
        <v>110</v>
      </c>
      <c r="G94" s="32" t="n">
        <f aca="false">IF(G91=0,(B68+B67),(B68))</f>
        <v>11</v>
      </c>
      <c r="H94" s="32"/>
      <c r="J94" s="30" t="s">
        <v>110</v>
      </c>
      <c r="K94" s="32" t="n">
        <f aca="false">IF(K91=0,(K68+K67),(K68))</f>
        <v>12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11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11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5295.78483323301</v>
      </c>
      <c r="C95" s="31"/>
      <c r="D95" s="31"/>
      <c r="E95" s="22"/>
      <c r="F95" s="30" t="s">
        <v>111</v>
      </c>
      <c r="G95" s="32" t="n">
        <f aca="false">(G91/((1+G93)^(G94+1)))</f>
        <v>5623.39108453416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10.6125560515631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10.6125560515631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10.3399216528992</v>
      </c>
      <c r="C96" s="31"/>
      <c r="D96" s="31"/>
      <c r="E96" s="22"/>
      <c r="F96" s="30" t="s">
        <v>112</v>
      </c>
      <c r="G96" s="32" t="n">
        <f aca="false">((1-(1/((1+G93)^G94)))/G93)</f>
        <v>10.6507347822959</v>
      </c>
      <c r="H96" s="32"/>
      <c r="J96" s="30" t="s">
        <v>112</v>
      </c>
      <c r="K96" s="32" t="n">
        <f aca="false">((1-(1/((1+K93)^K94)))/K93)</f>
        <v>10.5753412209172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10.3499842839909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10.3499842839909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15304.215166767</v>
      </c>
      <c r="C97" s="31"/>
      <c r="D97" s="31"/>
      <c r="E97" s="22"/>
      <c r="F97" s="30" t="s">
        <v>113</v>
      </c>
      <c r="G97" s="32" t="n">
        <f aca="false">G90-G95</f>
        <v>14976.6089154658</v>
      </c>
      <c r="H97" s="32"/>
      <c r="J97" s="30" t="s">
        <v>113</v>
      </c>
      <c r="K97" s="32" t="e">
        <f aca="false">K90-K95</f>
        <v>#VALUE!</v>
      </c>
      <c r="L97" s="31"/>
      <c r="M97" s="31"/>
      <c r="N97" s="22"/>
      <c r="O97" s="22"/>
      <c r="P97" s="22"/>
      <c r="Q97" s="32"/>
      <c r="S97" s="30" t="s">
        <v>113</v>
      </c>
      <c r="T97" s="32" t="e">
        <f aca="false">T90-T95</f>
        <v>#VALUE!</v>
      </c>
      <c r="U97" s="31"/>
      <c r="V97" s="31"/>
      <c r="W97" s="22"/>
      <c r="X97" s="22"/>
      <c r="Y97" s="22"/>
      <c r="Z97" s="32"/>
      <c r="AB97" s="30" t="s">
        <v>113</v>
      </c>
      <c r="AC97" s="32" t="e">
        <f aca="false">AC90-AC95</f>
        <v>#VALUE!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1480.10939352484</v>
      </c>
      <c r="C98" s="31"/>
      <c r="D98" s="31"/>
      <c r="E98" s="22"/>
      <c r="F98" s="30" t="s">
        <v>114</v>
      </c>
      <c r="G98" s="32" t="n">
        <f aca="false">(G97/G96)</f>
        <v>1406.1573423423</v>
      </c>
      <c r="H98" s="32"/>
      <c r="J98" s="30" t="s">
        <v>114</v>
      </c>
      <c r="K98" s="32" t="e">
        <f aca="false">(K97/K96)</f>
        <v>#VALUE!</v>
      </c>
      <c r="L98" s="31"/>
      <c r="M98" s="31"/>
      <c r="N98" s="22"/>
      <c r="O98" s="22"/>
      <c r="P98" s="22"/>
      <c r="Q98" s="32"/>
      <c r="S98" s="30" t="s">
        <v>114</v>
      </c>
      <c r="T98" s="32" t="e">
        <f aca="false">(T97/T96)</f>
        <v>#VALUE!</v>
      </c>
      <c r="U98" s="31"/>
      <c r="V98" s="31"/>
      <c r="W98" s="22"/>
      <c r="X98" s="22"/>
      <c r="Y98" s="22"/>
      <c r="Z98" s="32"/>
      <c r="AB98" s="30" t="s">
        <v>114</v>
      </c>
      <c r="AC98" s="32" t="e">
        <f aca="false">(AC97/AC96)</f>
        <v>#VALUE!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16281.2033287732</v>
      </c>
      <c r="C99" s="31"/>
      <c r="D99" s="31"/>
      <c r="E99" s="22"/>
      <c r="F99" s="30" t="s">
        <v>115</v>
      </c>
      <c r="G99" s="32" t="n">
        <f aca="false">((G98*(G94))+G86)</f>
        <v>15467.7307657653</v>
      </c>
      <c r="H99" s="32"/>
      <c r="J99" s="30" t="s">
        <v>115</v>
      </c>
      <c r="K99" s="32" t="e">
        <f aca="false">((K98*(K94))+K86)</f>
        <v>#VALUE!</v>
      </c>
      <c r="L99" s="31"/>
      <c r="M99" s="31"/>
      <c r="N99" s="22"/>
      <c r="O99" s="22"/>
      <c r="P99" s="22"/>
      <c r="Q99" s="32"/>
      <c r="S99" s="30" t="s">
        <v>115</v>
      </c>
      <c r="T99" s="32" t="e">
        <f aca="false">(T98*(T94))+T86</f>
        <v>#VALUE!</v>
      </c>
      <c r="U99" s="31"/>
      <c r="V99" s="31"/>
      <c r="W99" s="22"/>
      <c r="X99" s="22"/>
      <c r="Y99" s="22"/>
      <c r="Z99" s="32"/>
      <c r="AB99" s="30" t="s">
        <v>115</v>
      </c>
      <c r="AC99" s="32" t="e">
        <f aca="false">(AC98*(AC68))+AC86</f>
        <v>#VALUE!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e">
        <f aca="false">(K99/(1-K80))*K80</f>
        <v>#VALUE!</v>
      </c>
      <c r="L100" s="31"/>
      <c r="M100" s="31"/>
      <c r="N100" s="22"/>
      <c r="O100" s="22"/>
      <c r="P100" s="22"/>
      <c r="Q100" s="32"/>
      <c r="S100" s="30" t="s">
        <v>116</v>
      </c>
      <c r="T100" s="32" t="e">
        <f aca="false">(T99/(1-T80))*T80</f>
        <v>#VALUE!</v>
      </c>
      <c r="U100" s="31"/>
      <c r="V100" s="31"/>
      <c r="W100" s="22"/>
      <c r="X100" s="22"/>
      <c r="Y100" s="22"/>
      <c r="Z100" s="32"/>
      <c r="AB100" s="30" t="s">
        <v>116</v>
      </c>
      <c r="AC100" s="32" t="e">
        <f aca="false">(AC99/(1-AC80))*AC80</f>
        <v>#VALUE!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16281.2033287732</v>
      </c>
      <c r="C101" s="31"/>
      <c r="D101" s="31"/>
      <c r="E101" s="22"/>
      <c r="F101" s="55" t="s">
        <v>117</v>
      </c>
      <c r="G101" s="64" t="n">
        <f aca="false">(G99+G100)</f>
        <v>15467.7307657653</v>
      </c>
      <c r="H101" s="32"/>
      <c r="J101" s="55" t="s">
        <v>117</v>
      </c>
      <c r="K101" s="64" t="e">
        <f aca="false">(K99+K100)</f>
        <v>#VALUE!</v>
      </c>
      <c r="L101" s="31"/>
      <c r="M101" s="31"/>
      <c r="N101" s="22"/>
      <c r="O101" s="22"/>
      <c r="P101" s="22"/>
      <c r="Q101" s="32"/>
      <c r="S101" s="55" t="s">
        <v>117</v>
      </c>
      <c r="T101" s="64" t="e">
        <f aca="false">(T99+T100)</f>
        <v>#VALUE!</v>
      </c>
      <c r="U101" s="31"/>
      <c r="V101" s="31"/>
      <c r="W101" s="22"/>
      <c r="X101" s="22"/>
      <c r="Y101" s="22"/>
      <c r="Z101" s="32"/>
      <c r="AB101" s="55" t="s">
        <v>117</v>
      </c>
      <c r="AC101" s="64" t="e">
        <f aca="false">(AC99+AC100)</f>
        <v>#VALUE!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</f>
        <v>0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1480.10939352484</v>
      </c>
      <c r="C104" s="31"/>
      <c r="D104" s="31"/>
      <c r="E104" s="22"/>
      <c r="F104" s="94" t="s">
        <v>119</v>
      </c>
      <c r="G104" s="95" t="n">
        <f aca="false">G101/(G94)</f>
        <v>1406.1573423423</v>
      </c>
      <c r="H104" s="32"/>
      <c r="J104" s="94" t="s">
        <v>119</v>
      </c>
      <c r="K104" s="95" t="e">
        <f aca="false">K101/(K94)</f>
        <v>#VALUE!</v>
      </c>
      <c r="L104" s="31"/>
      <c r="M104" s="31"/>
      <c r="N104" s="22"/>
      <c r="O104" s="22"/>
      <c r="P104" s="22"/>
      <c r="Q104" s="32"/>
      <c r="S104" s="94" t="s">
        <v>119</v>
      </c>
      <c r="T104" s="95" t="e">
        <f aca="false">T101/(T94)</f>
        <v>#VALUE!</v>
      </c>
      <c r="U104" s="31"/>
      <c r="V104" s="31"/>
      <c r="W104" s="22"/>
      <c r="X104" s="22"/>
      <c r="Y104" s="22"/>
      <c r="Z104" s="32"/>
      <c r="AB104" s="94" t="s">
        <v>119</v>
      </c>
      <c r="AC104" s="95" t="e">
        <f aca="false">AC101/(AC68)</f>
        <v>#VALUE!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1480.10939352484</v>
      </c>
      <c r="C105" s="31"/>
      <c r="D105" s="31"/>
      <c r="E105" s="22" t="s">
        <v>18</v>
      </c>
      <c r="F105" s="96" t="s">
        <v>120</v>
      </c>
      <c r="G105" s="97" t="n">
        <f aca="false">G103+G104</f>
        <v>1406.1573423423</v>
      </c>
      <c r="H105" s="32"/>
      <c r="J105" s="96" t="s">
        <v>120</v>
      </c>
      <c r="K105" s="97" t="e">
        <f aca="false">(K103+K104)</f>
        <v>#VALUE!</v>
      </c>
      <c r="L105" s="31"/>
      <c r="M105" s="31"/>
      <c r="N105" s="22"/>
      <c r="O105" s="22"/>
      <c r="P105" s="22"/>
      <c r="Q105" s="32"/>
      <c r="S105" s="96" t="s">
        <v>120</v>
      </c>
      <c r="T105" s="97" t="e">
        <f aca="false">T103+T104</f>
        <v>#VALUE!</v>
      </c>
      <c r="U105" s="31"/>
      <c r="V105" s="31"/>
      <c r="W105" s="22"/>
      <c r="X105" s="22"/>
      <c r="Y105" s="22"/>
      <c r="Z105" s="32"/>
      <c r="AB105" s="96" t="s">
        <v>120</v>
      </c>
      <c r="AC105" s="97" t="e">
        <f aca="false">AC103+AC104</f>
        <v>#VALUE!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n">
        <v>0</v>
      </c>
      <c r="C108" s="22"/>
      <c r="D108" s="22" t="n">
        <v>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 t="s">
        <v>235</v>
      </c>
      <c r="C114" s="102"/>
      <c r="D114" s="102"/>
      <c r="E114" s="103" t="s">
        <v>19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0.2</v>
      </c>
      <c r="B117" s="106" t="s">
        <v>133</v>
      </c>
      <c r="C117" s="106"/>
      <c r="D117" s="106"/>
      <c r="E117" s="107" t="n">
        <f aca="false">B92</f>
        <v>0.1255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 t="s">
        <v>4</v>
      </c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235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112"/>
      <c r="C127" s="112"/>
      <c r="D127" s="112"/>
      <c r="E127" s="112"/>
      <c r="F127" s="112"/>
      <c r="G127" s="11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119" t="n">
        <f aca="false">E19</f>
        <v>21600</v>
      </c>
      <c r="C130" s="120" t="n">
        <v>19791.67</v>
      </c>
      <c r="D130" s="119" t="n">
        <f aca="false">D12</f>
        <v>0</v>
      </c>
      <c r="E130" s="120" t="n">
        <f aca="false">D130</f>
        <v>0</v>
      </c>
      <c r="F130" s="119" t="n">
        <v>0</v>
      </c>
      <c r="G130" s="120" t="n">
        <f aca="false">F130</f>
        <v>0</v>
      </c>
      <c r="H130" s="121" t="n">
        <f aca="false">H12</f>
        <v>0</v>
      </c>
      <c r="J130" s="24" t="s">
        <v>150</v>
      </c>
      <c r="K130" s="24" t="n">
        <f aca="false">B3</f>
        <v>0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str">
        <f aca="false">F3</f>
        <v> </v>
      </c>
      <c r="P130" s="39" t="str">
        <f aca="false">O130</f>
        <v> </v>
      </c>
      <c r="Q130" s="121" t="n">
        <f aca="false">H3</f>
        <v>0</v>
      </c>
      <c r="S130" s="24" t="s">
        <v>150</v>
      </c>
      <c r="T130" s="24" t="n">
        <f aca="false">B3</f>
        <v>0</v>
      </c>
      <c r="U130" s="39" t="n">
        <f aca="false">T130</f>
        <v>0</v>
      </c>
      <c r="V130" s="24" t="n">
        <f aca="false">D3</f>
        <v>0</v>
      </c>
      <c r="W130" s="39" t="n">
        <f aca="false">V130</f>
        <v>0</v>
      </c>
      <c r="X130" s="24" t="str">
        <f aca="false">F3</f>
        <v> </v>
      </c>
      <c r="Y130" s="39" t="str">
        <f aca="false">X130</f>
        <v> </v>
      </c>
      <c r="Z130" s="121" t="n">
        <f aca="false">H3</f>
        <v>0</v>
      </c>
      <c r="AB130" s="24" t="s">
        <v>150</v>
      </c>
      <c r="AC130" s="24" t="n">
        <f aca="false">B3</f>
        <v>0</v>
      </c>
      <c r="AD130" s="39" t="n">
        <f aca="false">AC130</f>
        <v>0</v>
      </c>
      <c r="AE130" s="24" t="n">
        <f aca="false">D3</f>
        <v>0</v>
      </c>
      <c r="AF130" s="39" t="n">
        <f aca="false">AE130</f>
        <v>0</v>
      </c>
      <c r="AG130" s="24" t="str">
        <f aca="false">F3</f>
        <v> </v>
      </c>
      <c r="AH130" s="39" t="str">
        <f aca="false">AG130</f>
        <v> 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2" t="n">
        <v>0</v>
      </c>
      <c r="C131" s="123" t="n">
        <f aca="false">B131</f>
        <v>0</v>
      </c>
      <c r="D131" s="122" t="n">
        <v>0</v>
      </c>
      <c r="E131" s="123" t="n">
        <f aca="false">D131</f>
        <v>0</v>
      </c>
      <c r="F131" s="122" t="n">
        <v>0</v>
      </c>
      <c r="G131" s="124" t="n">
        <f aca="false">F131</f>
        <v>0</v>
      </c>
      <c r="H131" s="125"/>
      <c r="J131" s="30" t="s">
        <v>151</v>
      </c>
      <c r="K131" s="126" t="n">
        <f aca="false">B4</f>
        <v>21600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str">
        <f aca="false">F4</f>
        <v> </v>
      </c>
      <c r="P131" s="127" t="str">
        <f aca="false">O131</f>
        <v> </v>
      </c>
      <c r="Q131" s="128"/>
      <c r="S131" s="30" t="s">
        <v>151</v>
      </c>
      <c r="T131" s="126" t="n">
        <f aca="false">B4</f>
        <v>21600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str">
        <f aca="false">F4</f>
        <v> </v>
      </c>
      <c r="Y131" s="127" t="str">
        <f aca="false">X131</f>
        <v> </v>
      </c>
      <c r="Z131" s="128"/>
      <c r="AB131" s="30" t="s">
        <v>151</v>
      </c>
      <c r="AC131" s="126" t="n">
        <f aca="false">B4</f>
        <v>21600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str">
        <f aca="false">F4</f>
        <v> </v>
      </c>
      <c r="AH131" s="127" t="str">
        <f aca="false">AG131</f>
        <v> </v>
      </c>
      <c r="AI131" s="128"/>
    </row>
    <row r="132" customFormat="false" ht="19.5" hidden="false" customHeight="false" outlineLevel="0" collapsed="false">
      <c r="A132" s="30" t="s">
        <v>152</v>
      </c>
      <c r="B132" s="129" t="n">
        <v>0</v>
      </c>
      <c r="C132" s="120" t="n">
        <f aca="false">B132</f>
        <v>0</v>
      </c>
      <c r="D132" s="129" t="n">
        <v>0</v>
      </c>
      <c r="E132" s="120" t="n">
        <f aca="false">D132</f>
        <v>0</v>
      </c>
      <c r="F132" s="129" t="n">
        <v>0</v>
      </c>
      <c r="G132" s="120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str">
        <f aca="false">F5</f>
        <v> </v>
      </c>
      <c r="P132" s="39" t="str">
        <f aca="false">O132</f>
        <v> 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str">
        <f aca="false">F5</f>
        <v> </v>
      </c>
      <c r="Y132" s="39" t="str">
        <f aca="false">X132</f>
        <v> 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str">
        <f aca="false">F5</f>
        <v> </v>
      </c>
      <c r="AH132" s="39" t="str">
        <f aca="false">AG132</f>
        <v> </v>
      </c>
      <c r="AI132" s="32"/>
    </row>
    <row r="133" customFormat="false" ht="18.75" hidden="false" customHeight="false" outlineLevel="0" collapsed="false">
      <c r="A133" s="30" t="s">
        <v>153</v>
      </c>
      <c r="B133" s="129" t="n">
        <f aca="false">(B130*B131)+B132</f>
        <v>0</v>
      </c>
      <c r="C133" s="130" t="n">
        <f aca="false">(C130*C131/100)+C132</f>
        <v>0</v>
      </c>
      <c r="D133" s="129" t="n">
        <f aca="false">(D130*D131)+D132</f>
        <v>0</v>
      </c>
      <c r="E133" s="130" t="n">
        <f aca="false">(E130*E131/100)+E132</f>
        <v>0</v>
      </c>
      <c r="F133" s="129" t="n">
        <f aca="false">(F130*F131)+F132</f>
        <v>0</v>
      </c>
      <c r="G133" s="130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e">
        <f aca="false">(O130*O131)+O132</f>
        <v>#VALUE!</v>
      </c>
      <c r="P133" s="26" t="e">
        <f aca="false">(P130*P131)+P132</f>
        <v>#VALUE!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0</v>
      </c>
      <c r="V133" s="30" t="n">
        <f aca="false">(V130*V131)+V132</f>
        <v>0</v>
      </c>
      <c r="W133" s="26" t="n">
        <f aca="false">(W130*W131)+W132</f>
        <v>0</v>
      </c>
      <c r="X133" s="30" t="e">
        <f aca="false">(X130*X131)+X132</f>
        <v>#VALUE!</v>
      </c>
      <c r="Y133" s="26" t="e">
        <f aca="false">(Y130*Y131)+Y132</f>
        <v>#VALUE!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0</v>
      </c>
      <c r="AE133" s="30" t="n">
        <f aca="false">(AE130*AE131)+AE132</f>
        <v>0</v>
      </c>
      <c r="AF133" s="26" t="n">
        <f aca="false">(AF130*AF131)+AF132</f>
        <v>0</v>
      </c>
      <c r="AG133" s="30" t="e">
        <f aca="false">(AG130*AG131)+AG132</f>
        <v>#VALUE!</v>
      </c>
      <c r="AH133" s="26" t="e">
        <f aca="false">(AH130*AH131)+AH132</f>
        <v>#VALUE!</v>
      </c>
      <c r="AI133" s="32"/>
    </row>
    <row r="134" customFormat="false" ht="19.5" hidden="false" customHeight="false" outlineLevel="0" collapsed="false">
      <c r="A134" s="55" t="s">
        <v>154</v>
      </c>
      <c r="B134" s="131" t="n">
        <f aca="false">B130-B133</f>
        <v>21600</v>
      </c>
      <c r="C134" s="132" t="n">
        <f aca="false">C130-C133</f>
        <v>19791.67</v>
      </c>
      <c r="D134" s="131" t="n">
        <f aca="false">D130-D133</f>
        <v>0</v>
      </c>
      <c r="E134" s="132" t="n">
        <f aca="false">E130-E133</f>
        <v>0</v>
      </c>
      <c r="F134" s="131" t="n">
        <f aca="false">F130-F133</f>
        <v>0</v>
      </c>
      <c r="G134" s="132" t="n">
        <f aca="false">G130-G133</f>
        <v>0</v>
      </c>
      <c r="H134" s="64"/>
      <c r="J134" s="55" t="s">
        <v>154</v>
      </c>
      <c r="K134" s="55" t="n">
        <f aca="false">K130-K133</f>
        <v>0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e">
        <f aca="false">O130-O133</f>
        <v>#VALUE!</v>
      </c>
      <c r="P134" s="64" t="e">
        <f aca="false">P130-P133</f>
        <v>#VALUE!</v>
      </c>
      <c r="Q134" s="64"/>
      <c r="S134" s="55" t="s">
        <v>154</v>
      </c>
      <c r="T134" s="55" t="n">
        <f aca="false">T130-T133</f>
        <v>0</v>
      </c>
      <c r="U134" s="64" t="n">
        <f aca="false">U130-U133</f>
        <v>0</v>
      </c>
      <c r="V134" s="55" t="n">
        <f aca="false">V130-V133</f>
        <v>0</v>
      </c>
      <c r="W134" s="64" t="n">
        <f aca="false">W130-W133</f>
        <v>0</v>
      </c>
      <c r="X134" s="55" t="e">
        <f aca="false">X130-X133</f>
        <v>#VALUE!</v>
      </c>
      <c r="Y134" s="64" t="e">
        <f aca="false">Y130-Y133</f>
        <v>#VALUE!</v>
      </c>
      <c r="Z134" s="64"/>
      <c r="AB134" s="55" t="s">
        <v>154</v>
      </c>
      <c r="AC134" s="55" t="n">
        <f aca="false">AC130-AC133</f>
        <v>0</v>
      </c>
      <c r="AD134" s="64" t="n">
        <f aca="false">AD130-AD133</f>
        <v>0</v>
      </c>
      <c r="AE134" s="55" t="n">
        <f aca="false">AE130-AE133</f>
        <v>0</v>
      </c>
      <c r="AF134" s="64" t="n">
        <f aca="false">AF130-AF133</f>
        <v>0</v>
      </c>
      <c r="AG134" s="55" t="e">
        <f aca="false">AG130-AG133</f>
        <v>#VALUE!</v>
      </c>
      <c r="AH134" s="64" t="e">
        <f aca="false">AH130-AH133</f>
        <v>#VALUE!</v>
      </c>
      <c r="AI134" s="64"/>
    </row>
    <row r="135" customFormat="false" ht="18.75" hidden="false" customHeight="false" outlineLevel="0" collapsed="false">
      <c r="A135" s="30"/>
      <c r="B135" s="92"/>
      <c r="C135" s="92"/>
      <c r="D135" s="92"/>
      <c r="E135" s="92"/>
      <c r="F135" s="92"/>
      <c r="G135" s="92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4"/>
      <c r="C136" s="134"/>
      <c r="D136" s="134"/>
      <c r="E136" s="134"/>
      <c r="F136" s="134"/>
      <c r="G136" s="135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92"/>
      <c r="C138" s="92"/>
      <c r="D138" s="92"/>
      <c r="E138" s="92"/>
      <c r="F138" s="92"/>
      <c r="G138" s="143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92"/>
      <c r="C143" s="92"/>
      <c r="D143" s="92"/>
      <c r="E143" s="92"/>
      <c r="F143" s="92"/>
      <c r="G143" s="143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5" t="n">
        <f aca="false">E21</f>
        <v>18000</v>
      </c>
      <c r="H144" s="152" t="n">
        <f aca="false">C134+E134+G134+H137</f>
        <v>19791.67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0</v>
      </c>
      <c r="Q144" s="152" t="e">
        <f aca="false">L134+N134+P134+Q137</f>
        <v>#VALUE!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0</v>
      </c>
      <c r="Z144" s="152" t="e">
        <f aca="false">U134+W134+Y134+Z137</f>
        <v>#VALUE!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0</v>
      </c>
      <c r="AI144" s="152" t="e">
        <f aca="false">AD134+AF134+AH134+AI137</f>
        <v>#VALUE!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4" t="n">
        <f aca="false">H19</f>
        <v>0</v>
      </c>
      <c r="H145" s="32" t="n">
        <f aca="false">G145</f>
        <v>0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0</v>
      </c>
      <c r="Q145" s="32" t="n">
        <f aca="false">P145</f>
        <v>0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0</v>
      </c>
      <c r="Z145" s="32" t="n">
        <f aca="false">Y145</f>
        <v>0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0</v>
      </c>
      <c r="AI145" s="32" t="n">
        <f aca="false">AH145</f>
        <v>0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32" t="n">
        <f aca="false">(G144+G145)*20%</f>
        <v>3600</v>
      </c>
      <c r="H146" s="32" t="n">
        <f aca="false">(H144+H145)*20%</f>
        <v>3958.334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0</v>
      </c>
      <c r="Q146" s="32" t="e">
        <f aca="false">(Q144+Q145)*20%</f>
        <v>#VALUE!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0</v>
      </c>
      <c r="Z146" s="32" t="e">
        <f aca="false">(Z144+Z145)*20%</f>
        <v>#VALUE!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0</v>
      </c>
      <c r="AI146" s="32" t="e">
        <f aca="false">(AI144+AI145)*20%</f>
        <v>#VALUE!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4" t="n">
        <f aca="false">H21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4" t="n">
        <f aca="false">H22</f>
        <v>0</v>
      </c>
      <c r="H148" s="32" t="n">
        <f aca="false">G148</f>
        <v>0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0</v>
      </c>
      <c r="Q148" s="32" t="n">
        <f aca="false">P148</f>
        <v>0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0</v>
      </c>
      <c r="Z148" s="32" t="n">
        <f aca="false">Y148</f>
        <v>0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0</v>
      </c>
      <c r="AI148" s="32" t="n">
        <f aca="false">AH148</f>
        <v>0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4" t="n">
        <f aca="false">H23</f>
        <v>0</v>
      </c>
      <c r="H149" s="32" t="n">
        <f aca="false">G149</f>
        <v>0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0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0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0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6" t="n">
        <f aca="false">(G144+G145+G148+G149+G146)-G147</f>
        <v>21600</v>
      </c>
      <c r="H150" s="156" t="n">
        <f aca="false">(H144+H145+H148+H149+H146)-H147</f>
        <v>23750.004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0</v>
      </c>
      <c r="Q150" s="156" t="e">
        <f aca="false">(Q144+Q145+Q148+Q149+Q146)-Q147</f>
        <v>#VALUE!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0</v>
      </c>
      <c r="Z150" s="156" t="e">
        <f aca="false">(Z144+Z145+Z148+Z149+Z146)-Z147</f>
        <v>#VALUE!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0</v>
      </c>
      <c r="AI150" s="156" t="e">
        <f aca="false">(AI144+AI145+AI148+AI149+AI146)-AI147</f>
        <v>#VALUE!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39" t="n">
        <f aca="false">F151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2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n">
        <v>0</v>
      </c>
      <c r="C153" s="160"/>
      <c r="D153" s="160"/>
      <c r="E153" s="160"/>
      <c r="F153" s="160"/>
      <c r="G153" s="39" t="n">
        <v>0</v>
      </c>
      <c r="H153" s="39" t="n"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39" t="n"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39" t="n"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63" t="n">
        <f aca="false">G150-((G153*1.2)+(G154*1.2)+(G155*1.2)+(G151*1.2))</f>
        <v>21600</v>
      </c>
      <c r="H156" s="163" t="n">
        <f aca="false">H150-((H153*1.2)+(H154*1.2)+(H155*1.2)+(H151*1.2))</f>
        <v>23750.004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0</v>
      </c>
      <c r="Q156" s="163" t="e">
        <f aca="false">Q150-((Q153*1.2)+(Q154*1.2)+(Q155*1.2)+(Q151*1.2))</f>
        <v>#VALUE!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0</v>
      </c>
      <c r="Z156" s="163" t="e">
        <f aca="false">Z150-((Z153*1.2)+(Z154*1.2)+(Z155*1.2)+(Z151*1.2))</f>
        <v>#VALUE!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0</v>
      </c>
      <c r="AI156" s="163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4"/>
      <c r="H157" s="39" t="n">
        <f aca="false">((H156-G156)-(H146-G146))+((I155-I154)*0.2)</f>
        <v>1791.67</v>
      </c>
      <c r="I157" s="1" t="n">
        <f aca="false">(H157-G90)/1.2</f>
        <v>-15673.6083333333</v>
      </c>
      <c r="J157" s="153" t="s">
        <v>173</v>
      </c>
      <c r="K157" s="153"/>
      <c r="L157" s="153"/>
      <c r="M157" s="153"/>
      <c r="N157" s="153"/>
      <c r="O157" s="153"/>
      <c r="P157" s="155"/>
      <c r="Q157" s="39" t="e">
        <f aca="false">Q156-P156</f>
        <v>#VALUE!</v>
      </c>
      <c r="S157" s="153" t="s">
        <v>173</v>
      </c>
      <c r="T157" s="153"/>
      <c r="U157" s="153"/>
      <c r="V157" s="153"/>
      <c r="W157" s="153"/>
      <c r="X157" s="153"/>
      <c r="Y157" s="155"/>
      <c r="Z157" s="39" t="e">
        <f aca="false">Z156-Y156</f>
        <v>#VALUE!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e">
        <f aca="false">AI156-AH156</f>
        <v>#VALUE!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23750.004</v>
      </c>
      <c r="H167" s="169"/>
      <c r="J167" s="168" t="s">
        <v>180</v>
      </c>
      <c r="K167" s="31"/>
      <c r="L167" s="31"/>
      <c r="M167" s="22"/>
      <c r="N167" s="31"/>
      <c r="O167" s="22"/>
      <c r="P167" s="169" t="e">
        <f aca="false">Q156-P163-P166</f>
        <v>#VALUE!</v>
      </c>
      <c r="Q167" s="169"/>
      <c r="S167" s="168" t="s">
        <v>180</v>
      </c>
      <c r="T167" s="31"/>
      <c r="U167" s="31"/>
      <c r="V167" s="22"/>
      <c r="W167" s="31"/>
      <c r="X167" s="22"/>
      <c r="Y167" s="169" t="e">
        <f aca="false">Z156-Y163-Y166</f>
        <v>#VALUE!</v>
      </c>
      <c r="Z167" s="169"/>
      <c r="AB167" s="168" t="s">
        <v>180</v>
      </c>
      <c r="AC167" s="31"/>
      <c r="AD167" s="31"/>
      <c r="AE167" s="22"/>
      <c r="AF167" s="31"/>
      <c r="AG167" s="22"/>
      <c r="AH167" s="169" t="e">
        <f aca="false">AI156-AH163-AH166</f>
        <v>#VALUE!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199.99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6000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1480.10939352484</v>
      </c>
      <c r="B176" s="176" t="n">
        <f aca="false">B103</f>
        <v>0</v>
      </c>
      <c r="C176" s="173"/>
      <c r="D176" s="173"/>
      <c r="E176" s="176" t="n">
        <f aca="false">B105</f>
        <v>1480.10939352484</v>
      </c>
      <c r="F176" s="22"/>
      <c r="G176" s="22" t="n">
        <f aca="false">ROUND(G104,2)</f>
        <v>1406.16</v>
      </c>
      <c r="H176" s="32"/>
      <c r="J176" s="175" t="e">
        <f aca="false">K104</f>
        <v>#VALUE!</v>
      </c>
      <c r="K176" s="177" t="n">
        <f aca="false">K103</f>
        <v>0</v>
      </c>
      <c r="L176" s="174"/>
      <c r="M176" s="174"/>
      <c r="N176" s="177" t="e">
        <f aca="false">K105</f>
        <v>#VALUE!</v>
      </c>
      <c r="O176" s="22"/>
      <c r="P176" s="22"/>
      <c r="Q176" s="32"/>
      <c r="S176" s="175" t="e">
        <f aca="false">T104</f>
        <v>#VALUE!</v>
      </c>
      <c r="T176" s="177" t="n">
        <f aca="false">T103</f>
        <v>0</v>
      </c>
      <c r="U176" s="174"/>
      <c r="V176" s="174"/>
      <c r="W176" s="177" t="e">
        <f aca="false">T105</f>
        <v>#VALUE!</v>
      </c>
      <c r="X176" s="22"/>
      <c r="Y176" s="22"/>
      <c r="Z176" s="32"/>
      <c r="AB176" s="175" t="e">
        <f aca="false">AC104</f>
        <v>#VALUE!</v>
      </c>
      <c r="AC176" s="177" t="n">
        <f aca="false">AC103</f>
        <v>0</v>
      </c>
      <c r="AD176" s="174"/>
      <c r="AE176" s="174"/>
      <c r="AF176" s="177" t="e">
        <f aca="false">AC105</f>
        <v>#VALUE!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str">
        <f aca="false">K29</f>
        <v>12</v>
      </c>
      <c r="B179" s="179" t="str">
        <f aca="false">K30</f>
        <v>5000</v>
      </c>
      <c r="C179" s="180"/>
      <c r="D179" s="22"/>
      <c r="E179" s="181" t="n">
        <f aca="false">B91</f>
        <v>6000</v>
      </c>
      <c r="F179" s="22"/>
      <c r="G179" s="22"/>
      <c r="H179" s="32"/>
      <c r="J179" s="178" t="str">
        <f aca="false">K29</f>
        <v>12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12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12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19791.67</v>
      </c>
      <c r="B182" s="102" t="n">
        <f aca="false">H146</f>
        <v>3958.334</v>
      </c>
      <c r="C182" s="185"/>
      <c r="D182" s="22"/>
      <c r="E182" s="181" t="n">
        <f aca="false">H148+H149</f>
        <v>0</v>
      </c>
      <c r="F182" s="22"/>
      <c r="G182" s="22"/>
      <c r="H182" s="32"/>
      <c r="J182" s="184" t="e">
        <f aca="false">Q150-Q146-Q148-Q149</f>
        <v>#VALUE!</v>
      </c>
      <c r="K182" s="37" t="e">
        <f aca="false">Q146</f>
        <v>#VALUE!</v>
      </c>
      <c r="L182" s="42"/>
      <c r="M182" s="22"/>
      <c r="N182" s="183" t="n">
        <f aca="false">Q148+Q149</f>
        <v>55</v>
      </c>
      <c r="O182" s="22"/>
      <c r="P182" s="22"/>
      <c r="Q182" s="32"/>
      <c r="S182" s="184" t="e">
        <f aca="false">Z150-Z146-Z148-Z149</f>
        <v>#VALUE!</v>
      </c>
      <c r="T182" s="37" t="e">
        <f aca="false">Z146</f>
        <v>#VALUE!</v>
      </c>
      <c r="U182" s="42"/>
      <c r="V182" s="22"/>
      <c r="W182" s="183" t="n">
        <f aca="false">Z148+Z149</f>
        <v>55</v>
      </c>
      <c r="X182" s="22"/>
      <c r="Y182" s="22"/>
      <c r="Z182" s="32"/>
      <c r="AB182" s="184" t="e">
        <f aca="false">AI150-AI146-AI148-AI149</f>
        <v>#VALUE!</v>
      </c>
      <c r="AC182" s="37" t="e">
        <f aca="false">AI146</f>
        <v>#VALUE!</v>
      </c>
      <c r="AD182" s="42"/>
      <c r="AE182" s="22"/>
      <c r="AF182" s="183" t="n">
        <f aca="false">AI148+AI149</f>
        <v>55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23750.004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e">
        <f aca="false">Q150</f>
        <v>#VALUE!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e">
        <f aca="false">Z150</f>
        <v>#VALUE!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e">
        <f aca="false">AI150</f>
        <v>#VALUE!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23750.004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e">
        <f aca="false">J185-J188-K188</f>
        <v>#VALUE!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e">
        <f aca="false">S185-S188-T188</f>
        <v>#VALUE!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e">
        <f aca="false">AB185-AB188-AC188</f>
        <v>#VALUE!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-1468.80067122676</v>
      </c>
      <c r="B191" s="102" t="str">
        <f aca="false">B123</f>
        <v>199.99</v>
      </c>
      <c r="C191" s="102"/>
      <c r="D191" s="22"/>
      <c r="E191" s="102" t="n">
        <f aca="false">E188+A191+(B191*1.2)+A194</f>
        <v>22531.1913287732</v>
      </c>
      <c r="F191" s="22"/>
      <c r="G191" s="22"/>
      <c r="H191" s="104"/>
      <c r="J191" s="110" t="e">
        <f aca="false">(J176*K68)+N194-N188-J194</f>
        <v>#VALUE!</v>
      </c>
      <c r="K191" s="37" t="n">
        <f aca="false">K123</f>
        <v>239.99</v>
      </c>
      <c r="L191" s="37"/>
      <c r="M191" s="22"/>
      <c r="N191" s="37" t="e">
        <f aca="false">N188+J191+K191+J194</f>
        <v>#VALUE!</v>
      </c>
      <c r="O191" s="22"/>
      <c r="P191" s="22"/>
      <c r="Q191" s="104"/>
      <c r="S191" s="110" t="e">
        <f aca="false">(S176*T68)+W194-W188-S194</f>
        <v>#VALUE!</v>
      </c>
      <c r="T191" s="37" t="n">
        <f aca="false">T123</f>
        <v>199.99</v>
      </c>
      <c r="U191" s="37"/>
      <c r="V191" s="22"/>
      <c r="W191" s="37" t="e">
        <f aca="false">W188+S191+T191+S194</f>
        <v>#VALUE!</v>
      </c>
      <c r="X191" s="22"/>
      <c r="Y191" s="22"/>
      <c r="Z191" s="104"/>
      <c r="AB191" s="110" t="e">
        <f aca="false">(AB176*AC68)+AF194-AF188-AB194</f>
        <v>#VALUE!</v>
      </c>
      <c r="AC191" s="37" t="n">
        <f aca="false">AC123</f>
        <v>239.99</v>
      </c>
      <c r="AD191" s="37"/>
      <c r="AE191" s="22"/>
      <c r="AF191" s="37" t="e">
        <f aca="false">AF188+AB191+AC191+AB194</f>
        <v>#VALUE!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A188+B191*1.2</f>
        <v>239.988</v>
      </c>
      <c r="C194" s="102"/>
      <c r="D194" s="22"/>
      <c r="E194" s="102" t="n">
        <f aca="false">IF( E179=0 , A194+E176, E179+A194)</f>
        <v>6010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</f>
        <v>7.4808</v>
      </c>
      <c r="B197" s="102" t="n">
        <f aca="false">(G167*B76)/1.2</f>
        <v>98.95835</v>
      </c>
      <c r="C197" s="92"/>
      <c r="D197" s="92"/>
      <c r="E197" s="102" t="n">
        <f aca="false">K55*A117*0.1</f>
        <v>0</v>
      </c>
      <c r="F197" s="22"/>
      <c r="G197" s="22"/>
      <c r="H197" s="32"/>
      <c r="J197" s="110" t="n">
        <f aca="false">IF(N114="YES",H15*0.000002,0)</f>
        <v>0</v>
      </c>
      <c r="K197" s="37" t="e">
        <f aca="false">(P167*K76)/1.2</f>
        <v>#VALUE!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e">
        <f aca="false">(Y167*T76)/1.2</f>
        <v>#VALUE!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e">
        <f aca="false">(AH167*AC76)/1.2</f>
        <v>#VALUE!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B191-100</f>
        <v>99.99</v>
      </c>
      <c r="B200" s="102" t="n">
        <f aca="false">B197+E197+A200</f>
        <v>198.94835</v>
      </c>
      <c r="C200" s="92"/>
      <c r="D200" s="92"/>
      <c r="E200" s="102" t="n">
        <f aca="false">H157</f>
        <v>1791.67</v>
      </c>
      <c r="F200" s="22"/>
      <c r="G200" s="22"/>
      <c r="H200" s="32"/>
      <c r="J200" s="110" t="n">
        <f aca="false">K194-100</f>
        <v>1139.99</v>
      </c>
      <c r="K200" s="37" t="e">
        <f aca="false">K197+N197+J200</f>
        <v>#VALUE!</v>
      </c>
      <c r="L200" s="31"/>
      <c r="M200" s="31"/>
      <c r="N200" s="37" t="e">
        <f aca="false">Q157</f>
        <v>#VALUE!</v>
      </c>
      <c r="O200" s="22"/>
      <c r="P200" s="22"/>
      <c r="Q200" s="32"/>
      <c r="S200" s="110" t="n">
        <f aca="false">T194-100</f>
        <v>1099.99</v>
      </c>
      <c r="T200" s="37" t="e">
        <f aca="false">T197+W197+S200</f>
        <v>#VALUE!</v>
      </c>
      <c r="U200" s="31"/>
      <c r="V200" s="31"/>
      <c r="W200" s="37" t="e">
        <f aca="false">Z157</f>
        <v>#VALUE!</v>
      </c>
      <c r="X200" s="31"/>
      <c r="Y200" s="31"/>
      <c r="Z200" s="32"/>
      <c r="AB200" s="110" t="n">
        <f aca="false">AC194-100</f>
        <v>1139.99</v>
      </c>
      <c r="AC200" s="37" t="e">
        <f aca="false">AC197+AF197+AB200</f>
        <v>#VALUE!</v>
      </c>
      <c r="AD200" s="31"/>
      <c r="AE200" s="31"/>
      <c r="AF200" s="37" t="e">
        <f aca="false">AI157</f>
        <v>#VALUE!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12</v>
      </c>
      <c r="B206" s="73" t="n">
        <f aca="false">B105</f>
        <v>1480.10939352484</v>
      </c>
      <c r="C206" s="73"/>
      <c r="D206" s="73"/>
      <c r="E206" s="22"/>
      <c r="F206" s="22"/>
      <c r="G206" s="22"/>
      <c r="H206" s="32"/>
      <c r="J206" s="72" t="str">
        <f aca="false">K29</f>
        <v>12</v>
      </c>
      <c r="K206" s="73" t="e">
        <f aca="false">K105</f>
        <v>#VALUE!</v>
      </c>
      <c r="L206" s="73"/>
      <c r="M206" s="73"/>
      <c r="N206" s="22"/>
      <c r="O206" s="22"/>
      <c r="P206" s="22"/>
      <c r="Q206" s="32"/>
      <c r="S206" s="72" t="str">
        <f aca="false">K29</f>
        <v>12</v>
      </c>
      <c r="T206" s="73" t="e">
        <f aca="false">T105</f>
        <v>#VALUE!</v>
      </c>
      <c r="U206" s="73"/>
      <c r="V206" s="73"/>
      <c r="W206" s="22"/>
      <c r="X206" s="22"/>
      <c r="Y206" s="22"/>
      <c r="Z206" s="32"/>
      <c r="AB206" s="72" t="str">
        <f aca="false">K29</f>
        <v>12</v>
      </c>
      <c r="AC206" s="73" t="e">
        <f aca="false">AC105</f>
        <v>#VALUE!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-2282.24399999999</v>
      </c>
      <c r="B210" s="185" t="n">
        <f aca="false">E188+A210+(B191*1.2)+A194</f>
        <v>21717.748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12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1480.10939352484</v>
      </c>
      <c r="B221" s="176" t="n">
        <f aca="false">B176</f>
        <v>0</v>
      </c>
      <c r="C221" s="173"/>
      <c r="D221" s="173"/>
      <c r="E221" s="176" t="n">
        <f aca="false">E176</f>
        <v>1480.10939352484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19791.67</v>
      </c>
      <c r="B224" s="102" t="n">
        <f aca="false">B182</f>
        <v>3958.334</v>
      </c>
      <c r="C224" s="185"/>
      <c r="D224" s="112"/>
      <c r="E224" s="181" t="n">
        <f aca="false">E182</f>
        <v>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23750.004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23750.004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-1468.80067122676</v>
      </c>
      <c r="B233" s="102" t="str">
        <f aca="false">B191</f>
        <v>199.99</v>
      </c>
      <c r="C233" s="102"/>
      <c r="D233" s="112"/>
      <c r="E233" s="102" t="n">
        <f aca="false">E191</f>
        <v>22531.1913287732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239.988</v>
      </c>
      <c r="C236" s="102"/>
      <c r="D236" s="112"/>
      <c r="E236" s="102" t="n">
        <f aca="false">B68</f>
        <v>11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1480.10939352484</v>
      </c>
      <c r="B239" s="102" t="n">
        <f aca="false">B176</f>
        <v>0</v>
      </c>
      <c r="C239" s="185"/>
      <c r="D239" s="185"/>
      <c r="E239" s="102" t="n">
        <f aca="false">E176</f>
        <v>1480.10939352484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6000</v>
      </c>
      <c r="B242" s="102" t="n">
        <f aca="false">E194</f>
        <v>6010</v>
      </c>
      <c r="C242" s="92"/>
      <c r="D242" s="92"/>
      <c r="E242" s="102" t="n">
        <f aca="false">J18*0.000006*100</f>
        <v>22.4424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7.4808</v>
      </c>
      <c r="B245" s="102" t="n">
        <f aca="false">E242+A245</f>
        <v>29.9232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1791.67</v>
      </c>
      <c r="B249" s="102" t="n">
        <f aca="false">B197</f>
        <v>98.95835</v>
      </c>
      <c r="C249" s="92"/>
      <c r="D249" s="92"/>
      <c r="E249" s="102" t="n">
        <f aca="false">E197</f>
        <v>0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</v>
      </c>
      <c r="B252" s="102" t="n">
        <f aca="false">B249+E249+A252+A249</f>
        <v>1990.61835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0.1255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9" t="n">
        <f aca="false">(E191-B191)-(B210-B191-A194)</f>
        <v>823.443328773243</v>
      </c>
      <c r="C263" s="196"/>
      <c r="D263" s="197" t="s">
        <v>217</v>
      </c>
      <c r="E263" s="197"/>
      <c r="F263" s="199" t="n">
        <f aca="false">F270+F276+F278+B279+B280</f>
        <v>118.75002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99.99</v>
      </c>
      <c r="C264" s="196"/>
      <c r="D264" s="197" t="s">
        <v>219</v>
      </c>
      <c r="E264" s="197"/>
      <c r="F264" s="199" t="n">
        <f aca="false">(B263-F263)+B264</f>
        <v>804.683308773243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0.1255</v>
      </c>
      <c r="C269" s="42"/>
      <c r="D269" s="165" t="s">
        <v>216</v>
      </c>
      <c r="E269" s="165"/>
      <c r="F269" s="145" t="n">
        <f aca="false">B263</f>
        <v>823.443328773243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0.005</v>
      </c>
      <c r="C270" s="31"/>
      <c r="D270" s="165" t="s">
        <v>222</v>
      </c>
      <c r="E270" s="165"/>
      <c r="F270" s="150" t="n">
        <f aca="false">B77</f>
        <v>118.75002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0.2</v>
      </c>
      <c r="C271" s="31"/>
      <c r="D271" s="165" t="s">
        <v>223</v>
      </c>
      <c r="E271" s="165"/>
      <c r="F271" s="145" t="n">
        <f aca="false">E249*10</f>
        <v>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</v>
      </c>
      <c r="C272" s="31"/>
      <c r="D272" s="38" t="s">
        <v>219</v>
      </c>
      <c r="E272" s="38"/>
      <c r="F272" s="145" t="n">
        <f aca="false">(B263-F263)+B264</f>
        <v>804.683308773243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7" colorId="64" zoomScale="85" zoomScaleNormal="85" zoomScalePageLayoutView="100" workbookViewId="0">
      <selection pane="topLeft" activeCell="A182" activeCellId="1" sqref="A191 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45400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380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248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20600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500.363636363636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52" t="s">
        <v>4</v>
      </c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500.363636363636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37404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18410.7869299442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222.6562875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20600</v>
      </c>
      <c r="C81" s="92"/>
      <c r="D81" s="92"/>
      <c r="E81" s="112"/>
      <c r="F81" s="24" t="s">
        <v>106</v>
      </c>
      <c r="G81" s="26" t="n">
        <f aca="false">B81</f>
        <v>20600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4379.8532592462</v>
      </c>
      <c r="C86" s="92" t="n">
        <f aca="false">(B82/((1+B84)^(B85+1)))</f>
        <v>4379.8532592462</v>
      </c>
      <c r="D86" s="92"/>
      <c r="E86" s="112"/>
      <c r="F86" s="30" t="s">
        <v>111</v>
      </c>
      <c r="G86" s="32" t="n">
        <f aca="false">(G82/((1+G84)^(G85+1)))</f>
        <v>5020.31079273804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16220.1467407538</v>
      </c>
      <c r="C88" s="92" t="n">
        <f aca="false">B81-B86</f>
        <v>16220.1467407538</v>
      </c>
      <c r="D88" s="92"/>
      <c r="E88" s="112"/>
      <c r="F88" s="30" t="s">
        <v>113</v>
      </c>
      <c r="G88" s="32" t="n">
        <f aca="false">G81-G86</f>
        <v>15579.689207262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590.973455197119</v>
      </c>
      <c r="C89" s="92" t="n">
        <f aca="false">(B88/B87)</f>
        <v>590.973455197119</v>
      </c>
      <c r="D89" s="92"/>
      <c r="E89" s="112"/>
      <c r="F89" s="30" t="s">
        <v>114</v>
      </c>
      <c r="G89" s="32" t="n">
        <f aca="false">(G88/G87)</f>
        <v>531.592757536213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18911.1505663078</v>
      </c>
      <c r="C90" s="92"/>
      <c r="D90" s="92"/>
      <c r="E90" s="112"/>
      <c r="F90" s="30" t="s">
        <v>115</v>
      </c>
      <c r="G90" s="32" t="n">
        <f aca="false">((G89*(G85))+G77)</f>
        <v>17010.9682411588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18911.1505663078</v>
      </c>
      <c r="C92" s="92"/>
      <c r="D92" s="92"/>
      <c r="E92" s="112"/>
      <c r="F92" s="55" t="s">
        <v>117</v>
      </c>
      <c r="G92" s="64" t="n">
        <f aca="false">(G90+G91)</f>
        <v>17010.9682411588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IF(B38="YES",((H36/B85)*(1+A108)*1.2),"0")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590.973455197119</v>
      </c>
      <c r="C95" s="92"/>
      <c r="D95" s="92"/>
      <c r="E95" s="112"/>
      <c r="F95" s="94" t="s">
        <v>119</v>
      </c>
      <c r="G95" s="95" t="n">
        <f aca="false">G92/(G85)</f>
        <v>531.592757536213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590.973455197119</v>
      </c>
      <c r="C96" s="92"/>
      <c r="D96" s="92"/>
      <c r="E96" s="112"/>
      <c r="F96" s="96" t="s">
        <v>120</v>
      </c>
      <c r="G96" s="97" t="n">
        <f aca="false">G94+G95</f>
        <v>531.592757536213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21600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21600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18000</v>
      </c>
      <c r="H135" s="152" t="n">
        <f aca="false">C125+E125+G125+H128</f>
        <v>19791.67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-15673.6083333333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23750.004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590.973455197119</v>
      </c>
      <c r="B167" s="176" t="str">
        <f aca="false">B94</f>
        <v>0</v>
      </c>
      <c r="C167" s="173"/>
      <c r="D167" s="173"/>
      <c r="E167" s="176" t="n">
        <f aca="false">B96</f>
        <v>590.973455197119</v>
      </c>
      <c r="F167" s="22"/>
      <c r="G167" s="22" t="n">
        <f aca="false">ROUND(G95,2)</f>
        <v>531.59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n">
        <f aca="false">B29</f>
        <v>12345</v>
      </c>
      <c r="B170" s="179" t="n">
        <f aca="false">B30</f>
        <v>0</v>
      </c>
      <c r="C170" s="180"/>
      <c r="D170" s="22"/>
      <c r="E170" s="181" t="n">
        <v>6000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23750.004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23750.004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1161.14656630781</v>
      </c>
      <c r="B182" s="102" t="str">
        <f aca="false">B114</f>
        <v>239.99</v>
      </c>
      <c r="C182" s="102"/>
      <c r="D182" s="22"/>
      <c r="E182" s="102" t="n">
        <f aca="false">E179+A182+B182+A185</f>
        <v>25161.1405663078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8.97696</v>
      </c>
      <c r="B188" s="102" t="n">
        <f aca="false">(G158*B67)/1.2</f>
        <v>185.54690625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285.538572916667</v>
      </c>
      <c r="C191" s="92"/>
      <c r="D191" s="92"/>
      <c r="E191" s="102" t="n">
        <f aca="false">H148</f>
        <v>1791.67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590.973455197119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-739.123999999996</v>
      </c>
      <c r="B201" s="185" t="n">
        <f aca="false">E179+A201+B182+A185</f>
        <v>23260.87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590.973455197119</v>
      </c>
      <c r="B212" s="176" t="str">
        <f aca="false">B167</f>
        <v>0</v>
      </c>
      <c r="C212" s="173"/>
      <c r="D212" s="173"/>
      <c r="E212" s="176" t="n">
        <f aca="false">E167</f>
        <v>590.973455197119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23750.004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1161.14656630781</v>
      </c>
      <c r="B224" s="102" t="str">
        <f aca="false">B182</f>
        <v>239.99</v>
      </c>
      <c r="C224" s="102"/>
      <c r="D224" s="112"/>
      <c r="E224" s="102" t="n">
        <f aca="false">E182</f>
        <v>25161.1405663078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590.973455197119</v>
      </c>
      <c r="B230" s="102" t="str">
        <f aca="false">B167</f>
        <v>0</v>
      </c>
      <c r="C230" s="185"/>
      <c r="D230" s="185"/>
      <c r="E230" s="102" t="n">
        <f aca="false">E167</f>
        <v>590.973455197119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J18*0.000006*100*1.2</f>
        <v>26.93088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8.97696</v>
      </c>
      <c r="B236" s="102" t="n">
        <f aca="false">E233+A236</f>
        <v>35.90784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B188</f>
        <v>185.54690625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2077.20857291666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1910.27056630781</v>
      </c>
      <c r="C254" s="196"/>
      <c r="D254" s="197" t="s">
        <v>217</v>
      </c>
      <c r="E254" s="197"/>
      <c r="F254" s="199" t="n">
        <f aca="false">F261+F267+F269+B270+B271</f>
        <v>222.6562875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1787.60594547448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B254</f>
        <v>1910.27056630781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222.6562875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1787.60594547448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A182" activeCellId="1" sqref="A191 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45400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380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s">
        <v>249</v>
      </c>
      <c r="J36" s="43" t="s">
        <v>51</v>
      </c>
      <c r="K36" s="51" t="n">
        <f aca="false">K32-K34</f>
        <v>20600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n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37404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15780.2033287732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118.75002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20600</v>
      </c>
      <c r="C81" s="92"/>
      <c r="D81" s="92"/>
      <c r="E81" s="112"/>
      <c r="F81" s="24" t="s">
        <v>106</v>
      </c>
      <c r="G81" s="26" t="n">
        <f aca="false">B81</f>
        <v>20600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5295.78483323301</v>
      </c>
      <c r="C86" s="92" t="n">
        <f aca="false">(B82/((1+B84)^(B85+1)))</f>
        <v>5295.78483323301</v>
      </c>
      <c r="D86" s="92"/>
      <c r="E86" s="112"/>
      <c r="F86" s="30" t="s">
        <v>111</v>
      </c>
      <c r="G86" s="32" t="n">
        <f aca="false">(G82/((1+G84)^(G85+1)))</f>
        <v>5623.39108453416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15304.215166767</v>
      </c>
      <c r="C88" s="92" t="n">
        <f aca="false">B81-B86</f>
        <v>15304.215166767</v>
      </c>
      <c r="D88" s="92"/>
      <c r="E88" s="112"/>
      <c r="F88" s="30" t="s">
        <v>113</v>
      </c>
      <c r="G88" s="32" t="n">
        <f aca="false">G81-G86</f>
        <v>14976.6089154658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1480.10939352484</v>
      </c>
      <c r="C89" s="92" t="n">
        <f aca="false">(B88/B87)</f>
        <v>1480.10939352484</v>
      </c>
      <c r="D89" s="92"/>
      <c r="E89" s="112"/>
      <c r="F89" s="30" t="s">
        <v>114</v>
      </c>
      <c r="G89" s="32" t="n">
        <f aca="false">(G88/G87)</f>
        <v>1406.1573423423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16281.2033287732</v>
      </c>
      <c r="C90" s="92"/>
      <c r="D90" s="92"/>
      <c r="E90" s="112"/>
      <c r="F90" s="30" t="s">
        <v>115</v>
      </c>
      <c r="G90" s="32" t="n">
        <f aca="false">((G89*(G85))+G77)</f>
        <v>15467.7307657653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16281.2033287732</v>
      </c>
      <c r="C92" s="92"/>
      <c r="D92" s="92"/>
      <c r="E92" s="112"/>
      <c r="F92" s="55" t="s">
        <v>117</v>
      </c>
      <c r="G92" s="64" t="n">
        <f aca="false">(G90+G91)</f>
        <v>15467.7307657653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n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1480.10939352484</v>
      </c>
      <c r="C95" s="92"/>
      <c r="D95" s="92"/>
      <c r="E95" s="112"/>
      <c r="F95" s="94" t="s">
        <v>119</v>
      </c>
      <c r="G95" s="95" t="n">
        <f aca="false">G92/(G85)</f>
        <v>1406.1573423423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1480.10939352484</v>
      </c>
      <c r="C96" s="92"/>
      <c r="D96" s="92"/>
      <c r="E96" s="112"/>
      <c r="F96" s="96" t="s">
        <v>120</v>
      </c>
      <c r="G96" s="97" t="n">
        <f aca="false">G94+G95</f>
        <v>1406.1573423423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18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s">
        <v>18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21600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21600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18000</v>
      </c>
      <c r="H135" s="152" t="n">
        <f aca="false">C125+E125+G125+H128</f>
        <v>19791.67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-15673.6083333333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23750.004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 t="n">
        <v>0</v>
      </c>
      <c r="F161" s="22"/>
      <c r="G161" s="22" t="n">
        <v>0</v>
      </c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 t="n">
        <v>0</v>
      </c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1480.10939352484</v>
      </c>
      <c r="B167" s="176" t="n">
        <f aca="false">B94</f>
        <v>0</v>
      </c>
      <c r="C167" s="173"/>
      <c r="D167" s="173"/>
      <c r="E167" s="176" t="n">
        <f aca="false">B96</f>
        <v>1480.10939352484</v>
      </c>
      <c r="F167" s="22"/>
      <c r="G167" s="22" t="n">
        <f aca="false">ROUND(G95,2)</f>
        <v>1406.16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179" t="str">
        <f aca="false">H30</f>
        <v>5000</v>
      </c>
      <c r="C170" s="180"/>
      <c r="D170" s="22"/>
      <c r="E170" s="181" t="n">
        <v>6000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23750.004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23750.004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-1468.80067122676</v>
      </c>
      <c r="B182" s="102" t="str">
        <f aca="false">B114</f>
        <v>199.99</v>
      </c>
      <c r="C182" s="102"/>
      <c r="D182" s="22"/>
      <c r="E182" s="102" t="n">
        <f aca="false">E179+A182+(B182*1.2)+A185</f>
        <v>22531.1913287732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A179+B182*1.2</f>
        <v>239.988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7.4808</v>
      </c>
      <c r="B188" s="102" t="n">
        <f aca="false">(G158*B67)/1.2</f>
        <v>98.95835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198.94835</v>
      </c>
      <c r="C191" s="92"/>
      <c r="D191" s="92"/>
      <c r="E191" s="102" t="n">
        <f aca="false">H148</f>
        <v>1791.67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1480.10939352484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-2282.24399999999</v>
      </c>
      <c r="B201" s="185" t="n">
        <f aca="false">E179+A201+(B182*1.2)+A185</f>
        <v>21717.748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1480.10939352484</v>
      </c>
      <c r="B212" s="176" t="n">
        <f aca="false">B167</f>
        <v>0</v>
      </c>
      <c r="C212" s="173"/>
      <c r="D212" s="173"/>
      <c r="E212" s="176" t="n">
        <f aca="false">E167</f>
        <v>1480.10939352484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23750.004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-1468.80067122676</v>
      </c>
      <c r="B224" s="102" t="str">
        <f aca="false">B182</f>
        <v>199.99</v>
      </c>
      <c r="C224" s="102"/>
      <c r="D224" s="112"/>
      <c r="E224" s="102" t="n">
        <f aca="false">E182</f>
        <v>22531.1913287732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1480.10939352484</v>
      </c>
      <c r="B230" s="102" t="n">
        <f aca="false">B167</f>
        <v>0</v>
      </c>
      <c r="C230" s="185"/>
      <c r="D230" s="185"/>
      <c r="E230" s="102" t="n">
        <f aca="false">E167</f>
        <v>1480.10939352484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J18*0.000006*100</f>
        <v>22.4424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7.4808</v>
      </c>
      <c r="B236" s="102" t="n">
        <f aca="false">E233+A236</f>
        <v>29.9232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B188</f>
        <v>98.95835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1990.61835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823.443328773243</v>
      </c>
      <c r="C254" s="196"/>
      <c r="D254" s="197" t="s">
        <v>217</v>
      </c>
      <c r="E254" s="197"/>
      <c r="F254" s="199" t="n">
        <f aca="false">F261+F267+F269+B270+B271</f>
        <v>118.75002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804.683308773243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0.1255</v>
      </c>
      <c r="C260" s="42"/>
      <c r="D260" s="165" t="s">
        <v>216</v>
      </c>
      <c r="E260" s="165"/>
      <c r="F260" s="145" t="n">
        <f aca="false">B254</f>
        <v>823.443328773243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118.75002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804.683308773243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9" colorId="64" zoomScale="85" zoomScaleNormal="85" zoomScalePageLayoutView="100" workbookViewId="0">
      <selection pane="topLeft" activeCell="A182" activeCellId="1" sqref="A191 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45400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380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20600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37404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15780.2033287732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118.75002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20600</v>
      </c>
      <c r="C81" s="92"/>
      <c r="D81" s="92"/>
      <c r="E81" s="112"/>
      <c r="F81" s="24" t="s">
        <v>106</v>
      </c>
      <c r="G81" s="26" t="n">
        <f aca="false">B81</f>
        <v>20600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5295.78483323301</v>
      </c>
      <c r="C86" s="92" t="n">
        <f aca="false">(B82/((1+B84)^(B85+1)))</f>
        <v>5295.78483323301</v>
      </c>
      <c r="D86" s="92"/>
      <c r="E86" s="112"/>
      <c r="F86" s="30" t="s">
        <v>111</v>
      </c>
      <c r="G86" s="32" t="n">
        <f aca="false">(G82/((1+G84)^(G85+1)))</f>
        <v>5623.39108453416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15304.215166767</v>
      </c>
      <c r="C88" s="92" t="n">
        <f aca="false">B81-B86</f>
        <v>15304.215166767</v>
      </c>
      <c r="D88" s="92"/>
      <c r="E88" s="112"/>
      <c r="F88" s="30" t="s">
        <v>113</v>
      </c>
      <c r="G88" s="32" t="n">
        <f aca="false">G81-G86</f>
        <v>14976.6089154658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1480.10939352484</v>
      </c>
      <c r="C89" s="92" t="n">
        <f aca="false">(B88/B87)</f>
        <v>1480.10939352484</v>
      </c>
      <c r="D89" s="92"/>
      <c r="E89" s="112"/>
      <c r="F89" s="30" t="s">
        <v>114</v>
      </c>
      <c r="G89" s="32" t="n">
        <f aca="false">(G88/G87)</f>
        <v>1406.1573423423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16281.2033287732</v>
      </c>
      <c r="C90" s="92"/>
      <c r="D90" s="92"/>
      <c r="E90" s="112"/>
      <c r="F90" s="30" t="s">
        <v>115</v>
      </c>
      <c r="G90" s="32" t="n">
        <f aca="false">((G89*(G85))+G77)</f>
        <v>15467.7307657653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16281.2033287732</v>
      </c>
      <c r="C92" s="92"/>
      <c r="D92" s="92"/>
      <c r="E92" s="112"/>
      <c r="F92" s="55" t="s">
        <v>117</v>
      </c>
      <c r="G92" s="64" t="n">
        <f aca="false">(G90+G91)</f>
        <v>15467.7307657653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IF(B38="YES",((H36/B85)*(1+A108)*1.2),"0")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1480.10939352484</v>
      </c>
      <c r="C95" s="92"/>
      <c r="D95" s="92"/>
      <c r="E95" s="112"/>
      <c r="F95" s="94" t="s">
        <v>119</v>
      </c>
      <c r="G95" s="95" t="n">
        <f aca="false">G92/(G85)</f>
        <v>1406.1573423423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1480.10939352484</v>
      </c>
      <c r="C96" s="92"/>
      <c r="D96" s="92"/>
      <c r="E96" s="112"/>
      <c r="F96" s="96" t="s">
        <v>120</v>
      </c>
      <c r="G96" s="97" t="n">
        <f aca="false">G94+G95</f>
        <v>1406.1573423423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272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273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21600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21600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18000</v>
      </c>
      <c r="H135" s="152" t="n">
        <f aca="false">C125+E125+G125+H128</f>
        <v>19791.67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-15673.6083333333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23750.004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1480.10939352484</v>
      </c>
      <c r="B167" s="176" t="str">
        <f aca="false">B94</f>
        <v>0</v>
      </c>
      <c r="C167" s="173"/>
      <c r="D167" s="173"/>
      <c r="E167" s="176" t="n">
        <f aca="false">B96</f>
        <v>1480.10939352484</v>
      </c>
      <c r="F167" s="22"/>
      <c r="G167" s="22" t="n">
        <f aca="false">ROUND(G95,2)</f>
        <v>1406.16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228" t="str">
        <f aca="false">H30</f>
        <v>5000</v>
      </c>
      <c r="C170" s="180"/>
      <c r="D170" s="22"/>
      <c r="E170" s="181" t="n">
        <v>6000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23750.004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-1468.80067122676</v>
      </c>
      <c r="B182" s="102" t="str">
        <f aca="false">B114</f>
        <v>239.99</v>
      </c>
      <c r="C182" s="102"/>
      <c r="D182" s="22"/>
      <c r="E182" s="102" t="n">
        <f aca="false">E179+A182+B182+A185</f>
        <v>22531.1933287732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8.97696</v>
      </c>
      <c r="B188" s="102" t="n">
        <f aca="false">(G158*B67)/1.2</f>
        <v>98.95835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198.950016666667</v>
      </c>
      <c r="C191" s="92"/>
      <c r="D191" s="92"/>
      <c r="E191" s="102" t="n">
        <f aca="false">H148</f>
        <v>1791.67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1480.10939352484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-2282.24399999999</v>
      </c>
      <c r="B201" s="185" t="n">
        <f aca="false">E179+A201+B182+A185</f>
        <v>21717.75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1480.10939352484</v>
      </c>
      <c r="B212" s="176" t="str">
        <f aca="false">B167</f>
        <v>0</v>
      </c>
      <c r="C212" s="173"/>
      <c r="D212" s="173"/>
      <c r="E212" s="176" t="n">
        <f aca="false">E167</f>
        <v>1480.10939352484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23750.004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-1468.80067122676</v>
      </c>
      <c r="B224" s="102" t="str">
        <f aca="false">B182</f>
        <v>239.99</v>
      </c>
      <c r="C224" s="102"/>
      <c r="D224" s="112"/>
      <c r="E224" s="102" t="n">
        <f aca="false">E182</f>
        <v>22531.1933287732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1480.10939352484</v>
      </c>
      <c r="B230" s="102" t="str">
        <f aca="false">B167</f>
        <v>0</v>
      </c>
      <c r="C230" s="185"/>
      <c r="D230" s="185"/>
      <c r="E230" s="102" t="n">
        <f aca="false">E167</f>
        <v>1480.10939352484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A188</f>
        <v>8.97696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B188</f>
        <v>98.95835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1990.62001666666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823.443328773243</v>
      </c>
      <c r="C254" s="196"/>
      <c r="D254" s="197" t="s">
        <v>217</v>
      </c>
      <c r="E254" s="197"/>
      <c r="F254" s="199" t="n">
        <f aca="false">F261+F267+F269+B270+B271</f>
        <v>118.75002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804.684975439909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0.1255</v>
      </c>
      <c r="C260" s="42"/>
      <c r="D260" s="165" t="s">
        <v>216</v>
      </c>
      <c r="E260" s="165"/>
      <c r="F260" s="145" t="n">
        <f aca="false">B254</f>
        <v>823.443328773243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118.75002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804.684975439909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3" colorId="64" zoomScale="85" zoomScaleNormal="85" zoomScalePageLayoutView="100" workbookViewId="0">
      <selection pane="topLeft" activeCell="A182" activeCellId="1" sqref="A191 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45400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262" t="s">
        <v>380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20600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A54" s="263" t="s">
        <v>4</v>
      </c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37404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15780.2033287732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118.75002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20600</v>
      </c>
      <c r="C81" s="92"/>
      <c r="D81" s="92"/>
      <c r="E81" s="112"/>
      <c r="F81" s="24" t="s">
        <v>106</v>
      </c>
      <c r="G81" s="26" t="n">
        <f aca="false">B81</f>
        <v>20600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5295.78483323301</v>
      </c>
      <c r="C86" s="92" t="n">
        <f aca="false">(B82/((1+B84)^(B85+1)))</f>
        <v>5295.78483323301</v>
      </c>
      <c r="D86" s="92"/>
      <c r="E86" s="112"/>
      <c r="F86" s="30" t="s">
        <v>111</v>
      </c>
      <c r="G86" s="32" t="n">
        <f aca="false">(G82/((1+G84)^(G85+1)))</f>
        <v>5623.39108453416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15304.215166767</v>
      </c>
      <c r="C88" s="92" t="n">
        <f aca="false">B81-B86</f>
        <v>15304.215166767</v>
      </c>
      <c r="D88" s="92"/>
      <c r="E88" s="112"/>
      <c r="F88" s="30" t="s">
        <v>113</v>
      </c>
      <c r="G88" s="32" t="n">
        <f aca="false">G81-G86</f>
        <v>14976.6089154658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1480.10939352484</v>
      </c>
      <c r="C89" s="92" t="n">
        <f aca="false">(B88/B87)</f>
        <v>1480.10939352484</v>
      </c>
      <c r="D89" s="92"/>
      <c r="E89" s="112"/>
      <c r="F89" s="30" t="s">
        <v>114</v>
      </c>
      <c r="G89" s="32" t="n">
        <f aca="false">(G88/G87)</f>
        <v>1406.1573423423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16281.2033287732</v>
      </c>
      <c r="C90" s="92"/>
      <c r="D90" s="92"/>
      <c r="E90" s="112"/>
      <c r="F90" s="30" t="s">
        <v>115</v>
      </c>
      <c r="G90" s="32" t="n">
        <f aca="false">((G89*(G85))+G77)</f>
        <v>15467.7307657653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16281.2033287732</v>
      </c>
      <c r="C92" s="92"/>
      <c r="D92" s="92"/>
      <c r="E92" s="112"/>
      <c r="F92" s="55" t="s">
        <v>117</v>
      </c>
      <c r="G92" s="64" t="n">
        <f aca="false">(G90+G91)</f>
        <v>15467.7307657653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1480.10939352484</v>
      </c>
      <c r="C95" s="92"/>
      <c r="D95" s="92"/>
      <c r="E95" s="112"/>
      <c r="F95" s="94" t="s">
        <v>119</v>
      </c>
      <c r="G95" s="95" t="n">
        <f aca="false">G92/(G85)</f>
        <v>1406.1573423423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1480.10939352484</v>
      </c>
      <c r="C96" s="92"/>
      <c r="D96" s="92"/>
      <c r="E96" s="112"/>
      <c r="F96" s="96" t="s">
        <v>120</v>
      </c>
      <c r="G96" s="97" t="n">
        <f aca="false">G94+G95</f>
        <v>1406.1573423423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21600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21600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18000</v>
      </c>
      <c r="H135" s="152" t="n">
        <f aca="false">C125+E125+G125+H128</f>
        <v>19791.67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-15673.6083333333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23750.004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1480.10939352484</v>
      </c>
      <c r="B167" s="176" t="str">
        <f aca="false">B94</f>
        <v>0</v>
      </c>
      <c r="C167" s="173"/>
      <c r="D167" s="173"/>
      <c r="E167" s="176" t="n">
        <f aca="false">B96</f>
        <v>1480.10939352484</v>
      </c>
      <c r="F167" s="22"/>
      <c r="G167" s="22" t="n">
        <f aca="false">ROUND(G95,2)</f>
        <v>1406.16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228" t="str">
        <f aca="false">H30</f>
        <v>5000</v>
      </c>
      <c r="C170" s="180"/>
      <c r="D170" s="22"/>
      <c r="E170" s="181" t="n">
        <v>6000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23750.004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-1468.80067122676</v>
      </c>
      <c r="B182" s="102" t="str">
        <f aca="false">B114</f>
        <v>199.99</v>
      </c>
      <c r="C182" s="102"/>
      <c r="D182" s="22"/>
      <c r="E182" s="102" t="n">
        <f aca="false">E179+A182+(B182*1.2)+A185</f>
        <v>22531.1913287732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A179+(B182*1.2)</f>
        <v>239.988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7.4808</v>
      </c>
      <c r="B188" s="102" t="n">
        <f aca="false">(G158*B67)/1.2</f>
        <v>98.95835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198.94835</v>
      </c>
      <c r="C191" s="92"/>
      <c r="D191" s="92"/>
      <c r="E191" s="102" t="n">
        <f aca="false">H148</f>
        <v>1791.67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1480.10939352484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-2282.24399999999</v>
      </c>
      <c r="B201" s="185" t="n">
        <f aca="false">E179+A201+(B182*1.2)+A185</f>
        <v>21717.748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1480.10939352484</v>
      </c>
      <c r="B212" s="176" t="str">
        <f aca="false">B167</f>
        <v>0</v>
      </c>
      <c r="C212" s="173"/>
      <c r="D212" s="173"/>
      <c r="E212" s="176" t="n">
        <f aca="false">E167</f>
        <v>1480.10939352484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23750.004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7.35" hidden="false" customHeight="false" outlineLevel="0" collapsed="false">
      <c r="A224" s="110" t="n">
        <f aca="false">A182</f>
        <v>-1468.80067122676</v>
      </c>
      <c r="B224" s="102" t="str">
        <f aca="false">B182</f>
        <v>199.99</v>
      </c>
      <c r="C224" s="102"/>
      <c r="D224" s="112"/>
      <c r="E224" s="102" t="n">
        <f aca="false">E182</f>
        <v>22531.1913287732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1480.10939352484</v>
      </c>
      <c r="B230" s="102" t="str">
        <f aca="false">B167</f>
        <v>0</v>
      </c>
      <c r="C230" s="185"/>
      <c r="D230" s="185"/>
      <c r="E230" s="102" t="n">
        <f aca="false">E167</f>
        <v>1480.10939352484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A188</f>
        <v>7.4808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B188</f>
        <v>98.95835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1990.61835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823.443328773243</v>
      </c>
      <c r="C254" s="196"/>
      <c r="D254" s="197" t="s">
        <v>217</v>
      </c>
      <c r="E254" s="197"/>
      <c r="F254" s="199" t="n">
        <f aca="false">F261+F267+F269+B270+B271</f>
        <v>118.75002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804.683308773243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0.1255</v>
      </c>
      <c r="C260" s="42"/>
      <c r="D260" s="165" t="s">
        <v>216</v>
      </c>
      <c r="E260" s="165"/>
      <c r="F260" s="145" t="n">
        <f aca="false">B254</f>
        <v>823.443328773243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118.75002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804.683308773243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3" colorId="64" zoomScale="85" zoomScaleNormal="85" zoomScalePageLayoutView="100" workbookViewId="0">
      <selection pane="topLeft" activeCell="A36" activeCellId="1" sqref="A191 A3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385"/>
      <c r="I8" s="13" t="s">
        <v>3</v>
      </c>
      <c r="J8" s="9" t="n">
        <f aca="false">E13+E14</f>
        <v>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385"/>
      <c r="I10" s="15" t="s">
        <v>1</v>
      </c>
      <c r="J10" s="9" t="n">
        <f aca="false">E15-E11-J8</f>
        <v>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45400</v>
      </c>
      <c r="E29" s="387"/>
      <c r="F29" s="385"/>
      <c r="G29" s="28" t="s">
        <v>28</v>
      </c>
      <c r="H29" s="36" t="n">
        <f aca="false">A32</f>
        <v>12</v>
      </c>
      <c r="I29" s="385"/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42</v>
      </c>
      <c r="B34" s="230" t="s">
        <v>48</v>
      </c>
      <c r="C34" s="229" t="s">
        <v>43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E19</f>
        <v>21600</v>
      </c>
      <c r="B35" s="222" t="s">
        <v>45</v>
      </c>
      <c r="C35" s="222"/>
      <c r="D35" s="278" t="n">
        <f aca="false">A35-B35</f>
        <v>20600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45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57</v>
      </c>
      <c r="G40" s="2" t="s">
        <v>58</v>
      </c>
      <c r="H40" s="2" t="n">
        <f aca="false">C15</f>
        <v>3600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335</v>
      </c>
      <c r="B41" s="103" t="s">
        <v>336</v>
      </c>
      <c r="C41" s="103"/>
      <c r="D41" s="222" t="s">
        <v>18</v>
      </c>
      <c r="E41" s="222"/>
      <c r="F41" s="385"/>
      <c r="G41" s="2" t="s">
        <v>59</v>
      </c>
      <c r="H41" s="2" t="n">
        <f aca="false">IF(D41="Yes",A44,0)</f>
        <v>0</v>
      </c>
      <c r="I41" s="2"/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336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n">
        <v>0</v>
      </c>
      <c r="B44" s="103" t="s">
        <v>337</v>
      </c>
      <c r="C44" s="103"/>
      <c r="D44" s="103" t="n">
        <v>0</v>
      </c>
      <c r="E44" s="103"/>
      <c r="F44" s="385"/>
      <c r="G44" s="2" t="s">
        <v>65</v>
      </c>
      <c r="H44" s="2" t="n">
        <f aca="false">((H40-(((H42/(1.2))*0.2)))/(H43))</f>
        <v>216.666666666667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283.333333333333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286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29"/>
      <c r="E50" s="242"/>
      <c r="F50" s="385"/>
      <c r="G50" s="2" t="s">
        <v>340</v>
      </c>
      <c r="H50" s="2" t="n">
        <f aca="false">H49-H41</f>
        <v>286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H49</f>
        <v>286</v>
      </c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286</v>
      </c>
      <c r="C58" s="73"/>
      <c r="D58" s="352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213" t="s">
        <v>14</v>
      </c>
      <c r="B67" s="290" t="n">
        <v>37404</v>
      </c>
      <c r="C67" s="316"/>
      <c r="D67" s="316"/>
      <c r="E67" s="317"/>
      <c r="F67" s="385"/>
      <c r="G67" s="315" t="s">
        <v>14</v>
      </c>
      <c r="H67" s="31" t="n">
        <f aca="false">G18</f>
        <v>37404</v>
      </c>
      <c r="I67" s="316"/>
      <c r="J67" s="316"/>
      <c r="K67" s="317"/>
      <c r="L67" s="385"/>
      <c r="M67" s="315" t="s">
        <v>14</v>
      </c>
      <c r="N67" s="31" t="n">
        <f aca="false">G18</f>
        <v>37404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291" t="s">
        <v>278</v>
      </c>
      <c r="B68" s="292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284" t="s">
        <v>91</v>
      </c>
      <c r="B70" s="132" t="n">
        <f aca="false">B67*B69</f>
        <v>2618.28</v>
      </c>
      <c r="C70" s="316" t="n">
        <v>10000</v>
      </c>
      <c r="D70" s="31" t="n">
        <f aca="false">B70-A149</f>
        <v>2618.28</v>
      </c>
      <c r="E70" s="317" t="n">
        <f aca="false">D70/12</f>
        <v>218.19</v>
      </c>
      <c r="F70" s="385"/>
      <c r="G70" s="365" t="s">
        <v>91</v>
      </c>
      <c r="H70" s="64" t="n">
        <f aca="false">H67*H69</f>
        <v>2618.28</v>
      </c>
      <c r="I70" s="316"/>
      <c r="J70" s="31" t="n">
        <f aca="false">H70-G151</f>
        <v>2618.28</v>
      </c>
      <c r="K70" s="317"/>
      <c r="L70" s="385"/>
      <c r="M70" s="365" t="s">
        <v>91</v>
      </c>
      <c r="N70" s="64" t="n">
        <f aca="false">N67*N69</f>
        <v>2618.28</v>
      </c>
      <c r="O70" s="316"/>
      <c r="P70" s="31" t="n">
        <f aca="false">N70-M151</f>
        <v>2618.28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291" t="s">
        <v>92</v>
      </c>
      <c r="B71" s="292" t="n">
        <v>0.005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0.005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284" t="s">
        <v>94</v>
      </c>
      <c r="B73" s="132" t="n">
        <f aca="false">B66*B72</f>
        <v>108</v>
      </c>
      <c r="C73" s="316"/>
      <c r="D73" s="31"/>
      <c r="E73" s="317"/>
      <c r="F73" s="385"/>
      <c r="G73" s="365" t="s">
        <v>94</v>
      </c>
      <c r="H73" s="64" t="n">
        <f aca="false">H67*H72</f>
        <v>187.02</v>
      </c>
      <c r="I73" s="316"/>
      <c r="J73" s="31"/>
      <c r="K73" s="317"/>
      <c r="L73" s="385"/>
      <c r="M73" s="365" t="s">
        <v>94</v>
      </c>
      <c r="N73" s="64" t="n">
        <f aca="false">N67*N72</f>
        <v>187.02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160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4.5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54</v>
      </c>
      <c r="C79" s="316"/>
      <c r="D79" s="31" t="n">
        <f aca="false">B79+B77</f>
        <v>214</v>
      </c>
      <c r="E79" s="401" t="n">
        <f aca="false">D79+D85+D86</f>
        <v>614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180</v>
      </c>
      <c r="C80" s="316"/>
      <c r="D80" s="316"/>
      <c r="E80" s="401" t="n">
        <f aca="false">E79+D82</f>
        <v>809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0</v>
      </c>
      <c r="C81" s="316"/>
      <c r="D81" s="316"/>
      <c r="E81" s="317" t="n">
        <f aca="false">E80/12</f>
        <v>67.4166666666667</v>
      </c>
      <c r="F81" s="385"/>
      <c r="G81" s="398" t="s">
        <v>281</v>
      </c>
      <c r="H81" s="76" t="n">
        <f aca="false">IF(G18&gt;40000,325,0)</f>
        <v>0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((B80+B81)/12)*(H29+1)</f>
        <v>195</v>
      </c>
      <c r="C82" s="316"/>
      <c r="D82" s="31" t="n">
        <f aca="false">IF(A50="YES",0,B82)</f>
        <v>195</v>
      </c>
      <c r="E82" s="317"/>
      <c r="F82" s="385"/>
      <c r="G82" s="365" t="s">
        <v>282</v>
      </c>
      <c r="H82" s="64" t="n">
        <f aca="false">((H80+H81)/12)*(H29-11)</f>
        <v>12.5</v>
      </c>
      <c r="I82" s="316"/>
      <c r="J82" s="31" t="n">
        <f aca="false">IF(A50="YES",0,H82)</f>
        <v>12.5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300</v>
      </c>
      <c r="C85" s="316"/>
      <c r="D85" s="31" t="n">
        <f aca="false">B85</f>
        <v>300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100</v>
      </c>
      <c r="C86" s="316"/>
      <c r="D86" s="31" t="n">
        <f aca="false">B86</f>
        <v>100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4093.94666666667</v>
      </c>
      <c r="C87" s="316"/>
      <c r="D87" s="316"/>
      <c r="E87" s="317"/>
      <c r="F87" s="385"/>
      <c r="G87" s="409" t="s">
        <v>103</v>
      </c>
      <c r="H87" s="410" t="n">
        <f aca="false">SUM(J70:J86)</f>
        <v>5744.78</v>
      </c>
      <c r="I87" s="316"/>
      <c r="J87" s="316"/>
      <c r="K87" s="317"/>
      <c r="L87" s="385"/>
      <c r="M87" s="409" t="s">
        <v>103</v>
      </c>
      <c r="N87" s="410" t="n">
        <f aca="false">SUM(P70:P86)</f>
        <v>5732.28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341.162222222222</v>
      </c>
      <c r="C88" s="316"/>
      <c r="D88" s="316"/>
      <c r="E88" s="317"/>
      <c r="F88" s="385"/>
      <c r="G88" s="315" t="s">
        <v>104</v>
      </c>
      <c r="H88" s="32" t="n">
        <f aca="false">H87/H29</f>
        <v>478.731666666667</v>
      </c>
      <c r="I88" s="316"/>
      <c r="J88" s="316"/>
      <c r="K88" s="317"/>
      <c r="L88" s="385"/>
      <c r="M88" s="315" t="s">
        <v>104</v>
      </c>
      <c r="N88" s="32" t="n">
        <f aca="false">N87/H29</f>
        <v>477.69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286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((B89*H29)+B87)*1.2</f>
        <v>9031.136</v>
      </c>
      <c r="C91" s="316"/>
      <c r="D91" s="316"/>
      <c r="E91" s="317"/>
      <c r="F91" s="385"/>
      <c r="G91" s="393" t="s">
        <v>115</v>
      </c>
      <c r="H91" s="26" t="n">
        <f aca="false">((H89*H29)+H87)*1.2</f>
        <v>6893.736</v>
      </c>
      <c r="I91" s="316"/>
      <c r="J91" s="316"/>
      <c r="K91" s="317"/>
      <c r="L91" s="385"/>
      <c r="M91" s="393" t="s">
        <v>115</v>
      </c>
      <c r="N91" s="26" t="n">
        <f aca="false">((N89*H29)+N87)</f>
        <v>5732.28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63.7534812424365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48.6649374747882</v>
      </c>
      <c r="I92" s="316"/>
      <c r="J92" s="316"/>
      <c r="K92" s="317"/>
      <c r="L92" s="385"/>
      <c r="M92" s="315" t="s">
        <v>116</v>
      </c>
      <c r="N92" s="32" t="n">
        <f aca="false">(N91/(1-N76))*N76</f>
        <v>48.5590480032271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9094.88948124244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8942.40093747479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7780.83904800323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IF(B105=Z104,(((H41*A32)+(H41*A32)*(B111/100))/(B64)),(((H41*A32)+(H41*A32)*(B111/100))/(B63+B64)))*1.2</f>
        <v>0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757.907456770203</v>
      </c>
      <c r="C96" s="316"/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757.907456770203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129</v>
      </c>
      <c r="C105" s="311"/>
      <c r="D105" s="418" t="n">
        <v>1000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19</v>
      </c>
      <c r="B111" s="311" t="n">
        <v>0</v>
      </c>
      <c r="C111" s="311"/>
      <c r="D111" s="106" t="n">
        <v>200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19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</v>
      </c>
      <c r="E118" s="106" t="n">
        <v>6000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2000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239.99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(E124+E123)-E120</f>
        <v>-2760.01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11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11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757.907456770203</v>
      </c>
      <c r="B134" s="320" t="n">
        <f aca="false">IF(A111="YES",B95,0)</f>
        <v>0</v>
      </c>
      <c r="C134" s="324"/>
      <c r="D134" s="320" t="n">
        <f aca="false">B97</f>
        <v>757.907456770203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Monthly in advance</v>
      </c>
      <c r="B137" s="37" t="n">
        <f aca="false">B96*B63</f>
        <v>757.907456770203</v>
      </c>
      <c r="C137" s="316"/>
      <c r="D137" s="37" t="n">
        <f aca="false">IF(A111="YES",B95*B63,0)</f>
        <v>0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757.907456770203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</v>
      </c>
      <c r="H142" s="37" t="n">
        <f aca="false">IF(G111="YES",E15*0.000002,0)</f>
        <v>0</v>
      </c>
      <c r="I142" s="37"/>
      <c r="J142" s="37" t="n">
        <f aca="false">G142+H142</f>
        <v>0</v>
      </c>
      <c r="K142" s="104"/>
      <c r="L142" s="385"/>
      <c r="M142" s="110" t="n">
        <f aca="false">E15*0.000006</f>
        <v>0</v>
      </c>
      <c r="N142" s="37" t="n">
        <f aca="false">IF(M111="YES",E15*0.000002,0)</f>
        <v>0</v>
      </c>
      <c r="O142" s="37"/>
      <c r="P142" s="37" t="n">
        <f aca="false">M142+N142</f>
        <v>0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757.907456770203</v>
      </c>
      <c r="B143" s="37" t="n">
        <f aca="false">IF(A111="YES",B95,0)</f>
        <v>0</v>
      </c>
      <c r="C143" s="316"/>
      <c r="D143" s="37" t="n">
        <f aca="false">B97</f>
        <v>757.907456770203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155.85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155.85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G18*0.000002*1.2*100</f>
        <v>8.97696</v>
      </c>
      <c r="C146" s="316"/>
      <c r="D146" s="342" t="n">
        <f aca="false">A146+B146</f>
        <v>35.90784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2815.838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2775.84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108</v>
      </c>
      <c r="B154" s="37" t="n">
        <f aca="false">B108</f>
        <v>400</v>
      </c>
      <c r="C154" s="37"/>
      <c r="D154" s="37" t="n">
        <f aca="false">IF(A111="YES",(A44/100*B111)*B131,0)*0.1</f>
        <v>0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3600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607.991666666667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757.907456770203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/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757.907456770203</v>
      </c>
      <c r="B177" s="354" t="n">
        <f aca="false">IF(A111="YES",B95,0)</f>
        <v>0</v>
      </c>
      <c r="C177" s="356"/>
      <c r="D177" s="354" t="n">
        <f aca="false">A177+B177</f>
        <v>757.907456770203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Monthly in advance</v>
      </c>
      <c r="B180" s="102" t="n">
        <f aca="false">B96*B63</f>
        <v>757.907456770203</v>
      </c>
      <c r="C180" s="352"/>
      <c r="D180" s="102" t="n">
        <f aca="false">IF(A111="YES",B95*B63,0)</f>
        <v>0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757.907456770203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757.907456770203</v>
      </c>
      <c r="B186" s="102" t="n">
        <f aca="false">IF(A111="YES",B95,0)</f>
        <v>0</v>
      </c>
      <c r="C186" s="352"/>
      <c r="D186" s="102" t="n">
        <f aca="false">B97</f>
        <v>757.907456770203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G18*0.000002*1.2*100</f>
        <v>8.97696</v>
      </c>
      <c r="C189" s="352"/>
      <c r="D189" s="364" t="n">
        <f aca="false">A189+B189</f>
        <v>35.90784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108</v>
      </c>
      <c r="B197" s="102" t="n">
        <f aca="false">B108</f>
        <v>400</v>
      </c>
      <c r="C197" s="102"/>
      <c r="D197" s="102" t="n">
        <f aca="false">IF(A111="YES",(A44/100*B111)*B131,0)*0.1</f>
        <v>0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607.991666666667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G201" s="385"/>
      <c r="H201" s="385"/>
      <c r="I201" s="385"/>
      <c r="J201" s="385"/>
      <c r="K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G202" s="385"/>
      <c r="H202" s="385"/>
      <c r="I202" s="385"/>
      <c r="J202" s="385"/>
      <c r="K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G203" s="385"/>
      <c r="H203" s="385"/>
      <c r="I203" s="385"/>
      <c r="J203" s="385"/>
      <c r="K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G204" s="385"/>
      <c r="H204" s="385"/>
      <c r="I204" s="385"/>
      <c r="J204" s="385"/>
      <c r="K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G205" s="385"/>
      <c r="H205" s="385"/>
      <c r="I205" s="385"/>
      <c r="J205" s="385"/>
      <c r="K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G206" s="385"/>
      <c r="H206" s="385"/>
      <c r="I206" s="385"/>
      <c r="J206" s="385"/>
      <c r="K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G207" s="385"/>
      <c r="H207" s="385"/>
      <c r="I207" s="385"/>
      <c r="J207" s="385"/>
      <c r="K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G208" s="385"/>
      <c r="H208" s="385"/>
      <c r="I208" s="385"/>
      <c r="J208" s="385"/>
      <c r="K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2618.28</v>
      </c>
      <c r="E209" s="321"/>
      <c r="F209" s="385"/>
      <c r="G209" s="385"/>
      <c r="H209" s="385"/>
      <c r="I209" s="385"/>
      <c r="J209" s="385"/>
      <c r="K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G210" s="385"/>
      <c r="H210" s="385"/>
      <c r="I210" s="385"/>
      <c r="J210" s="385"/>
      <c r="K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108</v>
      </c>
      <c r="C211" s="319" t="s">
        <v>218</v>
      </c>
      <c r="D211" s="369" t="n">
        <f aca="false">B225+E221+B221+B223</f>
        <v>339.991666666667</v>
      </c>
      <c r="E211" s="321"/>
      <c r="F211" s="385"/>
      <c r="G211" s="385"/>
      <c r="H211" s="385"/>
      <c r="I211" s="385"/>
      <c r="J211" s="385"/>
      <c r="K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G212" s="385"/>
      <c r="H212" s="385"/>
      <c r="I212" s="385"/>
      <c r="J212" s="385"/>
      <c r="K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2850.27166666667</v>
      </c>
      <c r="C213" s="324"/>
      <c r="D213" s="320"/>
      <c r="E213" s="321"/>
      <c r="F213" s="385"/>
      <c r="G213" s="385"/>
      <c r="H213" s="385"/>
      <c r="I213" s="385"/>
      <c r="J213" s="385"/>
      <c r="K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G214" s="385"/>
      <c r="H214" s="385"/>
      <c r="I214" s="385"/>
      <c r="J214" s="385"/>
      <c r="K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G215" s="385"/>
      <c r="H215" s="385"/>
      <c r="I215" s="385"/>
      <c r="J215" s="385"/>
      <c r="K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G216" s="385"/>
      <c r="H216" s="385"/>
      <c r="I216" s="385"/>
      <c r="J216" s="385"/>
      <c r="K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2618.28</v>
      </c>
      <c r="C217" s="373" t="s">
        <v>222</v>
      </c>
      <c r="D217" s="316"/>
      <c r="E217" s="374" t="n">
        <f aca="false">B72</f>
        <v>0.005</v>
      </c>
      <c r="F217" s="385"/>
      <c r="G217" s="385"/>
      <c r="H217" s="385"/>
      <c r="I217" s="385"/>
      <c r="J217" s="385"/>
      <c r="K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G218" s="385"/>
      <c r="H218" s="385"/>
      <c r="I218" s="385"/>
      <c r="J218" s="385"/>
      <c r="K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108</v>
      </c>
      <c r="C219" s="335" t="s">
        <v>327</v>
      </c>
      <c r="D219" s="336"/>
      <c r="E219" s="91" t="n">
        <v>0.001</v>
      </c>
      <c r="F219" s="385"/>
      <c r="G219" s="385"/>
      <c r="H219" s="385"/>
      <c r="I219" s="385"/>
      <c r="J219" s="385"/>
      <c r="K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G220" s="385"/>
      <c r="H220" s="385"/>
      <c r="I220" s="385"/>
      <c r="J220" s="385"/>
      <c r="K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385"/>
      <c r="G221" s="385"/>
      <c r="H221" s="385"/>
      <c r="I221" s="385"/>
      <c r="J221" s="385"/>
      <c r="K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G222" s="385"/>
      <c r="H222" s="385"/>
      <c r="I222" s="385"/>
      <c r="J222" s="385"/>
      <c r="K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2850.27166666667</v>
      </c>
      <c r="F223" s="385"/>
      <c r="G223" s="385"/>
      <c r="H223" s="385"/>
      <c r="I223" s="385"/>
      <c r="J223" s="385"/>
      <c r="K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G224" s="385"/>
      <c r="H224" s="385"/>
      <c r="I224" s="385"/>
      <c r="J224" s="385"/>
      <c r="K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385"/>
      <c r="G225" s="385"/>
      <c r="H225" s="385"/>
      <c r="I225" s="385"/>
      <c r="J225" s="385"/>
      <c r="K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G226" s="385"/>
      <c r="H226" s="385"/>
      <c r="I226" s="385"/>
      <c r="J226" s="385"/>
      <c r="K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G227" s="385"/>
      <c r="H227" s="385"/>
      <c r="I227" s="385"/>
      <c r="J227" s="385"/>
      <c r="K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G228" s="385"/>
      <c r="H228" s="385"/>
      <c r="I228" s="385"/>
      <c r="J228" s="385"/>
      <c r="K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160</v>
      </c>
      <c r="C229" s="335" t="s">
        <v>227</v>
      </c>
      <c r="D229" s="342"/>
      <c r="E229" s="148" t="n">
        <f aca="false">B78</f>
        <v>4.5</v>
      </c>
      <c r="F229" s="385"/>
      <c r="G229" s="385"/>
      <c r="H229" s="385"/>
      <c r="I229" s="385"/>
      <c r="J229" s="385"/>
      <c r="K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214</v>
      </c>
      <c r="F230" s="385"/>
      <c r="G230" s="385"/>
      <c r="H230" s="385"/>
      <c r="I230" s="385"/>
      <c r="J230" s="385"/>
      <c r="K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G231" s="385"/>
      <c r="H231" s="385"/>
      <c r="I231" s="385"/>
      <c r="J231" s="385"/>
      <c r="K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63.7534812424365</v>
      </c>
      <c r="F232" s="385"/>
      <c r="G232" s="385"/>
      <c r="H232" s="385"/>
      <c r="I232" s="385"/>
      <c r="J232" s="385"/>
      <c r="K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300</v>
      </c>
      <c r="C233" s="379" t="s">
        <v>331</v>
      </c>
      <c r="D233" s="380"/>
      <c r="E233" s="148" t="n">
        <f aca="false">B80</f>
        <v>180</v>
      </c>
      <c r="F233" s="385"/>
      <c r="G233" s="385"/>
      <c r="H233" s="385"/>
      <c r="I233" s="385"/>
      <c r="J233" s="385"/>
      <c r="K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G234" s="385"/>
      <c r="H234" s="385"/>
      <c r="I234" s="385"/>
      <c r="J234" s="385"/>
      <c r="K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100</v>
      </c>
      <c r="C235" s="383" t="s">
        <v>332</v>
      </c>
      <c r="D235" s="383"/>
      <c r="E235" s="148" t="n">
        <f aca="false">B81</f>
        <v>0</v>
      </c>
      <c r="F235" s="385"/>
      <c r="G235" s="385"/>
      <c r="H235" s="385"/>
      <c r="I235" s="385"/>
      <c r="J235" s="385"/>
      <c r="K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G236" s="385"/>
      <c r="H236" s="385"/>
      <c r="I236" s="385"/>
      <c r="J236" s="385"/>
      <c r="K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G237" s="385"/>
      <c r="H237" s="385"/>
      <c r="I237" s="385"/>
      <c r="J237" s="385"/>
      <c r="K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G238" s="385"/>
      <c r="H238" s="385"/>
      <c r="I238" s="385"/>
      <c r="J238" s="385"/>
      <c r="K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G239" s="385"/>
      <c r="H239" s="385"/>
      <c r="I239" s="385"/>
      <c r="J239" s="385"/>
      <c r="K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G240" s="385"/>
      <c r="H240" s="385"/>
      <c r="I240" s="385"/>
      <c r="J240" s="385"/>
      <c r="K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G241" s="385"/>
      <c r="H241" s="385"/>
      <c r="I241" s="385"/>
      <c r="J241" s="385"/>
      <c r="K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G242" s="385"/>
      <c r="H242" s="385"/>
      <c r="I242" s="385"/>
      <c r="J242" s="385"/>
      <c r="K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85"/>
      <c r="B243" s="385"/>
      <c r="C243" s="385"/>
      <c r="D243" s="385"/>
      <c r="E243" s="385"/>
      <c r="F243" s="385"/>
      <c r="G243" s="385"/>
      <c r="H243" s="385"/>
      <c r="I243" s="385"/>
      <c r="J243" s="385"/>
      <c r="K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385"/>
      <c r="B244" s="385"/>
      <c r="C244" s="385"/>
      <c r="D244" s="385"/>
      <c r="E244" s="385"/>
      <c r="F244" s="385"/>
      <c r="G244" s="385"/>
      <c r="H244" s="385"/>
      <c r="I244" s="385"/>
      <c r="J244" s="385"/>
      <c r="K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85"/>
      <c r="B245" s="385"/>
      <c r="C245" s="385"/>
      <c r="D245" s="385"/>
      <c r="E245" s="385"/>
      <c r="F245" s="385"/>
      <c r="G245" s="385"/>
      <c r="H245" s="385"/>
      <c r="I245" s="385"/>
      <c r="J245" s="385"/>
      <c r="K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85"/>
      <c r="B246" s="385"/>
      <c r="C246" s="385"/>
      <c r="D246" s="385"/>
      <c r="E246" s="385"/>
      <c r="F246" s="385"/>
      <c r="G246" s="385"/>
      <c r="H246" s="385"/>
      <c r="I246" s="385"/>
      <c r="J246" s="385"/>
      <c r="K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385"/>
      <c r="B247" s="385"/>
      <c r="C247" s="385"/>
      <c r="D247" s="385"/>
      <c r="E247" s="385"/>
      <c r="F247" s="385"/>
      <c r="G247" s="385"/>
      <c r="H247" s="385"/>
      <c r="I247" s="385"/>
      <c r="J247" s="385"/>
      <c r="K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85"/>
      <c r="B248" s="385"/>
      <c r="C248" s="385"/>
      <c r="D248" s="385"/>
      <c r="E248" s="385"/>
      <c r="F248" s="385"/>
      <c r="G248" s="385"/>
      <c r="H248" s="385"/>
      <c r="I248" s="385"/>
      <c r="J248" s="385"/>
      <c r="K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B190" activeCellId="1" sqref="A191 B190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385"/>
      <c r="I8" s="13" t="s">
        <v>3</v>
      </c>
      <c r="J8" s="9" t="n">
        <f aca="false">E13+E14</f>
        <v>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385"/>
      <c r="I10" s="15" t="s">
        <v>1</v>
      </c>
      <c r="J10" s="9" t="n">
        <f aca="false">E15-E11-J8</f>
        <v>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45400</v>
      </c>
      <c r="E29" s="387"/>
      <c r="F29" s="385"/>
      <c r="G29" s="28" t="s">
        <v>28</v>
      </c>
      <c r="H29" s="36" t="n">
        <f aca="false">A32</f>
        <v>12</v>
      </c>
      <c r="I29" s="385" t="n">
        <f aca="false">ISNUMBER(I31)</f>
        <v>0</v>
      </c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338</v>
      </c>
      <c r="B34" s="230" t="s">
        <v>48</v>
      </c>
      <c r="C34" s="229" t="s">
        <v>4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E19</f>
        <v>21600</v>
      </c>
      <c r="B35" s="222" t="s">
        <v>45</v>
      </c>
      <c r="C35" s="222"/>
      <c r="D35" s="278" t="n">
        <f aca="false">A35-B35</f>
        <v>20600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4</v>
      </c>
      <c r="G40" s="2" t="s">
        <v>58</v>
      </c>
      <c r="H40" s="2" t="n">
        <f aca="false">C15</f>
        <v>3600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335</v>
      </c>
      <c r="B41" s="103" t="s">
        <v>336</v>
      </c>
      <c r="C41" s="103"/>
      <c r="D41" s="222" t="s">
        <v>18</v>
      </c>
      <c r="E41" s="222"/>
      <c r="F41" s="385"/>
      <c r="G41" s="2" t="s">
        <v>59</v>
      </c>
      <c r="H41" s="2" t="n">
        <f aca="false">IF(D41="Yes",A44,0)</f>
        <v>0</v>
      </c>
      <c r="I41" s="2" t="s">
        <v>4</v>
      </c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4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n">
        <v>0</v>
      </c>
      <c r="B44" s="103" t="s">
        <v>337</v>
      </c>
      <c r="C44" s="103"/>
      <c r="D44" s="103" t="n">
        <v>0</v>
      </c>
      <c r="E44" s="103"/>
      <c r="F44" s="385"/>
      <c r="G44" s="2" t="s">
        <v>65</v>
      </c>
      <c r="H44" s="2" t="n">
        <f aca="false">((H40-(((H42/(1.2))*0.2)))/(H43))</f>
        <v>216.666666666667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283.333333333333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286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109"/>
      <c r="B50" s="229"/>
      <c r="C50" s="229"/>
      <c r="D50" s="229"/>
      <c r="E50" s="242"/>
      <c r="F50" s="385"/>
      <c r="G50" s="2" t="s">
        <v>340</v>
      </c>
      <c r="H50" s="2" t="n">
        <f aca="false">H49-H41</f>
        <v>286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/>
      <c r="B52" s="73"/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286</v>
      </c>
      <c r="C58" s="73"/>
      <c r="D58" s="424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 t="s">
        <v>4</v>
      </c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213" t="s">
        <v>14</v>
      </c>
      <c r="B67" s="290" t="n">
        <v>37404</v>
      </c>
      <c r="C67" s="316"/>
      <c r="D67" s="316"/>
      <c r="E67" s="317"/>
      <c r="F67" s="385"/>
      <c r="G67" s="315" t="s">
        <v>14</v>
      </c>
      <c r="H67" s="31" t="n">
        <f aca="false">G18</f>
        <v>37404</v>
      </c>
      <c r="I67" s="316"/>
      <c r="J67" s="316"/>
      <c r="K67" s="317"/>
      <c r="L67" s="385"/>
      <c r="M67" s="315" t="s">
        <v>14</v>
      </c>
      <c r="N67" s="31" t="n">
        <f aca="false">G18</f>
        <v>37404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291" t="s">
        <v>278</v>
      </c>
      <c r="B68" s="292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284" t="s">
        <v>91</v>
      </c>
      <c r="B70" s="132" t="n">
        <f aca="false">B67*B69</f>
        <v>2618.28</v>
      </c>
      <c r="C70" s="316" t="n">
        <v>10000</v>
      </c>
      <c r="D70" s="31" t="n">
        <f aca="false">B70-A149</f>
        <v>2618.28</v>
      </c>
      <c r="E70" s="317" t="n">
        <f aca="false">D70/12</f>
        <v>218.19</v>
      </c>
      <c r="F70" s="385"/>
      <c r="G70" s="365" t="s">
        <v>91</v>
      </c>
      <c r="H70" s="64" t="n">
        <f aca="false">H67*H69</f>
        <v>2618.28</v>
      </c>
      <c r="I70" s="316"/>
      <c r="J70" s="31" t="n">
        <f aca="false">H70-G151</f>
        <v>2618.28</v>
      </c>
      <c r="K70" s="317"/>
      <c r="L70" s="385"/>
      <c r="M70" s="365" t="s">
        <v>91</v>
      </c>
      <c r="N70" s="64" t="n">
        <f aca="false">N67*N69</f>
        <v>2618.28</v>
      </c>
      <c r="O70" s="316"/>
      <c r="P70" s="31" t="n">
        <f aca="false">N70-M151</f>
        <v>2618.28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291" t="s">
        <v>92</v>
      </c>
      <c r="B71" s="292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316"/>
      <c r="D73" s="31"/>
      <c r="E73" s="317"/>
      <c r="F73" s="385"/>
      <c r="G73" s="365" t="s">
        <v>94</v>
      </c>
      <c r="H73" s="64" t="n">
        <f aca="false">H67*H72</f>
        <v>187.02</v>
      </c>
      <c r="I73" s="316"/>
      <c r="J73" s="31"/>
      <c r="K73" s="317"/>
      <c r="L73" s="385"/>
      <c r="M73" s="365" t="s">
        <v>94</v>
      </c>
      <c r="N73" s="64" t="n">
        <f aca="false">N67*N72</f>
        <v>187.02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165</v>
      </c>
      <c r="C80" s="316"/>
      <c r="D80" s="316"/>
      <c r="E80" s="401" t="n">
        <f aca="false">E79+D82</f>
        <v>838.75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0</v>
      </c>
      <c r="C81" s="316"/>
      <c r="D81" s="316"/>
      <c r="E81" s="317" t="n">
        <f aca="false">E80/12</f>
        <v>69.8958333333333</v>
      </c>
      <c r="F81" s="385"/>
      <c r="G81" s="398" t="s">
        <v>281</v>
      </c>
      <c r="H81" s="76" t="n">
        <f aca="false">IF(G18&gt;40000,325,0)</f>
        <v>0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((B80+B81)/12)*(H29+1)</f>
        <v>178.75</v>
      </c>
      <c r="C82" s="316"/>
      <c r="D82" s="31" t="n">
        <f aca="false">IF(A50="YES",0,B82)</f>
        <v>178.75</v>
      </c>
      <c r="E82" s="317"/>
      <c r="F82" s="385"/>
      <c r="G82" s="365" t="s">
        <v>282</v>
      </c>
      <c r="H82" s="64" t="n">
        <f aca="false">((H80+H81)/12)*(H29-11)</f>
        <v>12.5</v>
      </c>
      <c r="I82" s="316"/>
      <c r="J82" s="31" t="n">
        <f aca="false">IF(A50="YES",0,H82)</f>
        <v>12.5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4123.69666666667</v>
      </c>
      <c r="C87" s="316"/>
      <c r="D87" s="316"/>
      <c r="E87" s="317"/>
      <c r="F87" s="385"/>
      <c r="G87" s="409" t="s">
        <v>103</v>
      </c>
      <c r="H87" s="410" t="n">
        <f aca="false">SUM(J70:J86)</f>
        <v>5744.78</v>
      </c>
      <c r="I87" s="316"/>
      <c r="J87" s="316"/>
      <c r="K87" s="317"/>
      <c r="L87" s="385"/>
      <c r="M87" s="409" t="s">
        <v>103</v>
      </c>
      <c r="N87" s="410" t="n">
        <f aca="false">SUM(P70:P86)</f>
        <v>5732.28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343.641388888889</v>
      </c>
      <c r="C88" s="316"/>
      <c r="D88" s="316"/>
      <c r="E88" s="317"/>
      <c r="F88" s="385"/>
      <c r="G88" s="315" t="s">
        <v>104</v>
      </c>
      <c r="H88" s="32" t="n">
        <f aca="false">H87/H29</f>
        <v>478.731666666667</v>
      </c>
      <c r="I88" s="316"/>
      <c r="J88" s="316"/>
      <c r="K88" s="317"/>
      <c r="L88" s="385"/>
      <c r="M88" s="315" t="s">
        <v>104</v>
      </c>
      <c r="N88" s="32" t="n">
        <f aca="false">N87/H29</f>
        <v>477.69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286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</f>
        <v>7555.69666666667</v>
      </c>
      <c r="C91" s="316"/>
      <c r="D91" s="316"/>
      <c r="E91" s="317"/>
      <c r="F91" s="385"/>
      <c r="G91" s="393" t="s">
        <v>115</v>
      </c>
      <c r="H91" s="26" t="n">
        <f aca="false">((H89*H29)+H87)*1.2</f>
        <v>6893.736</v>
      </c>
      <c r="I91" s="316"/>
      <c r="J91" s="316"/>
      <c r="K91" s="317"/>
      <c r="L91" s="385"/>
      <c r="M91" s="393" t="s">
        <v>115</v>
      </c>
      <c r="N91" s="26" t="n">
        <f aca="false">((N89*H29)+N87)</f>
        <v>5732.28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64.0054981847519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48.6649374747882</v>
      </c>
      <c r="I92" s="316"/>
      <c r="J92" s="316"/>
      <c r="K92" s="317"/>
      <c r="L92" s="385"/>
      <c r="M92" s="315" t="s">
        <v>116</v>
      </c>
      <c r="N92" s="32" t="n">
        <f aca="false">(N91/(1-N76))*N76</f>
        <v>48.5590480032271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7619.70216485142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8942.40093747479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7780.83904800323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</f>
        <v>0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634.975180404285</v>
      </c>
      <c r="C96" s="316" t="s">
        <v>4</v>
      </c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634.975180404285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352</v>
      </c>
      <c r="C105" s="311"/>
      <c r="D105" s="418" t="n">
        <v>1000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19</v>
      </c>
      <c r="B111" s="311" t="n">
        <v>0</v>
      </c>
      <c r="C111" s="311"/>
      <c r="D111" s="106" t="s">
        <v>353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19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</v>
      </c>
      <c r="E118" s="106" t="n">
        <v>6000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2000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199.99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((E124*1.2)+E123)-E120</f>
        <v>-2760.012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3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3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634.975180404285</v>
      </c>
      <c r="B134" s="320" t="n">
        <f aca="false">IF(A111="YES",B95,0)</f>
        <v>0</v>
      </c>
      <c r="C134" s="325"/>
      <c r="D134" s="320" t="n">
        <f aca="false">B97</f>
        <v>634.975180404285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Terminal pause with 9 down</v>
      </c>
      <c r="B137" s="37" t="n">
        <f aca="false">B96*B63</f>
        <v>5714.77662363857</v>
      </c>
      <c r="C137" s="316"/>
      <c r="D137" s="37" t="n">
        <f aca="false">IF(A111="YES",B95*B63,0)</f>
        <v>0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5714.77662363857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</v>
      </c>
      <c r="H142" s="37" t="n">
        <f aca="false">IF(G111="YES",E15*0.000002,0)</f>
        <v>0</v>
      </c>
      <c r="I142" s="37"/>
      <c r="J142" s="37" t="n">
        <f aca="false">G142+H142</f>
        <v>0</v>
      </c>
      <c r="K142" s="104"/>
      <c r="L142" s="385"/>
      <c r="M142" s="110" t="n">
        <f aca="false">E15*0.000006</f>
        <v>0</v>
      </c>
      <c r="N142" s="37" t="n">
        <f aca="false">IF(M111="YES",E15*0.000002,0)</f>
        <v>0</v>
      </c>
      <c r="O142" s="37"/>
      <c r="P142" s="37" t="n">
        <f aca="false">M142+N142</f>
        <v>0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634.975180404285</v>
      </c>
      <c r="B143" s="37" t="n">
        <f aca="false">IF(A111="YES",B95,0)</f>
        <v>0</v>
      </c>
      <c r="C143" s="316"/>
      <c r="D143" s="37" t="n">
        <f aca="false">B97</f>
        <v>634.975180404285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155.85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155.85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(G18*0.000006)*100</f>
        <v>22.4424</v>
      </c>
      <c r="B146" s="342" t="n">
        <f aca="false">G18*0.000002*100</f>
        <v>7.4808</v>
      </c>
      <c r="C146" s="316"/>
      <c r="D146" s="342" t="n">
        <f aca="false">A146+B146</f>
        <v>29.9232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2815.838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2775.84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216</v>
      </c>
      <c r="B154" s="102" t="n">
        <f aca="false">B108</f>
        <v>400</v>
      </c>
      <c r="C154" s="37"/>
      <c r="D154" s="37" t="n">
        <f aca="false">IF(A111="YES",(A44/100*B111)*B131,0)*0.1</f>
        <v>0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3600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715.99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634.975180404285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 t="n">
        <f aca="false">ISNUMBER(B183)</f>
        <v>1</v>
      </c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634.975180404285</v>
      </c>
      <c r="B177" s="354" t="n">
        <f aca="false">IF(A111="YES",B95,0)</f>
        <v>0</v>
      </c>
      <c r="C177" s="357"/>
      <c r="D177" s="354" t="n">
        <f aca="false">B91</f>
        <v>7555.69666666667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Terminal pause with 9 down</v>
      </c>
      <c r="B180" s="102" t="n">
        <f aca="false">B96*B63</f>
        <v>5714.77662363857</v>
      </c>
      <c r="C180" s="352"/>
      <c r="D180" s="102" t="n">
        <f aca="false">IF(A111="YES",B95*B63,0)</f>
        <v>0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5714.77662363857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634.975180404285</v>
      </c>
      <c r="B186" s="102" t="n">
        <f aca="false">IF(A111="YES",B95,0)</f>
        <v>0</v>
      </c>
      <c r="C186" s="352"/>
      <c r="D186" s="102" t="n">
        <f aca="false">B97</f>
        <v>634.975180404285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(G18*0.000006)*100</f>
        <v>22.4424</v>
      </c>
      <c r="B189" s="364" t="n">
        <f aca="false">G18*0.000002*100</f>
        <v>7.4808</v>
      </c>
      <c r="C189" s="352"/>
      <c r="D189" s="364" t="n">
        <f aca="false">A189+B189</f>
        <v>29.9232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IF(A111="YES",(A44/100*B111)*B131,0)*0.1</f>
        <v>0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715.99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2618.28</v>
      </c>
      <c r="E209" s="321"/>
      <c r="F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</v>
      </c>
      <c r="E211" s="321"/>
      <c r="F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2742.27</v>
      </c>
      <c r="C213" s="324"/>
      <c r="D213" s="320"/>
      <c r="E213" s="321"/>
      <c r="F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2618.28</v>
      </c>
      <c r="C217" s="373" t="s">
        <v>222</v>
      </c>
      <c r="D217" s="316"/>
      <c r="E217" s="374" t="n">
        <f aca="false">B72</f>
        <v>0.01</v>
      </c>
      <c r="F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2742.27</v>
      </c>
      <c r="F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64.0054981847519</v>
      </c>
      <c r="F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110"/>
      <c r="B244" s="37"/>
      <c r="C244" s="37"/>
      <c r="D244" s="37"/>
      <c r="E244" s="104"/>
      <c r="F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110"/>
      <c r="B247" s="37"/>
      <c r="C247" s="316"/>
      <c r="D247" s="316"/>
      <c r="E247" s="317"/>
      <c r="F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90" colorId="64" zoomScale="85" zoomScaleNormal="85" zoomScalePageLayoutView="100" workbookViewId="0">
      <selection pane="topLeft" activeCell="B190" activeCellId="1" sqref="A191 B190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45400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str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349</v>
      </c>
      <c r="B41" s="240" t="str">
        <f aca="false">IF(B38="YES",D38+A41,D38)</f>
        <v>500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349</v>
      </c>
      <c r="E44" s="103"/>
      <c r="F44" s="62"/>
      <c r="G44" s="62" t="s">
        <v>257</v>
      </c>
      <c r="H44" s="237" t="str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339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2838.66666666667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236.555555555556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8850.66666666667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74.9753933037515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8925.64205997042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743.803504997535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743.803504997535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351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3" t="n">
        <v>0</v>
      </c>
      <c r="C111" s="313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743.803504997535</v>
      </c>
      <c r="B134" s="320" t="n">
        <f aca="false">IF(A111="YES",B95,0)</f>
        <v>0</v>
      </c>
      <c r="C134" s="325"/>
      <c r="D134" s="320" t="n">
        <f aca="false">B97</f>
        <v>743.803504997535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Monthly in advance</v>
      </c>
      <c r="B137" s="37" t="n">
        <f aca="false">B96*B63</f>
        <v>743.803504997535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743.803504997535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743.803504997535</v>
      </c>
      <c r="B143" s="37" t="n">
        <f aca="false">IF(A111="YES",B95,0)</f>
        <v>0</v>
      </c>
      <c r="C143" s="316"/>
      <c r="D143" s="37" t="n">
        <f aca="false">B97</f>
        <v>743.803504997535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22.4424</v>
      </c>
      <c r="B146" s="342" t="n">
        <f aca="false">G18*0.000002*100</f>
        <v>7.4808</v>
      </c>
      <c r="C146" s="316"/>
      <c r="D146" s="342" t="n">
        <f aca="false">A146+B146</f>
        <v>29.9232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102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715.99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743.803504997535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743.803504997535</v>
      </c>
      <c r="B177" s="354" t="n">
        <f aca="false">IF(A111="YES",B95,0)</f>
        <v>0</v>
      </c>
      <c r="C177" s="357"/>
      <c r="D177" s="354" t="n">
        <f aca="false">B91</f>
        <v>8850.66666666667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Monthly in advance</v>
      </c>
      <c r="B180" s="102" t="n">
        <f aca="false">B96*B63</f>
        <v>743.803504997535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743.803504997535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743.803504997535</v>
      </c>
      <c r="B186" s="102" t="n">
        <f aca="false">IF(A111="YES",B95,0)</f>
        <v>0</v>
      </c>
      <c r="C186" s="352"/>
      <c r="D186" s="102" t="n">
        <f aca="false">B97</f>
        <v>743.803504997535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22.4424</v>
      </c>
      <c r="B189" s="364" t="n">
        <f aca="false">G18*0.000002*100</f>
        <v>7.4808</v>
      </c>
      <c r="C189" s="352"/>
      <c r="D189" s="364" t="n">
        <f aca="false">A189+B189</f>
        <v>29.9232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715.99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1635.99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1512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1635.99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74.9753933037515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1" sqref="A191 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45400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str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349</v>
      </c>
      <c r="B41" s="240" t="str">
        <f aca="false">IF(B38="YES",D38+A41,D38)</f>
        <v>500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349</v>
      </c>
      <c r="E44" s="103"/>
      <c r="F44" s="62"/>
      <c r="G44" s="62" t="s">
        <v>257</v>
      </c>
      <c r="H44" s="237" t="str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</v>
      </c>
      <c r="C80" s="214"/>
      <c r="D80" s="214"/>
      <c r="E80" s="426" t="n">
        <f aca="false">E79+D82</f>
        <v>838.75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69.8958333333333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178.75</v>
      </c>
      <c r="C82" s="214"/>
      <c r="D82" s="290" t="n">
        <f aca="false">IF(A50="YES",0,B82)</f>
        <v>178.75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3017.41666666667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251.451388888889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10835.3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76.4896127470755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10911.7896127471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909.315801062256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909.315801062256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909.315801062256</v>
      </c>
      <c r="B134" s="320" t="n">
        <f aca="false">IF(A111="YES",B95,0)</f>
        <v>0</v>
      </c>
      <c r="C134" s="325"/>
      <c r="D134" s="320" t="n">
        <f aca="false">B97</f>
        <v>909.315801062256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Monthly in advance</v>
      </c>
      <c r="B137" s="37" t="n">
        <f aca="false">B96*B63</f>
        <v>909.315801062256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909.315801062256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909.315801062256</v>
      </c>
      <c r="B143" s="37" t="n">
        <f aca="false">IF(A111="YES",B95,0)</f>
        <v>0</v>
      </c>
      <c r="C143" s="316"/>
      <c r="D143" s="37" t="n">
        <f aca="false">B97</f>
        <v>909.315801062256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G18*0.000002*1.2*100</f>
        <v>8.97696</v>
      </c>
      <c r="C146" s="316"/>
      <c r="D146" s="342" t="n">
        <f aca="false">A146+B146</f>
        <v>35.90784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715.991666666667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909.315801062256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909.315801062256</v>
      </c>
      <c r="B177" s="354" t="n">
        <f aca="false">IF(A111="YES",B95,0)</f>
        <v>0</v>
      </c>
      <c r="C177" s="357"/>
      <c r="D177" s="354" t="n">
        <f aca="false">B97</f>
        <v>909.315801062256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Monthly in advance</v>
      </c>
      <c r="B180" s="102" t="n">
        <f aca="false">B96*B63</f>
        <v>909.315801062256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909.315801062256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909.315801062256</v>
      </c>
      <c r="B186" s="102" t="n">
        <f aca="false">IF(A111="YES",B95,0)</f>
        <v>0</v>
      </c>
      <c r="C186" s="352"/>
      <c r="D186" s="102" t="n">
        <f aca="false">B97</f>
        <v>909.315801062256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G18*0.000002*1.2*100</f>
        <v>8.97696</v>
      </c>
      <c r="C189" s="352"/>
      <c r="D189" s="364" t="n">
        <f aca="false">A189+B189</f>
        <v>35.90784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715.991666666667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1635.99166666667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1512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1635.99166666667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76.4896127470755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87" colorId="64" zoomScale="85" zoomScaleNormal="85" zoomScalePageLayoutView="100" workbookViewId="0">
      <selection pane="topLeft" activeCell="B190" activeCellId="1" sqref="A191 B190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45400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str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70</v>
      </c>
      <c r="B41" s="240" t="n">
        <f aca="false">IF(B38="YES",D38+A41,D38)</f>
        <v>550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350</v>
      </c>
      <c r="E44" s="103"/>
      <c r="F44" s="62"/>
      <c r="G44" s="62" t="s">
        <v>257</v>
      </c>
      <c r="H44" s="237" t="str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</v>
      </c>
      <c r="C80" s="214"/>
      <c r="D80" s="214"/>
      <c r="E80" s="426" t="n">
        <f aca="false">E79+D82</f>
        <v>838.75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69.8958333333333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178.75</v>
      </c>
      <c r="C82" s="214"/>
      <c r="D82" s="290" t="n">
        <f aca="false">IF(A50="YES",0,B82)</f>
        <v>178.75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3017.41666666667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251.451388888889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9029.41666666667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76.4896127470755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9105.90627941374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60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758.825523284479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758.825523284479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20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758.825523284479</v>
      </c>
      <c r="B134" s="320" t="n">
        <f aca="false">IF(A111="YES",B95,0)</f>
        <v>0</v>
      </c>
      <c r="C134" s="325"/>
      <c r="D134" s="320" t="n">
        <f aca="false">B97</f>
        <v>758.825523284479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Monthly in advance</v>
      </c>
      <c r="B137" s="37" t="n">
        <f aca="false">B96*B63</f>
        <v>758.825523284479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758.825523284479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758.825523284479</v>
      </c>
      <c r="B143" s="37" t="n">
        <f aca="false">IF(A111="YES",B95,0)</f>
        <v>0</v>
      </c>
      <c r="C143" s="316"/>
      <c r="D143" s="37" t="n">
        <f aca="false">B97</f>
        <v>758.825523284479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22.4424</v>
      </c>
      <c r="B146" s="342" t="n">
        <f aca="false">G18*0.000002*100</f>
        <v>7.4808</v>
      </c>
      <c r="C146" s="316"/>
      <c r="D146" s="342" t="n">
        <f aca="false">A146+B146</f>
        <v>29.9232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1387.838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1347.84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715.99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758.825523284479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758.825523284479</v>
      </c>
      <c r="B177" s="354" t="n">
        <f aca="false">IF(A111="YES",B95,0)</f>
        <v>0</v>
      </c>
      <c r="C177" s="357"/>
      <c r="D177" s="354" t="n">
        <f aca="false">B91</f>
        <v>9029.41666666667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Monthly in advance</v>
      </c>
      <c r="B180" s="102" t="n">
        <f aca="false">B96*B63</f>
        <v>758.825523284479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758.825523284479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758.825523284479</v>
      </c>
      <c r="B186" s="102" t="n">
        <f aca="false">IF(A111="YES",B95,0)</f>
        <v>0</v>
      </c>
      <c r="C186" s="352"/>
      <c r="D186" s="102" t="n">
        <f aca="false">B97</f>
        <v>758.825523284479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22.4424</v>
      </c>
      <c r="B189" s="364" t="n">
        <f aca="false">G18*0.000002*100</f>
        <v>7.4808</v>
      </c>
      <c r="C189" s="352"/>
      <c r="D189" s="364" t="n">
        <f aca="false">A189+B189</f>
        <v>29.9232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B154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715.99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1635.99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1512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1635.99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76.4896127470755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72" colorId="64" zoomScale="85" zoomScaleNormal="85" zoomScalePageLayoutView="100" workbookViewId="0">
      <selection pane="topLeft" activeCell="B190" activeCellId="1" sqref="A191 B190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45400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0.00</v>
      </c>
      <c r="E32" s="225"/>
      <c r="F32" s="62"/>
      <c r="G32" s="226" t="s">
        <v>243</v>
      </c>
      <c r="H32" s="224" t="str">
        <f aca="false">A41</f>
        <v>0.00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249</v>
      </c>
      <c r="B41" s="240" t="n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str">
        <f aca="false">H32</f>
        <v>0.00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2838.66666666667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236.555555555556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8850.66666666667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74.9753933037515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8925.64205997042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743.803504997535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743.803504997535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342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20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743.803504997535</v>
      </c>
      <c r="B134" s="320" t="n">
        <f aca="false">IF(A111="YES",B95,0)</f>
        <v>0</v>
      </c>
      <c r="C134" s="325"/>
      <c r="D134" s="320" t="n">
        <f aca="false">B97</f>
        <v>743.803504997535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Monthly in advance</v>
      </c>
      <c r="B137" s="37" t="n">
        <f aca="false">B96*B63</f>
        <v>743.803504997535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743.803504997535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743.803504997535</v>
      </c>
      <c r="B143" s="37" t="n">
        <f aca="false">IF(A111="YES",B95,0)</f>
        <v>0</v>
      </c>
      <c r="C143" s="316"/>
      <c r="D143" s="37" t="n">
        <f aca="false">B97</f>
        <v>743.803504997535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22.4424</v>
      </c>
      <c r="B146" s="342" t="n">
        <f aca="false">G18*0.000002*100</f>
        <v>7.4808</v>
      </c>
      <c r="C146" s="316"/>
      <c r="D146" s="342" t="n">
        <f aca="false">A146+B146</f>
        <v>29.9232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715.99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743.803504997535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743.803504997535</v>
      </c>
      <c r="B177" s="354" t="n">
        <f aca="false">IF(A111="YES",B95,0)</f>
        <v>0</v>
      </c>
      <c r="C177" s="357"/>
      <c r="D177" s="354" t="n">
        <f aca="false">B91</f>
        <v>8850.66666666667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Monthly in advance</v>
      </c>
      <c r="B180" s="102" t="n">
        <f aca="false">B96*B63</f>
        <v>743.803504997535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743.803504997535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743.803504997535</v>
      </c>
      <c r="B186" s="102" t="n">
        <f aca="false">IF(A111="YES",B95,0)</f>
        <v>0</v>
      </c>
      <c r="C186" s="352"/>
      <c r="D186" s="102" t="n">
        <f aca="false">B97</f>
        <v>743.803504997535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22.4424</v>
      </c>
      <c r="B189" s="364" t="n">
        <f aca="false">G18*0.000002*100</f>
        <v>7.4808</v>
      </c>
      <c r="C189" s="352"/>
      <c r="D189" s="364" t="n">
        <f aca="false">A189+B189</f>
        <v>29.9232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715.99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1635.99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1512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1635.99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74.9753933037515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1" sqref="A191 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45400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</v>
      </c>
      <c r="C80" s="214"/>
      <c r="D80" s="214"/>
      <c r="E80" s="426" t="n">
        <f aca="false">E79+D82</f>
        <v>838.75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69.8958333333333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178.75</v>
      </c>
      <c r="C82" s="214"/>
      <c r="D82" s="290" t="n">
        <f aca="false">IF(A50="YES",0,B82)</f>
        <v>178.75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3017.41666666667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251.451388888889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10835.3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76.4896127470755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10911.7896127471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909.315801062256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909.315801062256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909.315801062256</v>
      </c>
      <c r="B134" s="320" t="n">
        <f aca="false">IF(A111="YES",B95,0)</f>
        <v>0</v>
      </c>
      <c r="C134" s="325"/>
      <c r="D134" s="320" t="n">
        <f aca="false">B97</f>
        <v>909.315801062256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Monthly in advance</v>
      </c>
      <c r="B137" s="37" t="n">
        <f aca="false">B96*B63</f>
        <v>909.315801062256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909.315801062256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909.315801062256</v>
      </c>
      <c r="B143" s="37" t="n">
        <f aca="false">IF(A111="YES",B95,0)</f>
        <v>0</v>
      </c>
      <c r="C143" s="316"/>
      <c r="D143" s="37" t="n">
        <f aca="false">B97</f>
        <v>909.315801062256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G18*0.000002*1.2*100</f>
        <v>8.97696</v>
      </c>
      <c r="C146" s="316"/>
      <c r="D146" s="342" t="n">
        <f aca="false">A146+B146</f>
        <v>35.90784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715.991666666667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909.315801062256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909.315801062256</v>
      </c>
      <c r="B177" s="354" t="n">
        <f aca="false">IF(A111="YES",B95,0)</f>
        <v>0</v>
      </c>
      <c r="C177" s="357"/>
      <c r="D177" s="354" t="n">
        <f aca="false">B91</f>
        <v>10835.3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Monthly in advance</v>
      </c>
      <c r="B180" s="102" t="n">
        <f aca="false">B96*B63</f>
        <v>909.315801062256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909.315801062256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909.315801062256</v>
      </c>
      <c r="B186" s="102" t="n">
        <f aca="false">IF(A111="YES",B95,0)</f>
        <v>0</v>
      </c>
      <c r="C186" s="352"/>
      <c r="D186" s="102" t="n">
        <f aca="false">B97</f>
        <v>909.315801062256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G18*0.000002*1.2*100</f>
        <v>8.97696</v>
      </c>
      <c r="C189" s="352"/>
      <c r="D189" s="364" t="n">
        <f aca="false">A189+B189</f>
        <v>35.90784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715.991666666667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1635.99166666667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1512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1635.99166666667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76.4896127470755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02" colorId="64" zoomScale="85" zoomScaleNormal="85" zoomScalePageLayoutView="100" workbookViewId="0">
      <selection pane="topLeft" activeCell="B190" activeCellId="1" sqref="A191 B190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60000</v>
      </c>
      <c r="C9" s="9" t="n">
        <f aca="false">B9*0.2</f>
        <v>12000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60000</v>
      </c>
      <c r="C15" s="9" t="n">
        <f aca="false">SUM(C9:C13)</f>
        <v>12000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72000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60000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45400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0.00</v>
      </c>
      <c r="E32" s="225"/>
      <c r="F32" s="62"/>
      <c r="G32" s="226" t="s">
        <v>243</v>
      </c>
      <c r="H32" s="224" t="str">
        <f aca="false">A41</f>
        <v>0.00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249</v>
      </c>
      <c r="B41" s="240" t="n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str">
        <f aca="false">H32</f>
        <v>0.00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72000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5040</v>
      </c>
      <c r="C70" s="214" t="n">
        <v>10000</v>
      </c>
      <c r="D70" s="290" t="n">
        <f aca="false">B70-A149</f>
        <v>5040</v>
      </c>
      <c r="E70" s="215" t="n">
        <f aca="false">D70/12</f>
        <v>420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720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</v>
      </c>
      <c r="C80" s="214"/>
      <c r="D80" s="214"/>
      <c r="E80" s="426" t="n">
        <f aca="false">E79+D82</f>
        <v>838.75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69.8958333333333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178.75</v>
      </c>
      <c r="C82" s="214"/>
      <c r="D82" s="290" t="n">
        <f aca="false">IF(A50="YES",0,B82)</f>
        <v>178.75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6545.41666666667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545.451388888889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12557.4166666667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106.375857200484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12663.7925238672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1055.3160436556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1055.3160436556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20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1055.3160436556</v>
      </c>
      <c r="B134" s="320" t="n">
        <f aca="false">IF(A111="YES",B95,0)</f>
        <v>0</v>
      </c>
      <c r="C134" s="325"/>
      <c r="D134" s="320" t="n">
        <f aca="false">B97</f>
        <v>1055.3160436556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Monthly in advance</v>
      </c>
      <c r="B137" s="37" t="n">
        <f aca="false">B96*B63</f>
        <v>1055.3160436556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1055.3160436556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1055.3160436556</v>
      </c>
      <c r="B143" s="37" t="n">
        <f aca="false">IF(A111="YES",B95,0)</f>
        <v>0</v>
      </c>
      <c r="C143" s="316"/>
      <c r="D143" s="37" t="n">
        <f aca="false">B97</f>
        <v>1055.3160436556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22.4424</v>
      </c>
      <c r="B146" s="342" t="n">
        <f aca="false">G18*0.000002*100</f>
        <v>7.4808</v>
      </c>
      <c r="C146" s="316"/>
      <c r="D146" s="342" t="n">
        <f aca="false">A146+B146</f>
        <v>29.9232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720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1219.99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1055.3160436556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1055.3160436556</v>
      </c>
      <c r="B177" s="354" t="n">
        <f aca="false">IF(A111="YES",B95,0)</f>
        <v>0</v>
      </c>
      <c r="C177" s="357"/>
      <c r="D177" s="354" t="n">
        <f aca="false">B91</f>
        <v>12557.4166666667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Monthly in advance</v>
      </c>
      <c r="B180" s="102" t="n">
        <f aca="false">B96*B63</f>
        <v>1055.3160436556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1055.3160436556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1055.3160436556</v>
      </c>
      <c r="B186" s="102" t="n">
        <f aca="false">IF(A111="YES",B95,0)</f>
        <v>0</v>
      </c>
      <c r="C186" s="352"/>
      <c r="D186" s="102" t="n">
        <f aca="false">B97</f>
        <v>1055.3160436556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22.4424</v>
      </c>
      <c r="B189" s="364" t="n">
        <f aca="false">G18*0.000002*100</f>
        <v>7.4808</v>
      </c>
      <c r="C189" s="352"/>
      <c r="D189" s="364" t="n">
        <f aca="false">A189+B189</f>
        <v>29.9232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720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1219.99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5040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720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4659.99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5040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720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4659.99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106.375857200484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4" colorId="64" zoomScale="85" zoomScaleNormal="85" zoomScalePageLayoutView="100" workbookViewId="0">
      <selection pane="topLeft" activeCell="A182" activeCellId="1" sqref="A191 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37405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15150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241.443901397419</v>
      </c>
      <c r="F33" s="231"/>
      <c r="G33" s="231"/>
      <c r="H33" s="46"/>
      <c r="I33" s="2"/>
      <c r="J33" s="33" t="s">
        <v>356</v>
      </c>
      <c r="K33" s="47" t="n">
        <f aca="false">E21</f>
        <v>18000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241.443901397419</v>
      </c>
      <c r="B36" s="231" t="str">
        <f aca="false">IF(B26="YES",K42,"0.00")</f>
        <v>0.00</v>
      </c>
      <c r="C36" s="231"/>
      <c r="D36" s="231"/>
      <c r="E36" s="231" t="n">
        <f aca="false">K31</f>
        <v>15150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18000</v>
      </c>
      <c r="L39" s="2" t="n">
        <f aca="false">(L47*K46)+K44</f>
        <v>36089.6572316354</v>
      </c>
      <c r="N39" s="1" t="n">
        <f aca="false">K39-L39</f>
        <v>-18089.6572316354</v>
      </c>
      <c r="P39" s="211"/>
    </row>
    <row r="40" customFormat="false" ht="19.5" hidden="false" customHeight="false" outlineLevel="0" collapsed="false">
      <c r="A40" s="106" t="n">
        <f aca="false">E36*A45/100</f>
        <v>15150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12625</v>
      </c>
      <c r="L40" s="2" t="n">
        <f aca="false">K39-L39</f>
        <v>-18089.6572316354</v>
      </c>
      <c r="N40" s="1" t="n">
        <f aca="false">N38-N39</f>
        <v>21001.3372316354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10180.4856703288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7819.51432967116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241.443901397419</v>
      </c>
      <c r="L47" s="2" t="n">
        <f aca="false">L49-K42</f>
        <v>800</v>
      </c>
      <c r="M47" s="1" t="n">
        <f aca="false">K47-L47</f>
        <v>-558.556098602581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241.443901397419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241.443901397419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37405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37405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37405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37405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5900.53588952154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190.4167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2805.375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374.05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241.443901397419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241.443901397419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241.443901397419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241.443901397419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22850.004</v>
      </c>
      <c r="C81" s="92"/>
      <c r="D81" s="92"/>
      <c r="E81" s="112"/>
      <c r="F81" s="24" t="s">
        <v>106</v>
      </c>
      <c r="G81" s="26" t="n">
        <f aca="false">G158</f>
        <v>22850.004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15150</v>
      </c>
      <c r="C82" s="92"/>
      <c r="D82" s="92"/>
      <c r="E82" s="112"/>
      <c r="F82" s="30" t="s">
        <v>107</v>
      </c>
      <c r="G82" s="32" t="n">
        <f aca="false">IF(A111="YES",A40,0)</f>
        <v>15150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15150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15150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B59</f>
        <v>35</v>
      </c>
      <c r="C85" s="92"/>
      <c r="D85" s="92"/>
      <c r="E85" s="112"/>
      <c r="F85" s="30" t="s">
        <v>110</v>
      </c>
      <c r="G85" s="32" t="n">
        <f aca="false">IF(G82=0,(B59+B58),(B59))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10588.712986853</v>
      </c>
      <c r="C86" s="92"/>
      <c r="D86" s="92"/>
      <c r="E86" s="112"/>
      <c r="F86" s="30" t="s">
        <v>111</v>
      </c>
      <c r="G86" s="32" t="n">
        <f aca="false">(G82/((1+G84)^(G85+1)))</f>
        <v>12287.8462040869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10248.48789156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10248.48789156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12261.291013147</v>
      </c>
      <c r="C88" s="92"/>
      <c r="D88" s="92"/>
      <c r="E88" s="112"/>
      <c r="F88" s="30" t="s">
        <v>113</v>
      </c>
      <c r="G88" s="32" t="n">
        <f aca="false">G81-G86</f>
        <v>10562.1577959131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416.929038280818</v>
      </c>
      <c r="C89" s="92"/>
      <c r="D89" s="92"/>
      <c r="E89" s="112"/>
      <c r="F89" s="30" t="s">
        <v>114</v>
      </c>
      <c r="G89" s="32" t="n">
        <f aca="false">(G88/G87)</f>
        <v>334.506060039412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14592.5163398286</v>
      </c>
      <c r="C90" s="92"/>
      <c r="D90" s="92"/>
      <c r="E90" s="112"/>
      <c r="F90" s="30" t="s">
        <v>115</v>
      </c>
      <c r="G90" s="32" t="n">
        <f aca="false">((G89*(G85))+G77)</f>
        <v>11707.7121013794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14592.5163398286</v>
      </c>
      <c r="C92" s="92"/>
      <c r="D92" s="92"/>
      <c r="E92" s="112"/>
      <c r="F92" s="55" t="s">
        <v>117</v>
      </c>
      <c r="G92" s="64" t="n">
        <f aca="false">(G90+G91)</f>
        <v>11707.7121013794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IF(B26="YES",((E40/B85)*(1+A108)*1.2*(C45/100)),"0")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(B92/B85)</f>
        <v>416.929038280818</v>
      </c>
      <c r="C95" s="92"/>
      <c r="D95" s="92"/>
      <c r="E95" s="112"/>
      <c r="F95" s="94" t="s">
        <v>119</v>
      </c>
      <c r="G95" s="95" t="n">
        <f aca="false">G92/(G85)</f>
        <v>334.506060039412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416.929038280818</v>
      </c>
      <c r="C96" s="92"/>
      <c r="D96" s="92"/>
      <c r="E96" s="112"/>
      <c r="F96" s="96" t="s">
        <v>120</v>
      </c>
      <c r="G96" s="97" t="n">
        <f aca="false">G94+G95</f>
        <v>334.506060039412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19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200</v>
      </c>
      <c r="C111" s="106"/>
      <c r="D111" s="106"/>
      <c r="E111" s="106" t="n">
        <v>200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400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18000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21600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21600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21600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18000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18000</v>
      </c>
      <c r="H135" s="152" t="n">
        <f aca="false">C125+E125+G125+H128</f>
        <v>19791.67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-17548.6116666667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400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22850.004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416.929038280818</v>
      </c>
      <c r="B167" s="176" t="str">
        <f aca="false">B94</f>
        <v>0</v>
      </c>
      <c r="C167" s="173"/>
      <c r="D167" s="173"/>
      <c r="E167" s="176" t="n">
        <f aca="false">B96</f>
        <v>416.929038280818</v>
      </c>
      <c r="F167" s="22"/>
      <c r="G167" s="22" t="n">
        <f aca="false">ROUND(G95,2)</f>
        <v>334.51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15150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15150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15150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15150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200</v>
      </c>
      <c r="C176" s="102"/>
      <c r="D176" s="22"/>
      <c r="E176" s="102" t="n">
        <f aca="false">E111</f>
        <v>200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400</v>
      </c>
      <c r="B179" s="102" t="n">
        <f aca="false">G154</f>
        <v>500</v>
      </c>
      <c r="C179" s="102"/>
      <c r="D179" s="22"/>
      <c r="E179" s="102" t="n">
        <f aca="false">A176-A179-B179</f>
        <v>22850.004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6892.51233982863</v>
      </c>
      <c r="B182" s="102" t="str">
        <f aca="false">B114</f>
        <v>239.99</v>
      </c>
      <c r="C182" s="102"/>
      <c r="D182" s="22"/>
      <c r="E182" s="102" t="n">
        <f aca="false">E179+A182+B182+A185</f>
        <v>29992.5063398286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A179+B182</f>
        <v>639.99</v>
      </c>
      <c r="C185" s="102"/>
      <c r="D185" s="22"/>
      <c r="E185" s="102" t="n">
        <f aca="false">IF(A40=0,(E167+A185),(E170+A185))</f>
        <v>15160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15170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15160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15160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IF(E105="YES",B61*0.000002,0)*100</f>
        <v>0</v>
      </c>
      <c r="B188" s="102" t="n">
        <f aca="false">(G158*B67)/1.2</f>
        <v>190.4167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B182/1.2-100</f>
        <v>99.9916666666667</v>
      </c>
      <c r="B191" s="102" t="n">
        <f aca="false">B188+E188+A191</f>
        <v>290.408366666667</v>
      </c>
      <c r="C191" s="92"/>
      <c r="D191" s="92"/>
      <c r="E191" s="102" t="n">
        <f aca="false">H148</f>
        <v>1791.67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416.929038280818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4007.846</v>
      </c>
      <c r="B201" s="185" t="n">
        <f aca="false">E179+A201+B182+A185</f>
        <v>27107.84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416.929038280818</v>
      </c>
      <c r="B212" s="176" t="str">
        <f aca="false">B167</f>
        <v>0</v>
      </c>
      <c r="C212" s="173"/>
      <c r="D212" s="173"/>
      <c r="E212" s="176" t="n">
        <f aca="false">E167</f>
        <v>416.929038280818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200</v>
      </c>
      <c r="C218" s="102"/>
      <c r="D218" s="112"/>
      <c r="E218" s="102" t="n">
        <f aca="false">E176</f>
        <v>200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400</v>
      </c>
      <c r="B221" s="102" t="n">
        <f aca="false">B179</f>
        <v>500</v>
      </c>
      <c r="C221" s="102"/>
      <c r="D221" s="112"/>
      <c r="E221" s="102" t="n">
        <f aca="false">E179</f>
        <v>22850.004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6892.51233982863</v>
      </c>
      <c r="B224" s="102" t="str">
        <f aca="false">B182</f>
        <v>239.99</v>
      </c>
      <c r="C224" s="102"/>
      <c r="D224" s="112"/>
      <c r="E224" s="102" t="n">
        <f aca="false">E182</f>
        <v>29992.5063398286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639.99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416.929038280818</v>
      </c>
      <c r="B230" s="102" t="str">
        <f aca="false">B167</f>
        <v>0</v>
      </c>
      <c r="C230" s="185"/>
      <c r="D230" s="185"/>
      <c r="E230" s="102" t="n">
        <f aca="false">E167</f>
        <v>416.929038280818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15150</v>
      </c>
      <c r="B233" s="102" t="n">
        <f aca="false">E185</f>
        <v>15160</v>
      </c>
      <c r="C233" s="92"/>
      <c r="D233" s="92"/>
      <c r="E233" s="102" t="n">
        <f aca="false">J18*0.000006*100*1.2</f>
        <v>26.9316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IF(E105="YES",J18*0.000002,0)*100*1.2</f>
        <v>0</v>
      </c>
      <c r="B236" s="102" t="n">
        <f aca="false">E233+A236</f>
        <v>26.9316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B68</f>
        <v>190.4167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2082.07836666666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2894.66633982863</v>
      </c>
      <c r="C254" s="196"/>
      <c r="D254" s="197" t="s">
        <v>217</v>
      </c>
      <c r="E254" s="197"/>
      <c r="F254" s="199" t="n">
        <f aca="false">F261+F267+F269+B270+B271</f>
        <v>228.50004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2766.1579664953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2894.66633982863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0.01</v>
      </c>
      <c r="C261" s="31"/>
      <c r="D261" s="165" t="s">
        <v>222</v>
      </c>
      <c r="E261" s="165"/>
      <c r="F261" s="150" t="n">
        <f aca="false">B68*1.2</f>
        <v>228.50004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2766.1579664953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8" colorId="64" zoomScale="85" zoomScaleNormal="85" zoomScalePageLayoutView="100" workbookViewId="0">
      <selection pane="topLeft" activeCell="A182" activeCellId="1" sqref="A191 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18708.33</v>
      </c>
      <c r="C2" s="4" t="s">
        <v>2</v>
      </c>
      <c r="D2" s="5" t="n">
        <f aca="false">C9</f>
        <v>3741.666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22449.996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18708.33</v>
      </c>
      <c r="C9" s="9" t="n">
        <f aca="false">B9*0.2</f>
        <v>3741.666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18708.33</v>
      </c>
      <c r="C15" s="9" t="n">
        <f aca="false">SUM(C9:C13)</f>
        <v>3741.666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37405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22449.996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18708.33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577.658917599342</v>
      </c>
      <c r="F33" s="231"/>
      <c r="G33" s="231"/>
      <c r="H33" s="46"/>
      <c r="I33" s="2"/>
      <c r="J33" s="33" t="s">
        <v>356</v>
      </c>
      <c r="K33" s="47" t="n">
        <f aca="false">E21</f>
        <v>18708.33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577.658917599342</v>
      </c>
      <c r="B36" s="231" t="str">
        <f aca="false">IF(B26="YES",K42,"0.00")</f>
        <v>0.00</v>
      </c>
      <c r="C36" s="231"/>
      <c r="D36" s="231"/>
      <c r="E36" s="231" t="n">
        <f aca="false">K31</f>
        <v>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18708.33</v>
      </c>
      <c r="L39" s="2" t="n">
        <f aca="false">(L47*K46)+K44</f>
        <v>25909.1715613066</v>
      </c>
      <c r="N39" s="1" t="n">
        <f aca="false">K39-L39</f>
        <v>-7200.84156130656</v>
      </c>
      <c r="P39" s="211"/>
    </row>
    <row r="40" customFormat="false" ht="19.5" hidden="false" customHeight="false" outlineLevel="0" collapsed="false">
      <c r="A40" s="106" t="n">
        <f aca="false">E36*A45/100</f>
        <v>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0</v>
      </c>
      <c r="L40" s="2" t="n">
        <f aca="false">K39-L39</f>
        <v>-7200.84156130656</v>
      </c>
      <c r="N40" s="1" t="n">
        <f aca="false">N38-N39</f>
        <v>10112.5215613066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0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18708.33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577.658917599342</v>
      </c>
      <c r="L47" s="2" t="n">
        <f aca="false">L49-K42</f>
        <v>800</v>
      </c>
      <c r="M47" s="1" t="n">
        <f aca="false">K47-L47</f>
        <v>-222.341082400658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577.658917599342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577.658917599342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37405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37405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37405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37405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5684.64618167444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185.416666666667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2805.375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374.05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577.658917599342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577.658917599342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577.658917599342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577.658917599342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22250</v>
      </c>
      <c r="C81" s="92"/>
      <c r="D81" s="92"/>
      <c r="E81" s="112"/>
      <c r="F81" s="24" t="s">
        <v>106</v>
      </c>
      <c r="G81" s="26" t="n">
        <f aca="false">G158</f>
        <v>22250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0</v>
      </c>
      <c r="C82" s="92"/>
      <c r="D82" s="92"/>
      <c r="E82" s="112"/>
      <c r="F82" s="30" t="s">
        <v>107</v>
      </c>
      <c r="G82" s="32" t="n">
        <f aca="false">IF(A111="YES",A40,0)</f>
        <v>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B59</f>
        <v>35</v>
      </c>
      <c r="C85" s="92"/>
      <c r="D85" s="92"/>
      <c r="E85" s="112"/>
      <c r="F85" s="30" t="s">
        <v>110</v>
      </c>
      <c r="G85" s="32" t="n">
        <f aca="false">B59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0</v>
      </c>
      <c r="C86" s="92"/>
      <c r="D86" s="92"/>
      <c r="E86" s="112"/>
      <c r="F86" s="30" t="s">
        <v>111</v>
      </c>
      <c r="G86" s="32" t="n">
        <f aca="false">(G82/((1+G84)^(G85+1)))</f>
        <v>0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0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0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22250</v>
      </c>
      <c r="C88" s="92"/>
      <c r="D88" s="92"/>
      <c r="E88" s="112"/>
      <c r="F88" s="30" t="s">
        <v>113</v>
      </c>
      <c r="G88" s="32" t="n">
        <f aca="false">G81-G86</f>
        <v>22250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756.581920435736</v>
      </c>
      <c r="C89" s="92"/>
      <c r="D89" s="92"/>
      <c r="E89" s="112"/>
      <c r="F89" s="30" t="s">
        <v>114</v>
      </c>
      <c r="G89" s="32" t="n">
        <f aca="false">(G88/G87)</f>
        <v>704.662814141709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26480.3672152507</v>
      </c>
      <c r="C90" s="92"/>
      <c r="D90" s="92"/>
      <c r="E90" s="112"/>
      <c r="F90" s="30" t="s">
        <v>115</v>
      </c>
      <c r="G90" s="32" t="n">
        <f aca="false">((G89*(G85))+G77)</f>
        <v>24663.1984949598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26480.3672152507</v>
      </c>
      <c r="C92" s="92"/>
      <c r="D92" s="92"/>
      <c r="E92" s="112"/>
      <c r="F92" s="55" t="s">
        <v>117</v>
      </c>
      <c r="G92" s="64" t="n">
        <f aca="false">(G90+G91)</f>
        <v>24663.1984949598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(B92/B85)</f>
        <v>756.581920435736</v>
      </c>
      <c r="C95" s="92"/>
      <c r="D95" s="92"/>
      <c r="E95" s="112"/>
      <c r="F95" s="94" t="s">
        <v>119</v>
      </c>
      <c r="G95" s="95" t="n">
        <f aca="false">G92/(G85)</f>
        <v>704.662814141709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756.581920435736</v>
      </c>
      <c r="C96" s="92"/>
      <c r="D96" s="92"/>
      <c r="E96" s="112"/>
      <c r="F96" s="96" t="s">
        <v>120</v>
      </c>
      <c r="G96" s="97" t="n">
        <f aca="false">G94+G95</f>
        <v>704.662814141709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19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18708.33</v>
      </c>
      <c r="C121" s="120" t="n">
        <v>20625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22449.996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22449.996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22449.996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18708.33</v>
      </c>
      <c r="C125" s="132" t="n">
        <f aca="false">C121-C124</f>
        <v>20625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18708.33</v>
      </c>
      <c r="H135" s="152" t="n">
        <f aca="false">C125+E125+G125+H128</f>
        <v>20625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3741.666</v>
      </c>
      <c r="H137" s="32" t="n">
        <f aca="false">(H135+H136)*20%</f>
        <v>4125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22449.996</v>
      </c>
      <c r="H141" s="156" t="n">
        <f aca="false">(H135+H136+H139+H140+H137)-H138</f>
        <v>24750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22449.996</v>
      </c>
      <c r="H147" s="163" t="n">
        <f aca="false">H141-((H144*1.2)+(H145*1.2)+(H146*1.2)+(H142*1.2))</f>
        <v>24750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1916.67</v>
      </c>
      <c r="I148" s="1" t="n">
        <f aca="false">(H148-G81)/1.2</f>
        <v>-16944.4416666667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22250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756.581920435736</v>
      </c>
      <c r="B167" s="176" t="str">
        <f aca="false">B94</f>
        <v>0</v>
      </c>
      <c r="C167" s="173"/>
      <c r="D167" s="173"/>
      <c r="E167" s="176" t="n">
        <f aca="false">B96</f>
        <v>756.581920435736</v>
      </c>
      <c r="F167" s="22"/>
      <c r="G167" s="22" t="n">
        <f aca="false">ROUND(G95,2)</f>
        <v>704.66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20625</v>
      </c>
      <c r="B173" s="102" t="n">
        <f aca="false">H137</f>
        <v>4125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24750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22250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4986.9491356865</v>
      </c>
      <c r="B182" s="102" t="str">
        <f aca="false">B114</f>
        <v>199.99</v>
      </c>
      <c r="C182" s="102"/>
      <c r="D182" s="22"/>
      <c r="E182" s="102" t="n">
        <f aca="false">E179+A182+(B182*1.2)+A185</f>
        <v>27486.9371356865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A179+(B182*1.2)</f>
        <v>2239.988</v>
      </c>
      <c r="C185" s="102"/>
      <c r="D185" s="22"/>
      <c r="E185" s="102" t="n">
        <f aca="false">IF(A40=0,(E167+A185),(E170+A185))</f>
        <v>766.581920435736</v>
      </c>
      <c r="F185" s="22"/>
      <c r="G185" s="10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20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IF(E105="YES",B61*0.000002,0)*100</f>
        <v>0</v>
      </c>
      <c r="B188" s="102" t="n">
        <f aca="false">(G158*B67)/1.2</f>
        <v>185.416666666667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285.406666666667</v>
      </c>
      <c r="C191" s="92"/>
      <c r="D191" s="92"/>
      <c r="E191" s="102" t="n">
        <f aca="false">H148</f>
        <v>1916.67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756.581920435736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3117.76</v>
      </c>
      <c r="B201" s="185" t="n">
        <f aca="false">E179+A201+(B182*1.2)+A185</f>
        <v>25617.748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756.581920435736</v>
      </c>
      <c r="B212" s="176" t="str">
        <f aca="false">B167</f>
        <v>0</v>
      </c>
      <c r="C212" s="173"/>
      <c r="D212" s="173"/>
      <c r="E212" s="176" t="n">
        <f aca="false">E167</f>
        <v>756.581920435736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20625</v>
      </c>
      <c r="B215" s="102" t="n">
        <f aca="false">B173</f>
        <v>4125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24750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22250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4986.9491356865</v>
      </c>
      <c r="B224" s="102" t="str">
        <f aca="false">B182</f>
        <v>199.99</v>
      </c>
      <c r="C224" s="102"/>
      <c r="D224" s="112"/>
      <c r="E224" s="102" t="n">
        <f aca="false">E182</f>
        <v>27486.9371356865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756.581920435736</v>
      </c>
      <c r="B230" s="102" t="str">
        <f aca="false">B167</f>
        <v>0</v>
      </c>
      <c r="C230" s="185"/>
      <c r="D230" s="185"/>
      <c r="E230" s="102" t="n">
        <f aca="false">E167</f>
        <v>756.581920435736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0</v>
      </c>
      <c r="B233" s="102" t="n">
        <f aca="false">E185</f>
        <v>766.581920435736</v>
      </c>
      <c r="C233" s="92"/>
      <c r="D233" s="92"/>
      <c r="E233" s="102" t="n">
        <f aca="false">J18*0.000006*100</f>
        <v>22.443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</f>
        <v>0</v>
      </c>
      <c r="B236" s="102" t="n">
        <f aca="false">E233+A236</f>
        <v>22.443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1916.67</v>
      </c>
      <c r="B240" s="102" t="n">
        <f aca="false">B68</f>
        <v>185.416666666667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2202.07666666666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1879.1891356865</v>
      </c>
      <c r="C254" s="196"/>
      <c r="D254" s="197" t="s">
        <v>217</v>
      </c>
      <c r="E254" s="197"/>
      <c r="F254" s="199" t="n">
        <f aca="false">F261+F267+F269+B270+B271</f>
        <v>222.5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1756.6791356865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1879.1891356865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0.01</v>
      </c>
      <c r="C261" s="31"/>
      <c r="D261" s="165" t="s">
        <v>222</v>
      </c>
      <c r="E261" s="165"/>
      <c r="F261" s="150" t="n">
        <f aca="false">B68*1.2</f>
        <v>222.5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1756.6791356865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5" colorId="64" zoomScale="85" zoomScaleNormal="85" zoomScalePageLayoutView="100" workbookViewId="0">
      <selection pane="topLeft" activeCell="A182" activeCellId="1" sqref="A191 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37405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15150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241.443901397419</v>
      </c>
      <c r="F33" s="231"/>
      <c r="G33" s="231"/>
      <c r="H33" s="46"/>
      <c r="I33" s="2"/>
      <c r="J33" s="33" t="s">
        <v>356</v>
      </c>
      <c r="K33" s="47" t="n">
        <f aca="false">E21</f>
        <v>18000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241.443901397419</v>
      </c>
      <c r="B36" s="231" t="str">
        <f aca="false">IF(B26="YES",K42,"0.00")</f>
        <v>0.00</v>
      </c>
      <c r="C36" s="231"/>
      <c r="D36" s="231"/>
      <c r="E36" s="231" t="n">
        <f aca="false">K31</f>
        <v>15150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18000</v>
      </c>
      <c r="L39" s="2" t="n">
        <f aca="false">(L47*K46)+K44</f>
        <v>36089.6572316354</v>
      </c>
      <c r="N39" s="1" t="n">
        <f aca="false">K39-L39</f>
        <v>-18089.6572316354</v>
      </c>
      <c r="P39" s="211"/>
    </row>
    <row r="40" customFormat="false" ht="19.5" hidden="false" customHeight="false" outlineLevel="0" collapsed="false">
      <c r="A40" s="106" t="n">
        <f aca="false">E36*A45/100</f>
        <v>15150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12625</v>
      </c>
      <c r="L40" s="2" t="n">
        <f aca="false">K39-L39</f>
        <v>-18089.6572316354</v>
      </c>
      <c r="N40" s="1" t="n">
        <f aca="false">N38-N39</f>
        <v>21001.3372316354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10180.4856703288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40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7819.51432967116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241.443901397419</v>
      </c>
      <c r="L47" s="2" t="n">
        <f aca="false">L49-K42</f>
        <v>800</v>
      </c>
      <c r="M47" s="1" t="n">
        <f aca="false">K47-L47</f>
        <v>-558.556098602581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241.443901397419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241.443901397419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37405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37405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37405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37405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3996.3297077507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177.083366666667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2805.375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374.05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241.443901397419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241.443901397419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241.443901397419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241.443901397419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21250.004</v>
      </c>
      <c r="C81" s="92"/>
      <c r="D81" s="92"/>
      <c r="E81" s="112"/>
      <c r="F81" s="24" t="s">
        <v>106</v>
      </c>
      <c r="G81" s="26" t="n">
        <f aca="false">G158</f>
        <v>21250.004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15150</v>
      </c>
      <c r="C82" s="92"/>
      <c r="D82" s="92"/>
      <c r="E82" s="112"/>
      <c r="F82" s="30" t="s">
        <v>107</v>
      </c>
      <c r="G82" s="32" t="n">
        <f aca="false">IF(A111="YES",A40,0)</f>
        <v>15150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15150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15150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35</v>
      </c>
      <c r="C85" s="92"/>
      <c r="D85" s="92"/>
      <c r="E85" s="112"/>
      <c r="F85" s="30" t="s">
        <v>110</v>
      </c>
      <c r="G85" s="32" t="n">
        <f aca="false">IF(G82=0,(B59+B58),(B59))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10588.712986853</v>
      </c>
      <c r="C86" s="92"/>
      <c r="D86" s="92"/>
      <c r="E86" s="112"/>
      <c r="F86" s="30" t="s">
        <v>111</v>
      </c>
      <c r="G86" s="32" t="n">
        <f aca="false">(G82/((1+G84)^(G85+1)))</f>
        <v>12287.8462040869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10248.48789156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10248.48789156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10661.291013147</v>
      </c>
      <c r="C88" s="92"/>
      <c r="D88" s="92"/>
      <c r="E88" s="112"/>
      <c r="F88" s="30" t="s">
        <v>113</v>
      </c>
      <c r="G88" s="32" t="n">
        <f aca="false">G81-G86</f>
        <v>8962.15779591308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362.52314737308</v>
      </c>
      <c r="C89" s="92"/>
      <c r="D89" s="92"/>
      <c r="E89" s="112"/>
      <c r="F89" s="30" t="s">
        <v>114</v>
      </c>
      <c r="G89" s="32" t="n">
        <f aca="false">(G88/G87)</f>
        <v>283.833677898884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12688.3101580578</v>
      </c>
      <c r="C90" s="92"/>
      <c r="D90" s="92"/>
      <c r="E90" s="112"/>
      <c r="F90" s="30" t="s">
        <v>115</v>
      </c>
      <c r="G90" s="32" t="n">
        <f aca="false">((G89*(G85))+G77)</f>
        <v>9934.17872646094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12688.3101580578</v>
      </c>
      <c r="C92" s="92"/>
      <c r="D92" s="92"/>
      <c r="E92" s="112"/>
      <c r="F92" s="55" t="s">
        <v>117</v>
      </c>
      <c r="G92" s="64" t="n">
        <f aca="false">(G90+G91)</f>
        <v>9934.17872646094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IF(B26="YES",((E40/B85)*(1+A108)*1.2*(C45/100)),"0")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362.52314737308</v>
      </c>
      <c r="C95" s="92"/>
      <c r="D95" s="92"/>
      <c r="E95" s="112"/>
      <c r="F95" s="94" t="s">
        <v>119</v>
      </c>
      <c r="G95" s="95" t="n">
        <f aca="false">G92/(G85)</f>
        <v>283.833677898884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362.52314737308</v>
      </c>
      <c r="C96" s="92"/>
      <c r="D96" s="92"/>
      <c r="E96" s="112"/>
      <c r="F96" s="96" t="s">
        <v>120</v>
      </c>
      <c r="G96" s="97" t="n">
        <f aca="false">G94+G95</f>
        <v>283.833677898884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19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18000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21600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21600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21600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18000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18000</v>
      </c>
      <c r="H135" s="152" t="n">
        <f aca="false">C125+E125+G125+H128</f>
        <v>19791.67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-16215.2783333333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21250.004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362.52314737308</v>
      </c>
      <c r="B167" s="176" t="str">
        <f aca="false">B94</f>
        <v>0</v>
      </c>
      <c r="C167" s="173"/>
      <c r="D167" s="173"/>
      <c r="E167" s="176" t="n">
        <f aca="false">B96</f>
        <v>362.52314737308</v>
      </c>
      <c r="F167" s="22"/>
      <c r="G167" s="22" t="n">
        <f aca="false">ROUND(G95,2)</f>
        <v>283.83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15150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15150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15150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15150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21250.004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6588.3061580578</v>
      </c>
      <c r="B182" s="102" t="str">
        <f aca="false">B114</f>
        <v>239.99</v>
      </c>
      <c r="C182" s="102"/>
      <c r="D182" s="22"/>
      <c r="E182" s="102" t="n">
        <f aca="false">E179+A182+B182+A185</f>
        <v>28088.3001580578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A179+(B182)</f>
        <v>2239.99</v>
      </c>
      <c r="C185" s="102"/>
      <c r="D185" s="22"/>
      <c r="E185" s="102" t="n">
        <f aca="false">IF(A40=0,(E167+A185),(E170+A185))</f>
        <v>15160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15170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15160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15160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IF(E105="YES",B61*0.000002,0)*100*1.2</f>
        <v>0</v>
      </c>
      <c r="B188" s="102" t="n">
        <f aca="false">(G158*B67)/1.2</f>
        <v>177.083366666667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B182/1.2-100</f>
        <v>99.9916666666667</v>
      </c>
      <c r="B191" s="102" t="n">
        <f aca="false">B188+E188+A191</f>
        <v>277.075033333333</v>
      </c>
      <c r="C191" s="92"/>
      <c r="D191" s="92"/>
      <c r="E191" s="102" t="n">
        <f aca="false">H148</f>
        <v>1791.67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362.52314737308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3834.046</v>
      </c>
      <c r="B201" s="185" t="n">
        <f aca="false">E179+A201+B182+A185</f>
        <v>25334.04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362.52314737308</v>
      </c>
      <c r="B212" s="176" t="str">
        <f aca="false">B167</f>
        <v>0</v>
      </c>
      <c r="C212" s="173"/>
      <c r="D212" s="173"/>
      <c r="E212" s="176" t="n">
        <f aca="false">E167</f>
        <v>362.52314737308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21250.004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6588.3061580578</v>
      </c>
      <c r="B224" s="102" t="str">
        <f aca="false">B182</f>
        <v>239.99</v>
      </c>
      <c r="C224" s="102"/>
      <c r="D224" s="112"/>
      <c r="E224" s="102" t="n">
        <f aca="false">E182</f>
        <v>28088.3001580578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2239.99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362.52314737308</v>
      </c>
      <c r="B230" s="102" t="str">
        <f aca="false">B167</f>
        <v>0</v>
      </c>
      <c r="C230" s="185"/>
      <c r="D230" s="185"/>
      <c r="E230" s="102" t="n">
        <f aca="false">E167</f>
        <v>362.52314737308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15150</v>
      </c>
      <c r="B233" s="102" t="n">
        <f aca="false">E185</f>
        <v>15160</v>
      </c>
      <c r="C233" s="92"/>
      <c r="D233" s="92"/>
      <c r="E233" s="102" t="n">
        <f aca="false">A188</f>
        <v>0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B68</f>
        <v>177.083366666667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2068.74503333333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2764.2601580578</v>
      </c>
      <c r="C254" s="196"/>
      <c r="D254" s="197" t="s">
        <v>217</v>
      </c>
      <c r="E254" s="197"/>
      <c r="F254" s="199" t="n">
        <f aca="false">F261+F267+F269+B270+B271</f>
        <v>212.50004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2651.75178472447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2764.2601580578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0.01</v>
      </c>
      <c r="C261" s="31"/>
      <c r="D261" s="165" t="s">
        <v>222</v>
      </c>
      <c r="E261" s="165"/>
      <c r="F261" s="150" t="n">
        <f aca="false">B68*1.2</f>
        <v>212.50004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2651.75178472447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70" colorId="64" zoomScale="85" zoomScaleNormal="85" zoomScalePageLayoutView="100" workbookViewId="0">
      <selection pane="topLeft" activeCell="A182" activeCellId="1" sqref="A191 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 t="s">
        <v>4</v>
      </c>
      <c r="C3" s="266" t="n">
        <v>0</v>
      </c>
      <c r="D3" s="266" t="s">
        <v>4</v>
      </c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268" t="n">
        <v>0</v>
      </c>
      <c r="D4" s="268" t="n">
        <v>0</v>
      </c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 t="n">
        <v>0</v>
      </c>
      <c r="C5" s="62" t="n">
        <v>0</v>
      </c>
      <c r="D5" s="62" t="n">
        <v>0</v>
      </c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37405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15150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241.443901397419</v>
      </c>
      <c r="F33" s="231"/>
      <c r="G33" s="231"/>
      <c r="H33" s="46"/>
      <c r="I33" s="2"/>
      <c r="J33" s="33" t="s">
        <v>356</v>
      </c>
      <c r="K33" s="47" t="n">
        <f aca="false">E21</f>
        <v>18000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241.443901397419</v>
      </c>
      <c r="B36" s="231" t="str">
        <f aca="false">IF(B26="YES",K42,"0.00")</f>
        <v>0.00</v>
      </c>
      <c r="C36" s="231"/>
      <c r="D36" s="231"/>
      <c r="E36" s="231" t="n">
        <f aca="false">K31</f>
        <v>15150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18000</v>
      </c>
      <c r="L39" s="2" t="n">
        <f aca="false">(L47*K46)+K44</f>
        <v>36089.6572316354</v>
      </c>
      <c r="N39" s="1" t="n">
        <f aca="false">K39-L39</f>
        <v>-18089.6572316354</v>
      </c>
      <c r="P39" s="211"/>
    </row>
    <row r="40" customFormat="false" ht="19.5" hidden="false" customHeight="false" outlineLevel="0" collapsed="false">
      <c r="A40" s="106" t="n">
        <f aca="false">E36*A45/100</f>
        <v>15150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12625</v>
      </c>
      <c r="L40" s="2" t="n">
        <f aca="false">K39-L39</f>
        <v>-18089.6572316354</v>
      </c>
      <c r="N40" s="1" t="n">
        <f aca="false">N38-N39</f>
        <v>21001.3372316354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10180.4856703288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7819.51432967116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241.443901397419</v>
      </c>
      <c r="L47" s="2" t="n">
        <f aca="false">L49-K42</f>
        <v>800</v>
      </c>
      <c r="M47" s="1" t="n">
        <f aca="false">K47-L47</f>
        <v>-558.556098602581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241.443901397419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241.443901397419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37405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37405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37405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37405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3996.3297077507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177.083366666667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2805.375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374.05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241.443901397419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241.443901397419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241.443901397419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241.443901397419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21250.004</v>
      </c>
      <c r="C81" s="92"/>
      <c r="D81" s="92"/>
      <c r="E81" s="112"/>
      <c r="F81" s="24" t="s">
        <v>106</v>
      </c>
      <c r="G81" s="26" t="n">
        <f aca="false">G158</f>
        <v>21250.004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15150</v>
      </c>
      <c r="C82" s="92"/>
      <c r="D82" s="92"/>
      <c r="E82" s="112"/>
      <c r="F82" s="30" t="s">
        <v>107</v>
      </c>
      <c r="G82" s="32" t="n">
        <f aca="false">IF(A111="YES",A40,0)</f>
        <v>15150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15150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15150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35</v>
      </c>
      <c r="C85" s="92"/>
      <c r="D85" s="92"/>
      <c r="E85" s="112"/>
      <c r="F85" s="30" t="s">
        <v>110</v>
      </c>
      <c r="G85" s="32" t="n">
        <f aca="false">IF(G82=0,(B59+B58),(B59))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10588.712986853</v>
      </c>
      <c r="C86" s="92"/>
      <c r="D86" s="92"/>
      <c r="E86" s="112"/>
      <c r="F86" s="30" t="s">
        <v>111</v>
      </c>
      <c r="G86" s="32" t="n">
        <f aca="false">(G82/((1+G84)^(G85+1)))</f>
        <v>12287.8462040869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10248.48789156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10248.48789156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10661.291013147</v>
      </c>
      <c r="C88" s="92"/>
      <c r="D88" s="92"/>
      <c r="E88" s="112"/>
      <c r="F88" s="30" t="s">
        <v>113</v>
      </c>
      <c r="G88" s="32" t="n">
        <f aca="false">G81-G86</f>
        <v>8962.15779591308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362.52314737308</v>
      </c>
      <c r="C89" s="92"/>
      <c r="D89" s="92"/>
      <c r="E89" s="112"/>
      <c r="F89" s="30" t="s">
        <v>114</v>
      </c>
      <c r="G89" s="32" t="n">
        <f aca="false">(G88/G87)</f>
        <v>283.833677898884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12688.3101580578</v>
      </c>
      <c r="C90" s="92"/>
      <c r="D90" s="92"/>
      <c r="E90" s="112"/>
      <c r="F90" s="30" t="s">
        <v>115</v>
      </c>
      <c r="G90" s="32" t="n">
        <f aca="false">((G89*(G85))+G77)</f>
        <v>9934.17872646094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12688.3101580578</v>
      </c>
      <c r="C92" s="92"/>
      <c r="D92" s="92"/>
      <c r="E92" s="112"/>
      <c r="F92" s="55" t="s">
        <v>117</v>
      </c>
      <c r="G92" s="64" t="n">
        <f aca="false">(G90+G91)</f>
        <v>9934.17872646094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362.52314737308</v>
      </c>
      <c r="C95" s="92"/>
      <c r="D95" s="92"/>
      <c r="E95" s="112"/>
      <c r="F95" s="94" t="s">
        <v>119</v>
      </c>
      <c r="G95" s="95" t="n">
        <f aca="false">G92/(G85)</f>
        <v>283.833677898884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362.52314737308</v>
      </c>
      <c r="C96" s="92"/>
      <c r="D96" s="92"/>
      <c r="E96" s="112"/>
      <c r="F96" s="96" t="s">
        <v>120</v>
      </c>
      <c r="G96" s="97" t="n">
        <f aca="false">G94+G95</f>
        <v>283.833677898884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19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18000</v>
      </c>
      <c r="C121" s="120" t="n">
        <v>19791.67</v>
      </c>
      <c r="D121" s="119" t="n"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str">
        <f aca="false">B3</f>
        <v> </v>
      </c>
      <c r="L121" s="120" t="n">
        <v>28629.17</v>
      </c>
      <c r="M121" s="119" t="str">
        <f aca="false">D3</f>
        <v> </v>
      </c>
      <c r="N121" s="120" t="str">
        <f aca="false">M121</f>
        <v> 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str">
        <f aca="false">B3</f>
        <v> </v>
      </c>
      <c r="U121" s="120" t="str">
        <f aca="false">T121</f>
        <v> </v>
      </c>
      <c r="V121" s="119" t="str">
        <f aca="false">D3</f>
        <v> </v>
      </c>
      <c r="W121" s="120" t="str">
        <f aca="false">V121</f>
        <v> 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str">
        <f aca="false">B3</f>
        <v> </v>
      </c>
      <c r="AD121" s="120" t="str">
        <f aca="false">AC121</f>
        <v> </v>
      </c>
      <c r="AE121" s="119" t="str">
        <f aca="false">D3</f>
        <v> </v>
      </c>
      <c r="AF121" s="120" t="str">
        <f aca="false">AE121</f>
        <v> 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21600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21600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21600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e">
        <f aca="false">(K121*K122)+K123</f>
        <v>#VALUE!</v>
      </c>
      <c r="L124" s="130" t="n">
        <f aca="false">(L121*L122)+L123</f>
        <v>0</v>
      </c>
      <c r="M124" s="129" t="e">
        <f aca="false">(M121*M122)+M123</f>
        <v>#VALUE!</v>
      </c>
      <c r="N124" s="130" t="e">
        <f aca="false">(N121*N122)+N123</f>
        <v>#VALUE!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e">
        <f aca="false">(T121*T122)+T123</f>
        <v>#VALUE!</v>
      </c>
      <c r="U124" s="130" t="e">
        <f aca="false">(U121*U122)+U123</f>
        <v>#VALUE!</v>
      </c>
      <c r="V124" s="129" t="e">
        <f aca="false">(V121*V122)+V123</f>
        <v>#VALUE!</v>
      </c>
      <c r="W124" s="130" t="e">
        <f aca="false">(W121*W122)+W123</f>
        <v>#VALUE!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e">
        <f aca="false">(AC121*AC122)+AC123</f>
        <v>#VALUE!</v>
      </c>
      <c r="AD124" s="130" t="e">
        <f aca="false">(AD121*AD122)+AD123</f>
        <v>#VALUE!</v>
      </c>
      <c r="AE124" s="129" t="e">
        <f aca="false">(AE121*AE122)+AE123</f>
        <v>#VALUE!</v>
      </c>
      <c r="AF124" s="130" t="e">
        <f aca="false">(AF121*AF122)+AF123</f>
        <v>#VALUE!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18000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e">
        <f aca="false">K121-K124</f>
        <v>#VALUE!</v>
      </c>
      <c r="L125" s="132" t="n">
        <f aca="false">L121-L124</f>
        <v>28629.17</v>
      </c>
      <c r="M125" s="131" t="e">
        <f aca="false">M121-M124</f>
        <v>#VALUE!</v>
      </c>
      <c r="N125" s="132" t="e">
        <f aca="false">N121-N124</f>
        <v>#VALUE!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e">
        <f aca="false">T121-T124</f>
        <v>#VALUE!</v>
      </c>
      <c r="U125" s="132" t="e">
        <f aca="false">U121-U124</f>
        <v>#VALUE!</v>
      </c>
      <c r="V125" s="131" t="e">
        <f aca="false">V121-V124</f>
        <v>#VALUE!</v>
      </c>
      <c r="W125" s="132" t="e">
        <f aca="false">W121-W124</f>
        <v>#VALUE!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e">
        <f aca="false">AC121-AC124</f>
        <v>#VALUE!</v>
      </c>
      <c r="AD125" s="132" t="e">
        <f aca="false">AD121-AD124</f>
        <v>#VALUE!</v>
      </c>
      <c r="AE125" s="131" t="e">
        <f aca="false">AE121-AE124</f>
        <v>#VALUE!</v>
      </c>
      <c r="AF125" s="132" t="e">
        <f aca="false">AF121-AF124</f>
        <v>#VALUE!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18000</v>
      </c>
      <c r="H135" s="152" t="n">
        <f aca="false">C125+E125+G125+H128</f>
        <v>19791.67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-16215.2783333333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21250.004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362.52314737308</v>
      </c>
      <c r="B167" s="176" t="str">
        <f aca="false">B94</f>
        <v>0</v>
      </c>
      <c r="C167" s="173"/>
      <c r="D167" s="173"/>
      <c r="E167" s="176" t="n">
        <f aca="false">B96</f>
        <v>362.52314737308</v>
      </c>
      <c r="F167" s="22"/>
      <c r="G167" s="22" t="n">
        <f aca="false">ROUND(G95,2)</f>
        <v>283.83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15150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15150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15150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15150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21250.004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6588.3061580578</v>
      </c>
      <c r="B182" s="102" t="str">
        <f aca="false">B114</f>
        <v>199.99</v>
      </c>
      <c r="C182" s="102"/>
      <c r="D182" s="22"/>
      <c r="E182" s="102" t="n">
        <f aca="false">E179+A182+(B182*1.2)+A185</f>
        <v>28088.2981580578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A179+(B182*1.2)</f>
        <v>2239.988</v>
      </c>
      <c r="C185" s="102"/>
      <c r="D185" s="22"/>
      <c r="E185" s="102" t="n">
        <f aca="false">IF(A40=0,(E167+A185),(E170+A185))</f>
        <v>15160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15170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15160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15160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IF(E105="YES",B61*0.000002,0)*100</f>
        <v>0</v>
      </c>
      <c r="B188" s="102" t="n">
        <f aca="false">(G158*B67)/1.2</f>
        <v>177.083366666667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277.073366666667</v>
      </c>
      <c r="C191" s="92"/>
      <c r="D191" s="92"/>
      <c r="E191" s="102" t="n">
        <f aca="false">H148</f>
        <v>1791.67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362.52314737308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7.35" hidden="false" customHeight="false" outlineLevel="0" collapsed="false">
      <c r="A201" s="35" t="n">
        <f aca="false">IF(A40=0,((G167*(B59+1))-E179),((G167*B59)+E185-E179-A185))</f>
        <v>3834.046</v>
      </c>
      <c r="B201" s="185" t="n">
        <f aca="false">E179+A201+(B182*1.2)+A185</f>
        <v>25334.038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362.52314737308</v>
      </c>
      <c r="B212" s="176" t="str">
        <f aca="false">B167</f>
        <v>0</v>
      </c>
      <c r="C212" s="173"/>
      <c r="D212" s="173"/>
      <c r="E212" s="176" t="n">
        <f aca="false">E167</f>
        <v>362.52314737308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21250.004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6588.3061580578</v>
      </c>
      <c r="B224" s="102" t="str">
        <f aca="false">B182</f>
        <v>199.99</v>
      </c>
      <c r="C224" s="102"/>
      <c r="D224" s="112"/>
      <c r="E224" s="102" t="n">
        <f aca="false">E182</f>
        <v>28088.2981580578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362.52314737308</v>
      </c>
      <c r="B230" s="102" t="str">
        <f aca="false">B167</f>
        <v>0</v>
      </c>
      <c r="C230" s="185"/>
      <c r="D230" s="185"/>
      <c r="E230" s="102" t="n">
        <f aca="false">E167</f>
        <v>362.52314737308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15150</v>
      </c>
      <c r="B233" s="102" t="n">
        <f aca="false">E185</f>
        <v>15160</v>
      </c>
      <c r="C233" s="92"/>
      <c r="D233" s="92"/>
      <c r="E233" s="102" t="n">
        <f aca="false">A188</f>
        <v>0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B68</f>
        <v>177.083366666667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2068.74336666666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2764.2601580578</v>
      </c>
      <c r="C254" s="196"/>
      <c r="D254" s="197" t="s">
        <v>217</v>
      </c>
      <c r="E254" s="197"/>
      <c r="F254" s="199" t="n">
        <f aca="false">F261+F267+F269+B270+B271</f>
        <v>212.50004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2651.7501180578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2764.2601580578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0.01</v>
      </c>
      <c r="C261" s="31"/>
      <c r="D261" s="165" t="s">
        <v>222</v>
      </c>
      <c r="E261" s="165"/>
      <c r="F261" s="150" t="n">
        <f aca="false">B68*1.2</f>
        <v>212.50004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2651.7501180578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24" colorId="64" zoomScale="85" zoomScaleNormal="85" zoomScalePageLayoutView="100" workbookViewId="0">
      <selection pane="topLeft" activeCell="D149" activeCellId="1" sqref="A191 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62" t="n">
        <v>37405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45400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n">
        <f aca="false">IF(B38="YES",D38+A41,D38)</f>
        <v>500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0</v>
      </c>
      <c r="C44" s="103"/>
      <c r="D44" s="278" t="n">
        <f aca="false">A44+B44</f>
        <v>1</v>
      </c>
      <c r="E44" s="278"/>
      <c r="F44" s="62"/>
      <c r="G44" s="62" t="s">
        <v>257</v>
      </c>
      <c r="H44" s="237" t="n">
        <f aca="false">((A41*(B35-1))+D32)/B35</f>
        <v>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 t="s">
        <v>4</v>
      </c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501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9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3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277</v>
      </c>
      <c r="B60" s="214" t="n">
        <f aca="false">E19</f>
        <v>21600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37405</v>
      </c>
      <c r="C61" s="214"/>
      <c r="D61" s="214"/>
      <c r="E61" s="215"/>
      <c r="F61" s="62"/>
      <c r="G61" s="213" t="s">
        <v>14</v>
      </c>
      <c r="H61" s="290" t="n">
        <f aca="false">G18</f>
        <v>37405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B62+(B62*0.25*(H29/12-1))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1512</v>
      </c>
      <c r="C64" s="214" t="n">
        <v>10000</v>
      </c>
      <c r="D64" s="290" t="n">
        <f aca="false">B64</f>
        <v>1512</v>
      </c>
      <c r="E64" s="215"/>
      <c r="F64" s="62"/>
      <c r="G64" s="284" t="s">
        <v>91</v>
      </c>
      <c r="H64" s="132" t="n">
        <f aca="false">H61*H63</f>
        <v>2618.35</v>
      </c>
      <c r="I64" s="214"/>
      <c r="J64" s="290" t="n">
        <f aca="false">H64</f>
        <v>2618.35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216</v>
      </c>
      <c r="C67" s="214"/>
      <c r="D67" s="290"/>
      <c r="E67" s="215"/>
      <c r="F67" s="62"/>
      <c r="G67" s="284" t="s">
        <v>94</v>
      </c>
      <c r="H67" s="132" t="n">
        <f aca="false">H61*H66</f>
        <v>187.025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 t="n">
        <f aca="false">IF(G18&gt;40000,325,0)</f>
        <v>0</v>
      </c>
      <c r="D75" s="214"/>
      <c r="E75" s="215"/>
      <c r="F75" s="62"/>
      <c r="G75" s="294" t="s">
        <v>281</v>
      </c>
      <c r="H75" s="298" t="n">
        <f aca="false">IF(G18&gt;40000,325,0)</f>
        <v>0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12.5</v>
      </c>
      <c r="I76" s="214"/>
      <c r="J76" s="290" t="n">
        <f aca="false">H76</f>
        <v>12.5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2838.66666666667</v>
      </c>
      <c r="C81" s="214"/>
      <c r="D81" s="214"/>
      <c r="E81" s="215"/>
      <c r="F81" s="62"/>
      <c r="G81" s="302" t="s">
        <v>103</v>
      </c>
      <c r="H81" s="303" t="n">
        <f aca="false">SUM(J64:J80)</f>
        <v>4244.85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236.555555555556</v>
      </c>
      <c r="C82" s="214"/>
      <c r="D82" s="214"/>
      <c r="E82" s="215"/>
      <c r="F82" s="62"/>
      <c r="G82" s="213" t="s">
        <v>104</v>
      </c>
      <c r="H82" s="299" t="n">
        <f aca="false">H81/H29</f>
        <v>353.7375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((B83*(H29)+B81))*1.2</f>
        <v>10620.8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12308.22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(((B83*(H29))+B81)/(1-B70))*B70</f>
        <v>74.9753933037515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86.8873941105285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10695.7753933038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12295.1173941105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IF(B99=Z102,(((H44*B35)+(H44*B35)*(B105/100))/(B58))*1.2,(((H44*B35)+(H44*B35)*(B105/100))/(B57+B58))*1.2)</f>
        <v>0</v>
      </c>
      <c r="C89" s="214"/>
      <c r="D89" s="214"/>
      <c r="E89" s="215"/>
      <c r="F89" s="62"/>
      <c r="G89" s="302" t="s">
        <v>118</v>
      </c>
      <c r="H89" s="303" t="n">
        <f aca="false">(A41+(A41*H105))*1.2</f>
        <v>0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891.314616108646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1024.59311617588</v>
      </c>
      <c r="I90" s="214"/>
      <c r="J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891.314616108646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1024.59311617588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285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352</v>
      </c>
      <c r="C99" s="311"/>
      <c r="D99" s="106" t="n">
        <v>1000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f aca="false">199.99*1.2</f>
        <v>239.988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19</v>
      </c>
      <c r="B105" s="311" t="n">
        <v>0</v>
      </c>
      <c r="C105" s="311"/>
      <c r="D105" s="106" t="s">
        <v>353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 t="n">
        <v>0</v>
      </c>
      <c r="C108" s="216"/>
      <c r="D108" s="216" t="n">
        <v>0</v>
      </c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10000</v>
      </c>
      <c r="E112" s="106" t="n">
        <v>6000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8000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4000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239.988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(E118+E117)-D115</f>
        <v>-2760.012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891.314616108646</v>
      </c>
      <c r="B128" s="320" t="n">
        <f aca="false">IF(A105="YES",B89,0)</f>
        <v>0</v>
      </c>
      <c r="C128" s="325"/>
      <c r="D128" s="320" t="n">
        <f aca="false">B91</f>
        <v>891.314616108646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1024.59311617588</v>
      </c>
      <c r="H130" s="176" t="n">
        <f aca="false">IF(G105="YES",H89*H57,0)</f>
        <v>0</v>
      </c>
      <c r="I130" s="176"/>
      <c r="J130" s="333" t="n">
        <f aca="false">H91</f>
        <v>1024.59311617588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Terminal pause with 9 down</v>
      </c>
      <c r="B131" s="37" t="n">
        <f aca="false">B90*B57</f>
        <v>8021.83154497781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1024.59311617588</v>
      </c>
      <c r="H133" s="102" t="n">
        <f aca="false">IF(G105="YES",H89*H57,0)</f>
        <v>0</v>
      </c>
      <c r="I133" s="220"/>
      <c r="J133" s="183" t="n">
        <f aca="false">H91*H57</f>
        <v>1024.59311617588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8021.83154497781</v>
      </c>
      <c r="B134" s="37" t="n">
        <f aca="false">E114</f>
        <v>4000</v>
      </c>
      <c r="C134" s="316"/>
      <c r="D134" s="336" t="n">
        <f aca="false">B58</f>
        <v>3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891.314616108646</v>
      </c>
      <c r="B137" s="37" t="n">
        <f aca="false">IF(A105="YES",B89,0)</f>
        <v>0</v>
      </c>
      <c r="C137" s="316"/>
      <c r="D137" s="37" t="n">
        <f aca="false">B91</f>
        <v>891.314616108646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187.025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(G18*0.000006)*1.2*100</f>
        <v>26.9316</v>
      </c>
      <c r="B140" s="342" t="n">
        <f aca="false">G18*0.000002*1.2*100</f>
        <v>8.9772</v>
      </c>
      <c r="C140" s="316"/>
      <c r="D140" s="342" t="n">
        <f aca="false">A140+B140</f>
        <v>35.9088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0</v>
      </c>
      <c r="H142" s="102" t="n">
        <f aca="false">G102-100</f>
        <v>139.988</v>
      </c>
      <c r="I142" s="102"/>
      <c r="J142" s="102" t="n">
        <f aca="false">(H139+J139+G142+H142)-H145</f>
        <v>1407.013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239.988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216</v>
      </c>
      <c r="B148" s="37" t="n">
        <f aca="false">B102</f>
        <v>400</v>
      </c>
      <c r="C148" s="37"/>
      <c r="D148" s="37" t="n">
        <f aca="false">IF(A105="YES",(A41*B105)*B125,0)*0.001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(E118/1.2)-100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715.99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1024.59311617588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891.314616108646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891.314616108646</v>
      </c>
      <c r="B171" s="354" t="n">
        <f aca="false">IF(A105="YES",B89,0)</f>
        <v>0</v>
      </c>
      <c r="C171" s="357"/>
      <c r="D171" s="354" t="n">
        <f aca="false">B91</f>
        <v>891.314616108646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Terminal pause with 9 down</v>
      </c>
      <c r="B174" s="102" t="n">
        <f aca="false">B90*B57</f>
        <v>8021.83154497781</v>
      </c>
      <c r="C174" s="352"/>
      <c r="D174" s="102" t="n">
        <f aca="false">IF(A105="YES",B89*B57,0)</f>
        <v>0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8021.83154497781</v>
      </c>
      <c r="B177" s="102" t="n">
        <f aca="false">E114</f>
        <v>4000</v>
      </c>
      <c r="C177" s="352"/>
      <c r="D177" s="360" t="n">
        <f aca="false">B58</f>
        <v>3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891.314616108646</v>
      </c>
      <c r="B180" s="102" t="n">
        <f aca="false">IF(A105="YES",B89,0)</f>
        <v>0</v>
      </c>
      <c r="C180" s="352"/>
      <c r="D180" s="102" t="n">
        <f aca="false">B91</f>
        <v>891.314616108646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(G18*0.000006)*1.2*100</f>
        <v>26.9316</v>
      </c>
      <c r="B183" s="364" t="n">
        <f aca="false">G18*0.000002*1.2*100</f>
        <v>8.9772</v>
      </c>
      <c r="C183" s="352"/>
      <c r="D183" s="364" t="n">
        <f aca="false">A183+B183</f>
        <v>35.9088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239.988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216</v>
      </c>
      <c r="B191" s="102" t="n">
        <f aca="false">B102</f>
        <v>400</v>
      </c>
      <c r="C191" s="102"/>
      <c r="D191" s="102" t="n">
        <f aca="false">IF(A105="YES",(A38/100*B105)*B125,0)*0.001</f>
        <v>0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(E118/1.2)-100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715.99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B209</f>
        <v>0.065</v>
      </c>
      <c r="C203" s="320" t="s">
        <v>216</v>
      </c>
      <c r="D203" s="369" t="n">
        <f aca="false">D64</f>
        <v>1512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216</v>
      </c>
      <c r="C205" s="319" t="s">
        <v>218</v>
      </c>
      <c r="D205" s="369" t="n">
        <f aca="false">B219+E215+B215+B217</f>
        <v>339.99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1635.99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1512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216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1635.99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74.9753933037515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99" colorId="64" zoomScale="85" zoomScaleNormal="85" zoomScalePageLayoutView="100" workbookViewId="0">
      <selection pane="topLeft" activeCell="B184" activeCellId="1" sqref="A191 B18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62" t="n">
        <v>37405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45400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50</v>
      </c>
      <c r="E32" s="225"/>
      <c r="F32" s="62"/>
      <c r="G32" s="226" t="s">
        <v>243</v>
      </c>
      <c r="H32" s="224" t="n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384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50</v>
      </c>
      <c r="B41" s="240" t="n">
        <f aca="false">IF(B38="YES",D38+A41,D38)</f>
        <v>550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1</v>
      </c>
      <c r="C44" s="103"/>
      <c r="D44" s="278" t="n">
        <f aca="false">A44+B44</f>
        <v>2</v>
      </c>
      <c r="E44" s="278"/>
      <c r="F44" s="62"/>
      <c r="G44" s="62" t="s">
        <v>257</v>
      </c>
      <c r="H44" s="237" t="n">
        <f aca="false">((A41*(B35-1))+D32)/B35</f>
        <v>50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 t="n">
        <f aca="false">(A41*(B58+B57))</f>
        <v>600</v>
      </c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551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9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3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277</v>
      </c>
      <c r="B60" s="214" t="n">
        <f aca="false">E19</f>
        <v>21600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37405</v>
      </c>
      <c r="C61" s="214"/>
      <c r="D61" s="214"/>
      <c r="E61" s="215"/>
      <c r="F61" s="62"/>
      <c r="G61" s="213" t="s">
        <v>14</v>
      </c>
      <c r="H61" s="290" t="n">
        <f aca="false">G18</f>
        <v>37405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B62+(B62*0.25*(H29/12-1))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1512</v>
      </c>
      <c r="C64" s="214" t="n">
        <v>10000</v>
      </c>
      <c r="D64" s="290" t="n">
        <f aca="false">B64</f>
        <v>1512</v>
      </c>
      <c r="E64" s="215"/>
      <c r="F64" s="62"/>
      <c r="G64" s="284" t="s">
        <v>91</v>
      </c>
      <c r="H64" s="132" t="n">
        <f aca="false">H61*H63</f>
        <v>2618.35</v>
      </c>
      <c r="I64" s="214"/>
      <c r="J64" s="290" t="n">
        <f aca="false">H64</f>
        <v>2618.35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216</v>
      </c>
      <c r="C67" s="214"/>
      <c r="D67" s="290"/>
      <c r="E67" s="215"/>
      <c r="F67" s="62"/>
      <c r="G67" s="284" t="s">
        <v>94</v>
      </c>
      <c r="H67" s="132" t="n">
        <f aca="false">H61*H66</f>
        <v>187.025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f aca="false">IF(G18&gt;40000,325,0)</f>
        <v>0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12.5</v>
      </c>
      <c r="I76" s="214"/>
      <c r="J76" s="290" t="n">
        <f aca="false">H76</f>
        <v>12.5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2838.66666666667</v>
      </c>
      <c r="C81" s="214"/>
      <c r="D81" s="214"/>
      <c r="E81" s="215"/>
      <c r="F81" s="62"/>
      <c r="G81" s="302" t="s">
        <v>103</v>
      </c>
      <c r="H81" s="303" t="n">
        <f aca="false">SUM(J64:J80)</f>
        <v>4244.85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236.555555555556</v>
      </c>
      <c r="C82" s="214"/>
      <c r="D82" s="214"/>
      <c r="E82" s="215"/>
      <c r="F82" s="62"/>
      <c r="G82" s="213" t="s">
        <v>104</v>
      </c>
      <c r="H82" s="299" t="n">
        <f aca="false">H81/H29</f>
        <v>353.7375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</f>
        <v>8850.66666666667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12308.22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(B85/(1-B70))*B70</f>
        <v>74.9753933037515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86.8873941105285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8925.64205997042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12295.1173941105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IF(B99=Z102,(((H44*B35)+(H44*B35)*(B105/100))/(B58)),(((H44*B35)+(H44*B35)*(B105/100))/(B57+B58)))</f>
        <v>65</v>
      </c>
      <c r="C89" s="214" t="s">
        <v>4</v>
      </c>
      <c r="D89" s="214"/>
      <c r="E89" s="215"/>
      <c r="F89" s="62"/>
      <c r="G89" s="302" t="s">
        <v>118</v>
      </c>
      <c r="H89" s="303" t="n">
        <f aca="false">(A41+(A41*H105))*1.2</f>
        <v>72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743.803504997535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1024.59311617588</v>
      </c>
      <c r="I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808.803504997535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1096.59311617588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352</v>
      </c>
      <c r="C99" s="311"/>
      <c r="D99" s="106" t="n">
        <v>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18</v>
      </c>
      <c r="B105" s="311" t="n">
        <v>30</v>
      </c>
      <c r="C105" s="311"/>
      <c r="D105" s="106" t="s">
        <v>353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 t="n">
        <v>0</v>
      </c>
      <c r="C108" s="216"/>
      <c r="D108" s="216" t="n">
        <v>0</v>
      </c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((E118*1.2)+E117)-E114</f>
        <v>-3760.012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743.803504997535</v>
      </c>
      <c r="B128" s="320" t="n">
        <f aca="false">IF(A105="YES",B89,0)</f>
        <v>65</v>
      </c>
      <c r="C128" s="325"/>
      <c r="D128" s="320" t="n">
        <f aca="false">B91</f>
        <v>808.803504997535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1024.59311617588</v>
      </c>
      <c r="H130" s="176" t="n">
        <f aca="false">IF(G105="YES",H89*H57,0)</f>
        <v>72</v>
      </c>
      <c r="I130" s="176"/>
      <c r="J130" s="333" t="n">
        <f aca="false">H91</f>
        <v>1096.59311617588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Terminal pause with 9 down</v>
      </c>
      <c r="B131" s="37" t="n">
        <f aca="false">B90*B57</f>
        <v>6694.23154497782</v>
      </c>
      <c r="C131" s="316"/>
      <c r="D131" s="37" t="n">
        <f aca="false">IF(A105="YES",B89*B57,0)</f>
        <v>585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1024.59311617588</v>
      </c>
      <c r="H133" s="102" t="n">
        <f aca="false">IF(G105="YES",H89*H57,0)</f>
        <v>72</v>
      </c>
      <c r="I133" s="220"/>
      <c r="J133" s="183" t="n">
        <f aca="false">H91*H57</f>
        <v>1096.59311617588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7279.23154497782</v>
      </c>
      <c r="B134" s="37" t="n">
        <f aca="false">E114</f>
        <v>4000</v>
      </c>
      <c r="C134" s="316"/>
      <c r="D134" s="336" t="n">
        <f aca="false">B58</f>
        <v>3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743.803504997535</v>
      </c>
      <c r="B137" s="37" t="n">
        <f aca="false">IF(A105="YES",B89,0)</f>
        <v>65</v>
      </c>
      <c r="C137" s="316"/>
      <c r="D137" s="37" t="n">
        <f aca="false">B91</f>
        <v>808.803504997535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187.025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(G18*0.000006)*100</f>
        <v>22.443</v>
      </c>
      <c r="B140" s="342" t="n">
        <f aca="false">G18*0.000002*100</f>
        <v>7.481</v>
      </c>
      <c r="C140" s="316"/>
      <c r="D140" s="342" t="n">
        <f aca="false">A140+B140</f>
        <v>29.924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7.2</v>
      </c>
      <c r="H142" s="102" t="n">
        <f aca="false">G102-100</f>
        <v>139.988</v>
      </c>
      <c r="I142" s="102"/>
      <c r="J142" s="102" t="n">
        <f aca="false">(H139+J139+G142+H142)-H145</f>
        <v>1414.213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216</v>
      </c>
      <c r="B148" s="37" t="n">
        <f aca="false">B102</f>
        <v>400</v>
      </c>
      <c r="C148" s="37"/>
      <c r="D148" s="37" t="n">
        <f aca="false">IF(A105="YES",(A41*B105)*B125,0)*0.001</f>
        <v>18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733.99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1096.59311617588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808.803504997535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743.803504997535</v>
      </c>
      <c r="B171" s="354" t="n">
        <f aca="false">IF(A105="YES",B89,0)</f>
        <v>65</v>
      </c>
      <c r="C171" s="357"/>
      <c r="D171" s="354" t="n">
        <f aca="false">B91</f>
        <v>808.803504997535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Terminal pause with 9 down</v>
      </c>
      <c r="B174" s="102" t="n">
        <f aca="false">B90*B57</f>
        <v>6694.23154497782</v>
      </c>
      <c r="C174" s="352"/>
      <c r="D174" s="102" t="n">
        <f aca="false">IF(A105="YES",B89*B57,0)</f>
        <v>585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7279.23154497782</v>
      </c>
      <c r="B177" s="102" t="n">
        <f aca="false">E114</f>
        <v>4000</v>
      </c>
      <c r="C177" s="352"/>
      <c r="D177" s="360" t="n">
        <f aca="false">B58</f>
        <v>3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743.803504997535</v>
      </c>
      <c r="B180" s="102" t="n">
        <f aca="false">IF(A105="YES",B89,0)</f>
        <v>65</v>
      </c>
      <c r="C180" s="352"/>
      <c r="D180" s="102" t="n">
        <f aca="false">B91</f>
        <v>808.803504997535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(G18*0.000006)*100</f>
        <v>22.443</v>
      </c>
      <c r="B183" s="364" t="n">
        <f aca="false">G18*0.000002*100</f>
        <v>7.481</v>
      </c>
      <c r="C183" s="352"/>
      <c r="D183" s="364" t="n">
        <f aca="false">A183+B183</f>
        <v>29.924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199.99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216</v>
      </c>
      <c r="B191" s="102" t="n">
        <f aca="false">B102</f>
        <v>400</v>
      </c>
      <c r="C191" s="102"/>
      <c r="D191" s="102" t="n">
        <f aca="false">IF(A105="YES",(A38/100*B105)*B125,0)*0.001</f>
        <v>18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E118-100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733.99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H29</f>
        <v>12</v>
      </c>
      <c r="C203" s="320" t="s">
        <v>216</v>
      </c>
      <c r="D203" s="369" t="n">
        <f aca="false">D64</f>
        <v>1512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216</v>
      </c>
      <c r="C205" s="319" t="s">
        <v>218</v>
      </c>
      <c r="D205" s="369" t="n">
        <f aca="false">B219+E215+B215+B217</f>
        <v>519.99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1815.99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1512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216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1815.99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180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74.9753933037515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operator="between" showDropDown="false" showErrorMessage="true" showInputMessage="false" sqref="A32 B99" type="list">
      <formula1>'BCH (Formula 3) - BCH'!$Z$101:$Z$109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66" colorId="64" zoomScale="85" zoomScaleNormal="85" zoomScalePageLayoutView="100" workbookViewId="0">
      <selection pane="topLeft" activeCell="A189" activeCellId="1" sqref="A191 A18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</v>
      </c>
      <c r="I29" s="384"/>
      <c r="J29" s="62"/>
      <c r="K29" s="62" t="n">
        <v>36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10000</v>
      </c>
      <c r="I30" s="62"/>
      <c r="J30" s="62"/>
      <c r="K30" s="62" t="n">
        <v>10000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66666.6666666667</v>
      </c>
      <c r="I31" s="62"/>
      <c r="J31" s="62"/>
      <c r="K31" s="62" t="n">
        <v>66666.6666666667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6000</v>
      </c>
      <c r="J32" s="62"/>
      <c r="K32" s="62" t="n">
        <v>6000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36</v>
      </c>
      <c r="B33" s="228" t="n">
        <v>10000</v>
      </c>
      <c r="C33" s="229"/>
      <c r="D33" s="455" t="n">
        <f aca="false">H48</f>
        <v>190.81237436313</v>
      </c>
      <c r="E33" s="215"/>
      <c r="F33" s="62"/>
      <c r="G33" s="218" t="s">
        <v>356</v>
      </c>
      <c r="H33" s="456" t="n">
        <f aca="false">E21-E11</f>
        <v>18000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36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0.07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140.81237436313</v>
      </c>
      <c r="B36" s="102" t="n">
        <f aca="false">IF(B26="YES",H42,"")</f>
        <v>50</v>
      </c>
      <c r="C36" s="220"/>
      <c r="D36" s="183" t="n">
        <f aca="false">H31</f>
        <v>66666.6666666667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18000</v>
      </c>
      <c r="I39" s="237" t="n">
        <f aca="false">(I48*H46)+H44</f>
        <v>57161.3120530432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20000</v>
      </c>
      <c r="B40" s="106" t="n">
        <f aca="false">IF(B26="YES",H42,"0")</f>
        <v>50</v>
      </c>
      <c r="C40" s="106"/>
      <c r="D40" s="183" t="n">
        <f aca="false">I32</f>
        <v>6000</v>
      </c>
      <c r="E40" s="215"/>
      <c r="F40" s="62"/>
      <c r="G40" s="62" t="s">
        <v>107</v>
      </c>
      <c r="H40" s="237" t="n">
        <f aca="false">A40/1.2</f>
        <v>16666.6666666667</v>
      </c>
      <c r="I40" s="237" t="n">
        <f aca="false">H39-I39</f>
        <v>-39161.3120530432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0.00583333333333333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50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13439.5850433384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30</v>
      </c>
      <c r="B45" s="214"/>
      <c r="C45" s="459" t="n">
        <v>30</v>
      </c>
      <c r="D45" s="459"/>
      <c r="E45" s="215"/>
      <c r="F45" s="62"/>
      <c r="G45" s="62" t="s">
        <v>374</v>
      </c>
      <c r="H45" s="237" t="n">
        <f aca="false">(H39-H44)</f>
        <v>4560.41495666158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32.3864644516332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140.81237436313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190.81237436313</v>
      </c>
      <c r="I48" s="237" t="n">
        <f aca="false">I49-H42</f>
        <v>1350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10000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36</v>
      </c>
      <c r="B52" s="73" t="n">
        <f aca="false">H48</f>
        <v>190.81237436313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35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35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35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21600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37404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B62+(B62*0.25*((H29/12)-1))</f>
        <v>0.105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0.105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0.105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C64</f>
        <v>10000</v>
      </c>
      <c r="C64" s="461" t="n">
        <v>10000</v>
      </c>
      <c r="D64" s="290" t="n">
        <f aca="false">B64</f>
        <v>10000</v>
      </c>
      <c r="E64" s="462" t="n">
        <f aca="false">D64/(B58+B57)</f>
        <v>277.777777777778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0.02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0.02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0.02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432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180</v>
      </c>
      <c r="C73" s="214"/>
      <c r="D73" s="468" t="n">
        <f aca="false">B73+B71</f>
        <v>380</v>
      </c>
      <c r="E73" s="215" t="s">
        <v>228</v>
      </c>
      <c r="F73" s="62"/>
      <c r="G73" s="284" t="s">
        <v>100</v>
      </c>
      <c r="H73" s="132" t="n">
        <f aca="false">H72*H29</f>
        <v>162</v>
      </c>
      <c r="I73" s="214"/>
      <c r="J73" s="290" t="n">
        <f aca="false">H73+H71</f>
        <v>322</v>
      </c>
      <c r="K73" s="215"/>
      <c r="L73" s="62"/>
      <c r="M73" s="284" t="s">
        <v>100</v>
      </c>
      <c r="N73" s="132" t="n">
        <f aca="false">N72*H29</f>
        <v>162</v>
      </c>
      <c r="O73" s="214"/>
      <c r="P73" s="290" t="n">
        <f aca="false">N73+N71</f>
        <v>322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343.75</v>
      </c>
      <c r="I76" s="214"/>
      <c r="J76" s="290" t="n">
        <f aca="false">H76</f>
        <v>343.75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0</v>
      </c>
      <c r="C77" s="469"/>
      <c r="D77" s="290" t="n">
        <f aca="false">B77</f>
        <v>0</v>
      </c>
      <c r="E77" s="462" t="n">
        <f aca="false">D77/(B58+B57)</f>
        <v>0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0</v>
      </c>
      <c r="C78" s="469"/>
      <c r="D78" s="290" t="n">
        <f aca="false">B78</f>
        <v>0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21.6666666666667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10780</v>
      </c>
      <c r="C81" s="469"/>
      <c r="D81" s="470"/>
      <c r="E81" s="462"/>
      <c r="F81" s="62"/>
      <c r="G81" s="302" t="s">
        <v>103</v>
      </c>
      <c r="H81" s="303" t="n">
        <f aca="false">SUM(J64:J80)</f>
        <v>1065.75</v>
      </c>
      <c r="I81" s="214"/>
      <c r="J81" s="214"/>
      <c r="K81" s="215"/>
      <c r="L81" s="62"/>
      <c r="M81" s="302" t="s">
        <v>103</v>
      </c>
      <c r="N81" s="303" t="n">
        <f aca="false">SUM(P64:P80)</f>
        <v>722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299.444444444444</v>
      </c>
      <c r="C82" s="469"/>
      <c r="D82" s="214"/>
      <c r="E82" s="462"/>
      <c r="F82" s="62"/>
      <c r="G82" s="213" t="s">
        <v>104</v>
      </c>
      <c r="H82" s="299" t="n">
        <f aca="false">H81/H29</f>
        <v>29.6041666666667</v>
      </c>
      <c r="I82" s="214"/>
      <c r="J82" s="214"/>
      <c r="K82" s="215"/>
      <c r="L82" s="62"/>
      <c r="M82" s="213" t="s">
        <v>104</v>
      </c>
      <c r="N82" s="299" t="n">
        <f aca="false">N81/H29</f>
        <v>20.0555555555556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140.81237436313</v>
      </c>
      <c r="C83" s="469"/>
      <c r="D83" s="214"/>
      <c r="E83" s="462" t="n">
        <f aca="false">B83+E80+E77+E64</f>
        <v>440.256818807575</v>
      </c>
      <c r="F83" s="62"/>
      <c r="G83" s="304" t="s">
        <v>105</v>
      </c>
      <c r="H83" s="305" t="n">
        <f aca="false">H47</f>
        <v>140.81237436313</v>
      </c>
      <c r="I83" s="214"/>
      <c r="J83" s="214"/>
      <c r="K83" s="215"/>
      <c r="L83" s="62"/>
      <c r="M83" s="304" t="s">
        <v>105</v>
      </c>
      <c r="N83" s="305" t="n">
        <f aca="false">H47</f>
        <v>140.81237436313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15849.2454770727</v>
      </c>
      <c r="C85" s="469"/>
      <c r="D85" s="469"/>
      <c r="E85" s="462" t="n">
        <f aca="false">B85/(B58+B57)</f>
        <v>440.256818807575</v>
      </c>
      <c r="F85" s="62"/>
      <c r="G85" s="287" t="s">
        <v>115</v>
      </c>
      <c r="H85" s="130" t="n">
        <f aca="false">((H83*H29)+H81)*1.2</f>
        <v>7361.99457248723</v>
      </c>
      <c r="I85" s="214"/>
      <c r="J85" s="214"/>
      <c r="K85" s="215"/>
      <c r="L85" s="62"/>
      <c r="M85" s="287" t="s">
        <v>115</v>
      </c>
      <c r="N85" s="130" t="n">
        <f aca="false">((N83*H29)+N81)</f>
        <v>5791.24547707269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134.261458256767</v>
      </c>
      <c r="C86" s="469" t="s">
        <v>231</v>
      </c>
      <c r="D86" s="214"/>
      <c r="E86" s="462" t="n">
        <f aca="false">B86/(B58+B57)</f>
        <v>3.72948495157687</v>
      </c>
      <c r="F86" s="62"/>
      <c r="G86" s="213" t="s">
        <v>116</v>
      </c>
      <c r="H86" s="299" t="n">
        <f aca="false">((((H83*H29)+H81))/(1-H70))*H70</f>
        <v>51.9705143277638</v>
      </c>
      <c r="I86" s="214"/>
      <c r="J86" s="214"/>
      <c r="K86" s="215"/>
      <c r="L86" s="62"/>
      <c r="M86" s="213" t="s">
        <v>116</v>
      </c>
      <c r="N86" s="299" t="n">
        <f aca="false">(N85/(1-N70))*N70</f>
        <v>49.0585538598332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15983.5069353295</v>
      </c>
      <c r="C87" s="469"/>
      <c r="D87" s="471"/>
      <c r="E87" s="462" t="n">
        <f aca="false">E86+E85</f>
        <v>443.986303759152</v>
      </c>
      <c r="F87" s="62"/>
      <c r="G87" s="284" t="s">
        <v>117</v>
      </c>
      <c r="H87" s="132" t="n">
        <f aca="false">IF(H110="YES",((H85+H86)-K114),(H85+H86))</f>
        <v>7413.96508681499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5840.30403093252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65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210.731707317073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175.609756097561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443.986303759152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180.828416751585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142.446439778842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508.986303759152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391.560124068658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318.056195876403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0</v>
      </c>
      <c r="C102" s="106"/>
      <c r="D102" s="106" t="n">
        <v>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0.3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((E118*1.2)+E117)-E114</f>
        <v>-2760.012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180.828416751585</v>
      </c>
      <c r="H127" s="176" t="n">
        <f aca="false">IF(G105="YES",H89*H57,0)</f>
        <v>1264.39024390244</v>
      </c>
      <c r="I127" s="176"/>
      <c r="J127" s="333" t="n">
        <f aca="false">H91</f>
        <v>391.560124068658</v>
      </c>
      <c r="K127" s="215"/>
      <c r="L127" s="62"/>
      <c r="M127" s="332" t="n">
        <f aca="false">N90</f>
        <v>142.446439778842</v>
      </c>
      <c r="N127" s="176" t="n">
        <f aca="false">IF(M105="YES",N89*N57,0)</f>
        <v>1053.65853658537</v>
      </c>
      <c r="O127" s="176"/>
      <c r="P127" s="176" t="n">
        <f aca="false">N91</f>
        <v>318.056195876403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443.986303759152</v>
      </c>
      <c r="B128" s="320" t="n">
        <f aca="false">IF(A105="YES",B89,0)</f>
        <v>65</v>
      </c>
      <c r="C128" s="324"/>
      <c r="D128" s="320" t="n">
        <f aca="false">B91</f>
        <v>508.986303759152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36</v>
      </c>
      <c r="H130" s="228" t="n">
        <f aca="false">B151</f>
        <v>0</v>
      </c>
      <c r="I130" s="229"/>
      <c r="J130" s="228" t="n">
        <f aca="false">B58</f>
        <v>35</v>
      </c>
      <c r="K130" s="215"/>
      <c r="L130" s="62"/>
      <c r="M130" s="227" t="n">
        <f aca="false">M155</f>
        <v>36</v>
      </c>
      <c r="N130" s="228" t="n">
        <f aca="false">B151</f>
        <v>0</v>
      </c>
      <c r="O130" s="229"/>
      <c r="P130" s="228" t="n">
        <f aca="false">B58</f>
        <v>35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Monthly in advance</v>
      </c>
      <c r="B131" s="37" t="n">
        <f aca="false">B90*B57</f>
        <v>443.986303759152</v>
      </c>
      <c r="C131" s="316"/>
      <c r="D131" s="37" t="n">
        <f aca="false">IF(A105="YES",B89*B57,0)</f>
        <v>65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1084.97050050951</v>
      </c>
      <c r="H133" s="102" t="n">
        <f aca="false">IF(G105="YES",H89*H57,0)</f>
        <v>1264.39024390244</v>
      </c>
      <c r="I133" s="220"/>
      <c r="J133" s="183" t="n">
        <f aca="false">H91*H57</f>
        <v>2349.36074441195</v>
      </c>
      <c r="K133" s="215"/>
      <c r="L133" s="62"/>
      <c r="M133" s="184" t="n">
        <f aca="false">N90*N57</f>
        <v>854.678638673052</v>
      </c>
      <c r="N133" s="102" t="n">
        <f aca="false">IF(M105="YES",N89*N57,0)</f>
        <v>1053.65853658537</v>
      </c>
      <c r="O133" s="220"/>
      <c r="P133" s="183" t="n">
        <f aca="false">N91*N57</f>
        <v>1908.33717525842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508.986303759152</v>
      </c>
      <c r="B134" s="37" t="n">
        <f aca="false">E114</f>
        <v>4000</v>
      </c>
      <c r="C134" s="316"/>
      <c r="D134" s="336" t="n">
        <f aca="false">B58</f>
        <v>35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443.986303759152</v>
      </c>
      <c r="B137" s="37" t="n">
        <f aca="false">IF(A105="YES",B89,0)</f>
        <v>65</v>
      </c>
      <c r="C137" s="316"/>
      <c r="D137" s="37" t="n">
        <f aca="false">B91</f>
        <v>508.986303759152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(B61*0.000006)*100</f>
        <v>22.4424</v>
      </c>
      <c r="B140" s="342" t="n">
        <f aca="false">IF(A105="YES",B61*0.000002,0)*100</f>
        <v>7.4808</v>
      </c>
      <c r="C140" s="316"/>
      <c r="D140" s="342" t="n">
        <f aca="false">A140+B140</f>
        <v>29.9232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36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36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432</v>
      </c>
      <c r="B148" s="102" t="n">
        <f aca="false">B102</f>
        <v>0</v>
      </c>
      <c r="C148" s="37"/>
      <c r="D148" s="37" t="n">
        <f aca="false">IF(A105="YES",(B40*B105)*B125,0)*0.1</f>
        <v>54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585.99</v>
      </c>
      <c r="E151" s="104"/>
      <c r="F151" s="62"/>
      <c r="G151" s="249"/>
      <c r="H151" s="251" t="n">
        <f aca="false">B51</f>
        <v>10000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36</v>
      </c>
      <c r="H152" s="73" t="n">
        <f aca="false">H91</f>
        <v>391.560124068658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10000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36</v>
      </c>
      <c r="N155" s="73" t="n">
        <f aca="false">N91</f>
        <v>318.056195876403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10000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36</v>
      </c>
      <c r="B161" s="73" t="n">
        <f aca="false">B91</f>
        <v>508.986303759152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443.986303759152</v>
      </c>
      <c r="B177" s="354" t="n">
        <f aca="false">IF(A105="YES",B89,0)</f>
        <v>65</v>
      </c>
      <c r="C177" s="356"/>
      <c r="D177" s="354" t="n">
        <f aca="false">B91</f>
        <v>508.986303759152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Monthly in advance</v>
      </c>
      <c r="B180" s="102" t="n">
        <f aca="false">B90*B57</f>
        <v>443.986303759152</v>
      </c>
      <c r="C180" s="352"/>
      <c r="D180" s="102" t="n">
        <f aca="false">IF(A105="YES",B89*B57,0)</f>
        <v>65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508.986303759152</v>
      </c>
      <c r="B183" s="102" t="n">
        <f aca="false">E114</f>
        <v>4000</v>
      </c>
      <c r="C183" s="352"/>
      <c r="D183" s="360" t="n">
        <f aca="false">B58</f>
        <v>35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443.986303759152</v>
      </c>
      <c r="B186" s="102" t="n">
        <f aca="false">IF(A105="YES",B89,0)</f>
        <v>65</v>
      </c>
      <c r="C186" s="352"/>
      <c r="D186" s="102" t="n">
        <f aca="false">B91</f>
        <v>508.986303759152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22.4424</v>
      </c>
      <c r="B189" s="364" t="n">
        <f aca="false">B140</f>
        <v>7.4808</v>
      </c>
      <c r="C189" s="352"/>
      <c r="D189" s="364" t="n">
        <f aca="false">A189+B189</f>
        <v>29.9232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432</v>
      </c>
      <c r="B197" s="102" t="n">
        <f aca="false">B102</f>
        <v>0</v>
      </c>
      <c r="C197" s="102"/>
      <c r="D197" s="102" t="n">
        <f aca="false">IF(A105="YES",(B40*B105)*B125,0)*0.1</f>
        <v>54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585.99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0.07</v>
      </c>
      <c r="C209" s="320" t="s">
        <v>216</v>
      </c>
      <c r="D209" s="369" t="n">
        <f aca="false">D64</f>
        <v>10000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432</v>
      </c>
      <c r="C211" s="319" t="s">
        <v>218</v>
      </c>
      <c r="D211" s="369" t="n">
        <f aca="false">B225+E221+B221+B223</f>
        <v>639.99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10207.99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10000</v>
      </c>
      <c r="C217" s="373" t="s">
        <v>222</v>
      </c>
      <c r="D217" s="316"/>
      <c r="E217" s="374" t="n">
        <f aca="false">B66</f>
        <v>0.02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432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0</v>
      </c>
      <c r="C223" s="335" t="s">
        <v>219</v>
      </c>
      <c r="D223" s="316"/>
      <c r="E223" s="32" t="n">
        <f aca="false">(B217-B211+D211)</f>
        <v>10207.99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540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380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134.261458256767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81" colorId="64" zoomScale="85" zoomScaleNormal="85" zoomScalePageLayoutView="100" workbookViewId="0">
      <selection pane="topLeft" activeCell="A152" activeCellId="1" sqref="A191 A152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</v>
      </c>
      <c r="I29" s="384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10000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20000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0</v>
      </c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36</v>
      </c>
      <c r="B33" s="228" t="n">
        <v>10000</v>
      </c>
      <c r="C33" s="229"/>
      <c r="D33" s="455" t="n">
        <f aca="false">H48</f>
        <v>133.408761933113</v>
      </c>
      <c r="E33" s="215"/>
      <c r="F33" s="62"/>
      <c r="G33" s="218" t="s">
        <v>356</v>
      </c>
      <c r="H33" s="456" t="n">
        <f aca="false">E21-E11</f>
        <v>18000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36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133.408761933113</v>
      </c>
      <c r="B36" s="102" t="n">
        <f aca="false">IF(B26="YES",H42,"")</f>
        <v>0</v>
      </c>
      <c r="C36" s="220"/>
      <c r="D36" s="183" t="n">
        <f aca="false">H31</f>
        <v>20000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18000</v>
      </c>
      <c r="I39" s="237" t="n">
        <f aca="false">(I48*H46)+H44</f>
        <v>59325.6915133649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20000</v>
      </c>
      <c r="B40" s="106" t="n">
        <f aca="false">IF(B26="YES",H42,"0")</f>
        <v>0</v>
      </c>
      <c r="C40" s="106"/>
      <c r="D40" s="183" t="n">
        <f aca="false">I32</f>
        <v>0</v>
      </c>
      <c r="E40" s="215"/>
      <c r="F40" s="62"/>
      <c r="G40" s="62" t="s">
        <v>107</v>
      </c>
      <c r="H40" s="237" t="n">
        <f aca="false">A40/1.2</f>
        <v>16666.6666666667</v>
      </c>
      <c r="I40" s="237" t="n">
        <f aca="false">H39-I39</f>
        <v>-41325.6915133649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13647.2071058677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</v>
      </c>
      <c r="B45" s="214"/>
      <c r="C45" s="459" t="n">
        <v>100</v>
      </c>
      <c r="D45" s="459"/>
      <c r="E45" s="215"/>
      <c r="F45" s="62"/>
      <c r="G45" s="62" t="s">
        <v>374</v>
      </c>
      <c r="H45" s="237" t="n">
        <f aca="false">(H39-H44)</f>
        <v>4352.7928941323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32.627488862498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133.408761933113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133.408761933113</v>
      </c>
      <c r="I48" s="237" t="n">
        <f aca="false">I49-H42</f>
        <v>1400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10000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36</v>
      </c>
      <c r="B52" s="73" t="n">
        <f aca="false">H48</f>
        <v>133.408761933113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35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35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35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21600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37404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B62+(B62*0.25*((H29/12)-1))</f>
        <v>0.105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0.105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0.105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C64</f>
        <v>10000</v>
      </c>
      <c r="C64" s="461" t="n">
        <v>10000</v>
      </c>
      <c r="D64" s="290" t="n">
        <f aca="false">B64</f>
        <v>10000</v>
      </c>
      <c r="E64" s="462" t="n">
        <f aca="false">D64/(B58+B57)</f>
        <v>277.777777777778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0.02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0.02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0.02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432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180</v>
      </c>
      <c r="C73" s="214"/>
      <c r="D73" s="468" t="n">
        <f aca="false">B73+B71</f>
        <v>380</v>
      </c>
      <c r="E73" s="215" t="s">
        <v>228</v>
      </c>
      <c r="F73" s="62"/>
      <c r="G73" s="284" t="s">
        <v>100</v>
      </c>
      <c r="H73" s="132" t="n">
        <f aca="false">H72*H29</f>
        <v>162</v>
      </c>
      <c r="I73" s="214"/>
      <c r="J73" s="290" t="n">
        <f aca="false">H73+H71</f>
        <v>322</v>
      </c>
      <c r="K73" s="215"/>
      <c r="L73" s="62"/>
      <c r="M73" s="284" t="s">
        <v>100</v>
      </c>
      <c r="N73" s="132" t="n">
        <f aca="false">N72*H29</f>
        <v>162</v>
      </c>
      <c r="O73" s="214"/>
      <c r="P73" s="290" t="n">
        <f aca="false">N73+N71</f>
        <v>322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165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508.75</v>
      </c>
      <c r="C76" s="214"/>
      <c r="D76" s="290" t="n">
        <f aca="false">B76</f>
        <v>508.75</v>
      </c>
      <c r="E76" s="215"/>
      <c r="F76" s="62"/>
      <c r="G76" s="284" t="s">
        <v>282</v>
      </c>
      <c r="H76" s="132" t="n">
        <f aca="false">((H74+H75)/12)*(H29-11)</f>
        <v>343.75</v>
      </c>
      <c r="I76" s="214"/>
      <c r="J76" s="290" t="n">
        <f aca="false">H76</f>
        <v>343.75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0</v>
      </c>
      <c r="C77" s="469"/>
      <c r="D77" s="290" t="n">
        <f aca="false">B77</f>
        <v>0</v>
      </c>
      <c r="E77" s="462" t="n">
        <f aca="false">D77/(B58+B57)</f>
        <v>0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0</v>
      </c>
      <c r="C78" s="469"/>
      <c r="D78" s="290" t="n">
        <f aca="false">B78</f>
        <v>0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35.7986111111111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11288.75</v>
      </c>
      <c r="C81" s="469"/>
      <c r="D81" s="470"/>
      <c r="E81" s="462"/>
      <c r="F81" s="62"/>
      <c r="G81" s="302" t="s">
        <v>103</v>
      </c>
      <c r="H81" s="303" t="n">
        <f aca="false">SUM(J64:J80)</f>
        <v>1065.75</v>
      </c>
      <c r="I81" s="214"/>
      <c r="J81" s="214"/>
      <c r="K81" s="215"/>
      <c r="L81" s="62"/>
      <c r="M81" s="302" t="s">
        <v>103</v>
      </c>
      <c r="N81" s="303" t="n">
        <f aca="false">SUM(P64:P80)</f>
        <v>722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313.576388888889</v>
      </c>
      <c r="C82" s="469"/>
      <c r="D82" s="214"/>
      <c r="E82" s="462"/>
      <c r="F82" s="62"/>
      <c r="G82" s="213" t="s">
        <v>104</v>
      </c>
      <c r="H82" s="299" t="n">
        <f aca="false">H81/H29</f>
        <v>29.6041666666667</v>
      </c>
      <c r="I82" s="214"/>
      <c r="J82" s="214"/>
      <c r="K82" s="215"/>
      <c r="L82" s="62"/>
      <c r="M82" s="213" t="s">
        <v>104</v>
      </c>
      <c r="N82" s="299" t="n">
        <f aca="false">N81/H29</f>
        <v>20.0555555555556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133.408761933113</v>
      </c>
      <c r="C83" s="469"/>
      <c r="D83" s="214"/>
      <c r="E83" s="462" t="n">
        <f aca="false">B83+E80+E77+E64</f>
        <v>446.985150822002</v>
      </c>
      <c r="F83" s="62"/>
      <c r="G83" s="304" t="s">
        <v>105</v>
      </c>
      <c r="H83" s="305" t="n">
        <f aca="false">H47</f>
        <v>133.408761933113</v>
      </c>
      <c r="I83" s="214"/>
      <c r="J83" s="214"/>
      <c r="K83" s="215"/>
      <c r="L83" s="62"/>
      <c r="M83" s="304" t="s">
        <v>105</v>
      </c>
      <c r="N83" s="305" t="n">
        <f aca="false">H47</f>
        <v>133.408761933113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((B83*H29)+B81)*1.2</f>
        <v>19309.7585155105</v>
      </c>
      <c r="C85" s="469"/>
      <c r="D85" s="469"/>
      <c r="E85" s="462" t="n">
        <f aca="false">B85/(B58+B57)</f>
        <v>536.382180986402</v>
      </c>
      <c r="F85" s="62"/>
      <c r="G85" s="287" t="s">
        <v>115</v>
      </c>
      <c r="H85" s="130" t="n">
        <f aca="false">((H83*H29)+H81)*1.2</f>
        <v>7042.15851551049</v>
      </c>
      <c r="I85" s="214"/>
      <c r="J85" s="214"/>
      <c r="K85" s="215"/>
      <c r="L85" s="62"/>
      <c r="M85" s="287" t="s">
        <v>115</v>
      </c>
      <c r="N85" s="130" t="n">
        <f aca="false">((N83*H29)+N81)</f>
        <v>5524.71542959207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136.313341678674</v>
      </c>
      <c r="C86" s="469" t="s">
        <v>231</v>
      </c>
      <c r="D86" s="214"/>
      <c r="E86" s="462" t="n">
        <f aca="false">B86/(B58+B57)</f>
        <v>3.78648171329651</v>
      </c>
      <c r="F86" s="62"/>
      <c r="G86" s="213" t="s">
        <v>116</v>
      </c>
      <c r="H86" s="299" t="n">
        <f aca="false">((((H83*H29)+H81))/(1-H70))*H70</f>
        <v>49.7126962571333</v>
      </c>
      <c r="I86" s="214"/>
      <c r="J86" s="214"/>
      <c r="K86" s="215"/>
      <c r="L86" s="62"/>
      <c r="M86" s="213" t="s">
        <v>116</v>
      </c>
      <c r="N86" s="299" t="n">
        <f aca="false">(N85/(1-N70))*N70</f>
        <v>46.8007357892027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19446.0718571892</v>
      </c>
      <c r="C87" s="469"/>
      <c r="D87" s="471"/>
      <c r="E87" s="462" t="n">
        <f aca="false">E86+E85</f>
        <v>540.168662699699</v>
      </c>
      <c r="F87" s="62"/>
      <c r="G87" s="284" t="s">
        <v>117</v>
      </c>
      <c r="H87" s="132" t="n">
        <f aca="false">IF(H110="YES",((H85+H86)-K114),(H85+H86))</f>
        <v>7091.87121176762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5571.51616538128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IF(B99=Y98,(I32+(I32*B105))/(B58),(I32+(I32*B105))/(B57+B58))*(C45/100)*1.2</f>
        <v>0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0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0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540.168662699699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172.972468579698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135.890638180031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540.168662699699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172.972468579698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135.890638180031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239.99</v>
      </c>
      <c r="B102" s="106" t="n">
        <v>0</v>
      </c>
      <c r="C102" s="106"/>
      <c r="D102" s="106" t="n">
        <v>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0.3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((E118)+E117)-E114</f>
        <v>-2760.01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172.972468579698</v>
      </c>
      <c r="H127" s="176" t="n">
        <f aca="false">IF(G105="YES",H89*H57,0)</f>
        <v>0</v>
      </c>
      <c r="I127" s="176"/>
      <c r="J127" s="333" t="n">
        <f aca="false">H91</f>
        <v>172.972468579698</v>
      </c>
      <c r="K127" s="215"/>
      <c r="L127" s="62"/>
      <c r="M127" s="332" t="n">
        <f aca="false">N90</f>
        <v>135.890638180031</v>
      </c>
      <c r="N127" s="176" t="n">
        <f aca="false">IF(M105="YES",N89*N57,0)</f>
        <v>0</v>
      </c>
      <c r="O127" s="176"/>
      <c r="P127" s="176" t="n">
        <f aca="false">N91</f>
        <v>135.890638180031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540.168662699699</v>
      </c>
      <c r="B128" s="320" t="n">
        <f aca="false">IF(A105="YES",B89,0)</f>
        <v>0</v>
      </c>
      <c r="C128" s="324"/>
      <c r="D128" s="320" t="n">
        <f aca="false">B91</f>
        <v>540.168662699699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36</v>
      </c>
      <c r="H130" s="228" t="n">
        <f aca="false">B151</f>
        <v>0</v>
      </c>
      <c r="I130" s="229"/>
      <c r="J130" s="228" t="n">
        <f aca="false">B58</f>
        <v>35</v>
      </c>
      <c r="K130" s="215"/>
      <c r="L130" s="62"/>
      <c r="M130" s="227" t="n">
        <f aca="false">M155</f>
        <v>36</v>
      </c>
      <c r="N130" s="228" t="n">
        <f aca="false">B151</f>
        <v>0</v>
      </c>
      <c r="O130" s="229"/>
      <c r="P130" s="228" t="n">
        <f aca="false">B58</f>
        <v>35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Monthly in advance</v>
      </c>
      <c r="B131" s="37" t="n">
        <f aca="false">B90*B57</f>
        <v>540.168662699699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1037.83481147819</v>
      </c>
      <c r="H133" s="102" t="n">
        <f aca="false">IF(G105="YES",H89*H57,0)</f>
        <v>0</v>
      </c>
      <c r="I133" s="220"/>
      <c r="J133" s="183" t="n">
        <f aca="false">H91*H57</f>
        <v>1037.83481147819</v>
      </c>
      <c r="K133" s="215"/>
      <c r="L133" s="62"/>
      <c r="M133" s="184" t="n">
        <f aca="false">N90*N57</f>
        <v>815.343829080187</v>
      </c>
      <c r="N133" s="102" t="n">
        <f aca="false">IF(M105="YES",N89*N57,0)</f>
        <v>0</v>
      </c>
      <c r="O133" s="220"/>
      <c r="P133" s="183" t="n">
        <f aca="false">N91*N57</f>
        <v>815.343829080187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540.168662699699</v>
      </c>
      <c r="B134" s="37" t="n">
        <f aca="false">E114</f>
        <v>4000</v>
      </c>
      <c r="C134" s="316"/>
      <c r="D134" s="336" t="n">
        <f aca="false">B58</f>
        <v>35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540.168662699699</v>
      </c>
      <c r="B137" s="37" t="n">
        <f aca="false">IF(A105="YES",B89,0)</f>
        <v>0</v>
      </c>
      <c r="C137" s="316"/>
      <c r="D137" s="37" t="n">
        <f aca="false">B91</f>
        <v>540.168662699699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(B61*0.000006)*1.2*100</f>
        <v>26.93088</v>
      </c>
      <c r="B140" s="342" t="n">
        <f aca="false">IF(A105="YES",B61*0.000002,0)*1.2*100</f>
        <v>8.97696</v>
      </c>
      <c r="C140" s="316"/>
      <c r="D140" s="342" t="n">
        <f aca="false">A140+B140</f>
        <v>35.90784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0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0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239.99</v>
      </c>
      <c r="C143" s="316"/>
      <c r="D143" s="150" t="n">
        <f aca="false">B102</f>
        <v>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432</v>
      </c>
      <c r="B148" s="102" t="n">
        <f aca="false">B102</f>
        <v>0</v>
      </c>
      <c r="C148" s="37"/>
      <c r="D148" s="37" t="n">
        <f aca="false">IF(A105="YES",(B40*B105)*B125,0)*0.1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(E118/1.2)-100</f>
        <v>99.9916666666667</v>
      </c>
      <c r="B151" s="37" t="n">
        <f aca="false">(A148+B148+D148+A151)*(A143/B64)</f>
        <v>0</v>
      </c>
      <c r="C151" s="37"/>
      <c r="D151" s="37" t="n">
        <f aca="false">(A148+B148+D148+A151)-B151</f>
        <v>531.991666666667</v>
      </c>
      <c r="E151" s="104"/>
      <c r="F151" s="62"/>
      <c r="G151" s="249"/>
      <c r="H151" s="251" t="n">
        <f aca="false">B51</f>
        <v>10000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36</v>
      </c>
      <c r="H152" s="73" t="n">
        <f aca="false">H91</f>
        <v>172.972468579698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10000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36</v>
      </c>
      <c r="N155" s="73" t="n">
        <f aca="false">N91</f>
        <v>135.890638180031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10000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36</v>
      </c>
      <c r="B161" s="73" t="n">
        <f aca="false">B91</f>
        <v>540.168662699699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540.168662699699</v>
      </c>
      <c r="B177" s="354" t="n">
        <f aca="false">IF(A105="YES",B89,0)</f>
        <v>0</v>
      </c>
      <c r="C177" s="356"/>
      <c r="D177" s="354" t="n">
        <f aca="false">B91</f>
        <v>540.168662699699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Monthly in advance</v>
      </c>
      <c r="B180" s="102" t="n">
        <f aca="false">B90*B57</f>
        <v>540.168662699699</v>
      </c>
      <c r="C180" s="352"/>
      <c r="D180" s="102" t="n">
        <f aca="false">IF(A105="YES",B89*B57,0)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540.168662699699</v>
      </c>
      <c r="B183" s="102" t="n">
        <f aca="false">E114</f>
        <v>4000</v>
      </c>
      <c r="C183" s="352"/>
      <c r="D183" s="360" t="n">
        <f aca="false">B58</f>
        <v>35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540.168662699699</v>
      </c>
      <c r="B186" s="102" t="n">
        <f aca="false">IF(A105="YES",B89,0)</f>
        <v>0</v>
      </c>
      <c r="C186" s="352"/>
      <c r="D186" s="102" t="n">
        <f aca="false">B91</f>
        <v>540.168662699699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26.93088</v>
      </c>
      <c r="B189" s="364" t="n">
        <f aca="false">B140</f>
        <v>8.97696</v>
      </c>
      <c r="C189" s="352"/>
      <c r="D189" s="364" t="n">
        <f aca="false">A189+B189</f>
        <v>35.90784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239.99</v>
      </c>
      <c r="C192" s="352"/>
      <c r="D192" s="150" t="n">
        <f aca="false">B102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432</v>
      </c>
      <c r="B197" s="102" t="n">
        <f aca="false">B102</f>
        <v>0</v>
      </c>
      <c r="C197" s="102"/>
      <c r="D197" s="102" t="n">
        <f aca="false">IF(A105="YES",(B40*B105)*B125,0)*0.1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E118/1.2-100</f>
        <v>99.9916666666667</v>
      </c>
      <c r="B200" s="102" t="n">
        <f aca="false">(A148+B148+D148+A151)*(A143/B64)</f>
        <v>0</v>
      </c>
      <c r="C200" s="102"/>
      <c r="D200" s="102" t="n">
        <f aca="false">(A148+B148+D148+A151)-B151</f>
        <v>531.991666666667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10000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432</v>
      </c>
      <c r="C211" s="319" t="s">
        <v>218</v>
      </c>
      <c r="D211" s="369" t="n">
        <f aca="false">B225+E221+B221+B223</f>
        <v>99.9916666666667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9667.99166666667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10000</v>
      </c>
      <c r="C217" s="373" t="s">
        <v>222</v>
      </c>
      <c r="D217" s="316"/>
      <c r="E217" s="374" t="n">
        <f aca="false">B66</f>
        <v>0.02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432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0</v>
      </c>
      <c r="C223" s="335" t="s">
        <v>219</v>
      </c>
      <c r="D223" s="316"/>
      <c r="E223" s="32" t="n">
        <f aca="false">(B217-B211+D211)</f>
        <v>9667.99166666667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380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136.313341678674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3" colorId="64" zoomScale="85" zoomScaleNormal="85" zoomScalePageLayoutView="100" workbookViewId="0">
      <selection pane="topLeft" activeCell="A36" activeCellId="1" sqref="A191 A3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385"/>
      <c r="G1" s="385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398"/>
      <c r="B2" s="478" t="s">
        <v>144</v>
      </c>
      <c r="C2" s="478" t="s">
        <v>145</v>
      </c>
      <c r="D2" s="478" t="s">
        <v>146</v>
      </c>
      <c r="E2" s="479" t="s">
        <v>147</v>
      </c>
      <c r="F2" s="385"/>
      <c r="G2" s="385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315" t="s">
        <v>150</v>
      </c>
      <c r="B3" s="480" t="n">
        <v>17895</v>
      </c>
      <c r="C3" s="480" t="n">
        <v>0</v>
      </c>
      <c r="D3" s="480" t="n">
        <v>0</v>
      </c>
      <c r="E3" s="438" t="n">
        <v>0</v>
      </c>
      <c r="F3" s="385"/>
      <c r="G3" s="385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315" t="s">
        <v>151</v>
      </c>
      <c r="B4" s="481" t="n">
        <v>0</v>
      </c>
      <c r="C4" s="481" t="n">
        <v>0</v>
      </c>
      <c r="D4" s="481" t="n">
        <v>0</v>
      </c>
      <c r="E4" s="374"/>
      <c r="F4" s="385"/>
      <c r="G4" s="385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315" t="s">
        <v>152</v>
      </c>
      <c r="B5" s="480" t="n">
        <v>0</v>
      </c>
      <c r="C5" s="480" t="n">
        <v>0</v>
      </c>
      <c r="D5" s="480" t="n">
        <v>0</v>
      </c>
      <c r="E5" s="32"/>
      <c r="F5" s="385"/>
      <c r="G5" s="385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315" t="s">
        <v>153</v>
      </c>
      <c r="B6" s="31" t="n">
        <f aca="false">(B3*B4/100)+B5</f>
        <v>0</v>
      </c>
      <c r="C6" s="31" t="n">
        <f aca="false">(C3*C4/100)+C5</f>
        <v>0</v>
      </c>
      <c r="D6" s="31" t="n">
        <f aca="false">(D3*D4/100)+D5</f>
        <v>0</v>
      </c>
      <c r="E6" s="32"/>
      <c r="F6" s="385"/>
      <c r="G6" s="385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315" t="s">
        <v>154</v>
      </c>
      <c r="B7" s="31" t="n">
        <f aca="false">B3-B6</f>
        <v>16745</v>
      </c>
      <c r="C7" s="31" t="n">
        <f aca="false">C3-C6</f>
        <v>0</v>
      </c>
      <c r="D7" s="31" t="n">
        <f aca="false">D3-D6</f>
        <v>0</v>
      </c>
      <c r="E7" s="32"/>
      <c r="F7" s="385"/>
      <c r="G7" s="385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5"/>
      <c r="G8" s="385"/>
      <c r="H8" s="385"/>
      <c r="I8" s="13" t="s">
        <v>3</v>
      </c>
      <c r="J8" s="9" t="n">
        <f aca="false">E13+E14</f>
        <v>340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83" t="n">
        <f aca="false">B7+C7+D7+E3</f>
        <v>16745</v>
      </c>
      <c r="F9" s="385"/>
      <c r="G9" s="385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38" t="n">
        <v>695</v>
      </c>
      <c r="F10" s="385"/>
      <c r="G10" s="385"/>
      <c r="H10" s="385"/>
      <c r="I10" s="15" t="s">
        <v>1</v>
      </c>
      <c r="J10" s="9" t="n">
        <f aca="false">E15-E11-J8</f>
        <v>17440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32" t="n">
        <f aca="false">(E9+E10)*20%</f>
        <v>3488</v>
      </c>
      <c r="F11" s="385"/>
      <c r="G11" s="385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38" t="n">
        <v>0</v>
      </c>
      <c r="F12" s="385"/>
      <c r="G12" s="385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38" t="n">
        <v>290</v>
      </c>
      <c r="F13" s="385"/>
      <c r="G13" s="385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38" t="n">
        <v>55</v>
      </c>
      <c r="F14" s="385"/>
      <c r="G14" s="385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40" t="n">
        <f aca="false">(E9+E10+E13+E14+E11)-E12</f>
        <v>21268</v>
      </c>
      <c r="F15" s="385"/>
      <c r="G15" s="16" t="n">
        <f aca="false">E15</f>
        <v>21268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38" t="n">
        <v>0</v>
      </c>
      <c r="F16" s="385"/>
      <c r="G16" s="385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317"/>
      <c r="F17" s="385"/>
      <c r="G17" s="385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441" t="n">
        <v>0</v>
      </c>
      <c r="F18" s="385"/>
      <c r="G18" s="16" t="n">
        <f aca="false">(B3+C3+D3+E3+E10)*1.2</f>
        <v>20928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441" t="n">
        <v>0</v>
      </c>
      <c r="F19" s="385"/>
      <c r="G19" s="385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441" t="n">
        <v>0</v>
      </c>
      <c r="F20" s="385"/>
      <c r="G20" s="385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443" t="n">
        <f aca="false">E15-((E18*1.2)+(E19*1.2)+(E20*1.2)+(E16*1.2))</f>
        <v>21268</v>
      </c>
      <c r="F21" s="385"/>
      <c r="G21" s="385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45400</v>
      </c>
      <c r="E29" s="387"/>
      <c r="F29" s="385"/>
      <c r="G29" s="28" t="s">
        <v>28</v>
      </c>
      <c r="H29" s="36" t="n">
        <f aca="false">A32</f>
        <v>12</v>
      </c>
      <c r="I29" s="385"/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600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42</v>
      </c>
      <c r="B34" s="230" t="s">
        <v>48</v>
      </c>
      <c r="C34" s="229" t="s">
        <v>43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E15</f>
        <v>21268</v>
      </c>
      <c r="B35" s="222" t="s">
        <v>45</v>
      </c>
      <c r="C35" s="222"/>
      <c r="D35" s="278" t="n">
        <f aca="false">A35-B35</f>
        <v>20268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45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57</v>
      </c>
      <c r="G40" s="2" t="s">
        <v>58</v>
      </c>
      <c r="H40" s="2" t="n">
        <f aca="false">E11</f>
        <v>3488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335</v>
      </c>
      <c r="B41" s="103" t="s">
        <v>336</v>
      </c>
      <c r="C41" s="103"/>
      <c r="D41" s="222" t="s">
        <v>18</v>
      </c>
      <c r="E41" s="222"/>
      <c r="F41" s="385"/>
      <c r="G41" s="2" t="s">
        <v>59</v>
      </c>
      <c r="H41" s="2" t="str">
        <f aca="false">IF(D41="Yes",A44,0)</f>
        <v>50</v>
      </c>
      <c r="I41" s="2"/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336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s">
        <v>70</v>
      </c>
      <c r="B44" s="103" t="s">
        <v>337</v>
      </c>
      <c r="C44" s="103"/>
      <c r="D44" s="103" t="s">
        <v>337</v>
      </c>
      <c r="E44" s="103"/>
      <c r="F44" s="385"/>
      <c r="G44" s="2" t="s">
        <v>65</v>
      </c>
      <c r="H44" s="2" t="n">
        <f aca="false">((H40-(((H42/(1.2))*0.2)))/(H43))</f>
        <v>207.333333333333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342.666666666667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345.333333333333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29"/>
      <c r="E50" s="242"/>
      <c r="F50" s="385"/>
      <c r="G50" s="2" t="s">
        <v>340</v>
      </c>
      <c r="H50" s="2" t="n">
        <f aca="false">H49-H41</f>
        <v>295.333333333333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H49</f>
        <v>345.333333333333</v>
      </c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345.333333333333</v>
      </c>
      <c r="C58" s="73"/>
      <c r="D58" s="352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315" t="s">
        <v>14</v>
      </c>
      <c r="B67" s="31" t="n">
        <f aca="false">G18</f>
        <v>20928</v>
      </c>
      <c r="C67" s="316"/>
      <c r="D67" s="316"/>
      <c r="E67" s="317"/>
      <c r="F67" s="385"/>
      <c r="G67" s="315" t="s">
        <v>14</v>
      </c>
      <c r="H67" s="31" t="n">
        <f aca="false">G18</f>
        <v>20928</v>
      </c>
      <c r="I67" s="316"/>
      <c r="J67" s="316"/>
      <c r="K67" s="317"/>
      <c r="L67" s="385"/>
      <c r="M67" s="315" t="s">
        <v>14</v>
      </c>
      <c r="N67" s="31" t="n">
        <f aca="false">G18</f>
        <v>20928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396" t="s">
        <v>278</v>
      </c>
      <c r="B68" s="397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315" t="s">
        <v>279</v>
      </c>
      <c r="B69" s="374" t="n">
        <f aca="false">B68+(B68*0.25*(H29/12-1))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365" t="s">
        <v>91</v>
      </c>
      <c r="B70" s="64" t="n">
        <f aca="false">B67*B69</f>
        <v>1464.96</v>
      </c>
      <c r="C70" s="316" t="n">
        <v>10000</v>
      </c>
      <c r="D70" s="31" t="n">
        <f aca="false">B70-A149</f>
        <v>1464.96</v>
      </c>
      <c r="E70" s="317" t="n">
        <f aca="false">D70/12</f>
        <v>122.08</v>
      </c>
      <c r="F70" s="385"/>
      <c r="G70" s="365" t="s">
        <v>91</v>
      </c>
      <c r="H70" s="64" t="n">
        <f aca="false">H67*H69</f>
        <v>1464.96</v>
      </c>
      <c r="I70" s="316"/>
      <c r="J70" s="31" t="n">
        <f aca="false">H70-G151</f>
        <v>1464.96</v>
      </c>
      <c r="K70" s="317"/>
      <c r="L70" s="385"/>
      <c r="M70" s="365" t="s">
        <v>91</v>
      </c>
      <c r="N70" s="64" t="n">
        <f aca="false">N67*N69</f>
        <v>1464.96</v>
      </c>
      <c r="O70" s="316"/>
      <c r="P70" s="31" t="n">
        <f aca="false">N70-M151</f>
        <v>1464.96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396" t="s">
        <v>92</v>
      </c>
      <c r="B71" s="397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315" t="s">
        <v>93</v>
      </c>
      <c r="B72" s="374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365" t="s">
        <v>94</v>
      </c>
      <c r="B73" s="64" t="n">
        <f aca="false">B67*B72</f>
        <v>209.28</v>
      </c>
      <c r="C73" s="316"/>
      <c r="D73" s="31"/>
      <c r="E73" s="317"/>
      <c r="F73" s="385"/>
      <c r="G73" s="365" t="s">
        <v>94</v>
      </c>
      <c r="H73" s="64" t="n">
        <f aca="false">H67*H72</f>
        <v>104.64</v>
      </c>
      <c r="I73" s="316"/>
      <c r="J73" s="31"/>
      <c r="K73" s="317"/>
      <c r="L73" s="385"/>
      <c r="M73" s="365" t="s">
        <v>94</v>
      </c>
      <c r="N73" s="64" t="n">
        <f aca="false">N67*N72</f>
        <v>104.64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0</v>
      </c>
      <c r="C80" s="316"/>
      <c r="D80" s="316"/>
      <c r="E80" s="401" t="n">
        <f aca="false">E79+D82</f>
        <v>660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0</v>
      </c>
      <c r="C81" s="316"/>
      <c r="D81" s="316"/>
      <c r="E81" s="317" t="n">
        <f aca="false">E80/12</f>
        <v>55</v>
      </c>
      <c r="F81" s="385"/>
      <c r="G81" s="398" t="s">
        <v>281</v>
      </c>
      <c r="H81" s="76" t="n">
        <f aca="false">IF(G18&gt;40000,325,0)</f>
        <v>0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((B80+B81)/12)*(H29-11)</f>
        <v>0</v>
      </c>
      <c r="C82" s="316"/>
      <c r="D82" s="31" t="n">
        <f aca="false">IF(A50="YES",0,B82)</f>
        <v>0</v>
      </c>
      <c r="E82" s="317"/>
      <c r="F82" s="385"/>
      <c r="G82" s="365" t="s">
        <v>282</v>
      </c>
      <c r="H82" s="64" t="n">
        <f aca="false">((H80+H81)/12)*(H29-11)</f>
        <v>12.5</v>
      </c>
      <c r="I82" s="316"/>
      <c r="J82" s="31" t="n">
        <f aca="false">IF(A50="YES",0,H82)</f>
        <v>12.5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0</v>
      </c>
      <c r="C83" s="316"/>
      <c r="D83" s="31" t="n">
        <f aca="false">B83</f>
        <v>0</v>
      </c>
      <c r="E83" s="317" t="n">
        <f aca="false">D83/12</f>
        <v>0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0</v>
      </c>
      <c r="C84" s="316"/>
      <c r="D84" s="31" t="n">
        <f aca="false">B84</f>
        <v>0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2124.96</v>
      </c>
      <c r="C87" s="316"/>
      <c r="D87" s="316"/>
      <c r="E87" s="317"/>
      <c r="F87" s="385"/>
      <c r="G87" s="409" t="s">
        <v>103</v>
      </c>
      <c r="H87" s="410" t="n">
        <f aca="false">SUM(J70:J86)</f>
        <v>4591.46</v>
      </c>
      <c r="I87" s="316"/>
      <c r="J87" s="316"/>
      <c r="K87" s="317"/>
      <c r="L87" s="385"/>
      <c r="M87" s="409" t="s">
        <v>103</v>
      </c>
      <c r="N87" s="410" t="n">
        <f aca="false">SUM(P70:P86)</f>
        <v>4578.96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177.08</v>
      </c>
      <c r="C88" s="316"/>
      <c r="D88" s="316"/>
      <c r="E88" s="317"/>
      <c r="F88" s="385"/>
      <c r="G88" s="315" t="s">
        <v>104</v>
      </c>
      <c r="H88" s="32" t="n">
        <f aca="false">H87/H29</f>
        <v>382.621666666667</v>
      </c>
      <c r="I88" s="316"/>
      <c r="J88" s="316"/>
      <c r="K88" s="317"/>
      <c r="L88" s="385"/>
      <c r="M88" s="315" t="s">
        <v>104</v>
      </c>
      <c r="N88" s="32" t="n">
        <f aca="false">N87/H29</f>
        <v>381.58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295.333333333333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((B89*H29)+B87)*1.2</f>
        <v>6802.752</v>
      </c>
      <c r="C91" s="316"/>
      <c r="D91" s="316"/>
      <c r="E91" s="317"/>
      <c r="F91" s="385"/>
      <c r="G91" s="393" t="s">
        <v>115</v>
      </c>
      <c r="H91" s="26" t="n">
        <f aca="false">((H89*H29)+H87)*1.2</f>
        <v>5509.752</v>
      </c>
      <c r="I91" s="316"/>
      <c r="J91" s="316"/>
      <c r="K91" s="317"/>
      <c r="L91" s="385"/>
      <c r="M91" s="393" t="s">
        <v>115</v>
      </c>
      <c r="N91" s="26" t="n">
        <f aca="false">((N89*H29)+N87)</f>
        <v>4578.96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48.0226542960871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38.8949818475192</v>
      </c>
      <c r="I92" s="316"/>
      <c r="J92" s="316"/>
      <c r="K92" s="317"/>
      <c r="L92" s="385"/>
      <c r="M92" s="315" t="s">
        <v>116</v>
      </c>
      <c r="N92" s="32" t="n">
        <f aca="false">(N91/(1-N76))*N76</f>
        <v>38.789092375958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6850.77465429609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7548.64698184752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6617.74909237596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IF(B105=Z104,(((H41*A32)+(H41*A32)*(B111/100))/(B64)),(((H41*A32)+(H41*A32)*(B111/100))/(B63+B64)))*1.2</f>
        <v>60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570.897887858007</v>
      </c>
      <c r="C96" s="316"/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570.897887858007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129</v>
      </c>
      <c r="C105" s="311"/>
      <c r="D105" s="418" t="n">
        <v>1000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0</v>
      </c>
      <c r="C108" s="106"/>
      <c r="D108" s="106" t="n">
        <v>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19</v>
      </c>
      <c r="B111" s="311" t="n">
        <v>0</v>
      </c>
      <c r="C111" s="311"/>
      <c r="D111" s="106" t="n">
        <v>200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19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</v>
      </c>
      <c r="E118" s="106" t="n">
        <v>6000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2000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239.99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(E124+E123)-E120</f>
        <v>-2760.01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11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11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570.897887858007</v>
      </c>
      <c r="B134" s="320" t="n">
        <f aca="false">IF(A111="YES",B95,0)</f>
        <v>0</v>
      </c>
      <c r="C134" s="324"/>
      <c r="D134" s="320" t="n">
        <f aca="false">B97</f>
        <v>570.897887858007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Monthly in advance</v>
      </c>
      <c r="B137" s="37" t="n">
        <f aca="false">B96*B63</f>
        <v>570.897887858007</v>
      </c>
      <c r="C137" s="316"/>
      <c r="D137" s="37" t="n">
        <f aca="false">IF(A111="YES",B95*B63,0)</f>
        <v>0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570.897887858007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0.127608</v>
      </c>
      <c r="H142" s="37" t="n">
        <f aca="false">IF(G111="YES",E15*0.000002,0)</f>
        <v>0.042536</v>
      </c>
      <c r="I142" s="37"/>
      <c r="J142" s="37" t="n">
        <f aca="false">G142+H142</f>
        <v>0.170144</v>
      </c>
      <c r="K142" s="104"/>
      <c r="L142" s="385"/>
      <c r="M142" s="110" t="n">
        <f aca="false">E15*0.000006</f>
        <v>0.127608</v>
      </c>
      <c r="N142" s="37" t="n">
        <f aca="false">IF(M111="YES",E15*0.000002,0)</f>
        <v>0.042536</v>
      </c>
      <c r="O142" s="37"/>
      <c r="P142" s="37" t="n">
        <f aca="false">M142+N142</f>
        <v>0.170144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570.897887858007</v>
      </c>
      <c r="B143" s="37" t="n">
        <f aca="false">IF(A111="YES",B95,0)</f>
        <v>0</v>
      </c>
      <c r="C143" s="316"/>
      <c r="D143" s="37" t="n">
        <f aca="false">B97</f>
        <v>570.897887858007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87.2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87.2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(G18*0.000006)*1.2*100</f>
        <v>15.06816</v>
      </c>
      <c r="B146" s="342" t="n">
        <f aca="false">G18*0.000002*1.2*100</f>
        <v>5.02272</v>
      </c>
      <c r="C146" s="316"/>
      <c r="D146" s="342" t="n">
        <f aca="false">A146+B146</f>
        <v>20.09088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2747.188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2707.19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209.28</v>
      </c>
      <c r="B154" s="37" t="n">
        <f aca="false">B108</f>
        <v>0</v>
      </c>
      <c r="C154" s="37"/>
      <c r="D154" s="37" t="n">
        <f aca="false">IF(A111="YES",(A44/100*B111)*B131,0)*0.1</f>
        <v>0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3488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309.271666666667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570.897887858007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/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570.897887858007</v>
      </c>
      <c r="B177" s="354" t="n">
        <f aca="false">IF(A111="YES",B95,0)</f>
        <v>0</v>
      </c>
      <c r="C177" s="356"/>
      <c r="D177" s="354" t="n">
        <f aca="false">A177+B177</f>
        <v>570.897887858007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Monthly in advance</v>
      </c>
      <c r="B180" s="102" t="n">
        <f aca="false">B96*B63</f>
        <v>570.897887858007</v>
      </c>
      <c r="C180" s="352"/>
      <c r="D180" s="102" t="n">
        <f aca="false">IF(A111="YES",B95*B63,0)</f>
        <v>0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570.897887858007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570.897887858007</v>
      </c>
      <c r="B186" s="102" t="n">
        <f aca="false">IF(A111="YES",B95,0)</f>
        <v>0</v>
      </c>
      <c r="C186" s="352"/>
      <c r="D186" s="102" t="n">
        <f aca="false">B97</f>
        <v>570.897887858007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(G18*0.000006)*1.2*100</f>
        <v>15.06816</v>
      </c>
      <c r="B189" s="364" t="n">
        <f aca="false">G18*0.000002*1.2*100</f>
        <v>5.02272</v>
      </c>
      <c r="C189" s="352"/>
      <c r="D189" s="364" t="n">
        <f aca="false">A189+B189</f>
        <v>20.09088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209.28</v>
      </c>
      <c r="B197" s="102" t="n">
        <f aca="false">B108</f>
        <v>0</v>
      </c>
      <c r="C197" s="102"/>
      <c r="D197" s="102" t="n">
        <f aca="false">IF(A111="YES",(A44/100*B111)*B131,0)*0.1</f>
        <v>0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309.271666666667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G201" s="385"/>
      <c r="H201" s="385"/>
      <c r="I201" s="385"/>
      <c r="J201" s="385"/>
      <c r="K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G202" s="385"/>
      <c r="H202" s="385"/>
      <c r="I202" s="385"/>
      <c r="J202" s="385"/>
      <c r="K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0</v>
      </c>
      <c r="B203" s="102"/>
      <c r="C203" s="352"/>
      <c r="D203" s="352"/>
      <c r="E203" s="317"/>
      <c r="F203" s="385"/>
      <c r="G203" s="385"/>
      <c r="H203" s="385"/>
      <c r="I203" s="385"/>
      <c r="J203" s="385"/>
      <c r="K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G204" s="385"/>
      <c r="H204" s="385"/>
      <c r="I204" s="385"/>
      <c r="J204" s="385"/>
      <c r="K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G205" s="385"/>
      <c r="H205" s="385"/>
      <c r="I205" s="385"/>
      <c r="J205" s="385"/>
      <c r="K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G206" s="385"/>
      <c r="H206" s="385"/>
      <c r="I206" s="385"/>
      <c r="J206" s="385"/>
      <c r="K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G207" s="385"/>
      <c r="H207" s="385"/>
      <c r="I207" s="385"/>
      <c r="J207" s="385"/>
      <c r="K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G208" s="385"/>
      <c r="H208" s="385"/>
      <c r="I208" s="385"/>
      <c r="J208" s="385"/>
      <c r="K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1464.96</v>
      </c>
      <c r="E209" s="321"/>
      <c r="F209" s="385"/>
      <c r="G209" s="385"/>
      <c r="H209" s="385"/>
      <c r="I209" s="385"/>
      <c r="J209" s="385"/>
      <c r="K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G210" s="385"/>
      <c r="H210" s="385"/>
      <c r="I210" s="385"/>
      <c r="J210" s="385"/>
      <c r="K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209.28</v>
      </c>
      <c r="C211" s="319" t="s">
        <v>218</v>
      </c>
      <c r="D211" s="369" t="n">
        <f aca="false">B225+E221+B221+B223</f>
        <v>99.9916666666667</v>
      </c>
      <c r="E211" s="321"/>
      <c r="F211" s="385"/>
      <c r="G211" s="385"/>
      <c r="H211" s="385"/>
      <c r="I211" s="385"/>
      <c r="J211" s="385"/>
      <c r="K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G212" s="385"/>
      <c r="H212" s="385"/>
      <c r="I212" s="385"/>
      <c r="J212" s="385"/>
      <c r="K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1355.67166666667</v>
      </c>
      <c r="C213" s="324"/>
      <c r="D213" s="320"/>
      <c r="E213" s="321"/>
      <c r="F213" s="385"/>
      <c r="G213" s="385"/>
      <c r="H213" s="385"/>
      <c r="I213" s="385"/>
      <c r="J213" s="385"/>
      <c r="K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G214" s="385"/>
      <c r="H214" s="385"/>
      <c r="I214" s="385"/>
      <c r="J214" s="385"/>
      <c r="K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G215" s="385"/>
      <c r="H215" s="385"/>
      <c r="I215" s="385"/>
      <c r="J215" s="385"/>
      <c r="K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G216" s="385"/>
      <c r="H216" s="385"/>
      <c r="I216" s="385"/>
      <c r="J216" s="385"/>
      <c r="K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1464.96</v>
      </c>
      <c r="C217" s="373" t="s">
        <v>222</v>
      </c>
      <c r="D217" s="316"/>
      <c r="E217" s="374" t="n">
        <f aca="false">B72</f>
        <v>0.01</v>
      </c>
      <c r="F217" s="385"/>
      <c r="G217" s="385"/>
      <c r="H217" s="385"/>
      <c r="I217" s="385"/>
      <c r="J217" s="385"/>
      <c r="K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G218" s="385"/>
      <c r="H218" s="385"/>
      <c r="I218" s="385"/>
      <c r="J218" s="385"/>
      <c r="K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209.28</v>
      </c>
      <c r="C219" s="335" t="s">
        <v>327</v>
      </c>
      <c r="D219" s="336"/>
      <c r="E219" s="91" t="n">
        <v>0.001</v>
      </c>
      <c r="F219" s="385"/>
      <c r="G219" s="385"/>
      <c r="H219" s="385"/>
      <c r="I219" s="385"/>
      <c r="J219" s="385"/>
      <c r="K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G220" s="385"/>
      <c r="H220" s="385"/>
      <c r="I220" s="385"/>
      <c r="J220" s="385"/>
      <c r="K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0</v>
      </c>
      <c r="C221" s="335" t="s">
        <v>224</v>
      </c>
      <c r="D221" s="316"/>
      <c r="E221" s="32" t="n">
        <f aca="false">A200</f>
        <v>99.9916666666667</v>
      </c>
      <c r="F221" s="385"/>
      <c r="G221" s="385"/>
      <c r="H221" s="385"/>
      <c r="I221" s="385"/>
      <c r="J221" s="385"/>
      <c r="K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G222" s="385"/>
      <c r="H222" s="385"/>
      <c r="I222" s="385"/>
      <c r="J222" s="385"/>
      <c r="K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0</v>
      </c>
      <c r="C223" s="335" t="s">
        <v>219</v>
      </c>
      <c r="D223" s="316"/>
      <c r="E223" s="32" t="n">
        <f aca="false">(B217-B211+D211)</f>
        <v>1355.67166666667</v>
      </c>
      <c r="F223" s="385"/>
      <c r="G223" s="385"/>
      <c r="H223" s="385"/>
      <c r="I223" s="385"/>
      <c r="J223" s="385"/>
      <c r="K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G224" s="385"/>
      <c r="H224" s="385"/>
      <c r="I224" s="385"/>
      <c r="J224" s="385"/>
      <c r="K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385"/>
      <c r="G225" s="385"/>
      <c r="H225" s="385"/>
      <c r="I225" s="385"/>
      <c r="J225" s="385"/>
      <c r="K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G226" s="385"/>
      <c r="H226" s="385"/>
      <c r="I226" s="385"/>
      <c r="J226" s="385"/>
      <c r="K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G227" s="385"/>
      <c r="H227" s="385"/>
      <c r="I227" s="385"/>
      <c r="J227" s="385"/>
      <c r="K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G228" s="385"/>
      <c r="H228" s="385"/>
      <c r="I228" s="385"/>
      <c r="J228" s="385"/>
      <c r="K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385"/>
      <c r="G229" s="385"/>
      <c r="H229" s="385"/>
      <c r="I229" s="385"/>
      <c r="J229" s="385"/>
      <c r="K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385"/>
      <c r="G230" s="385"/>
      <c r="H230" s="385"/>
      <c r="I230" s="385"/>
      <c r="J230" s="385"/>
      <c r="K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G231" s="385"/>
      <c r="H231" s="385"/>
      <c r="I231" s="385"/>
      <c r="J231" s="385"/>
      <c r="K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48.0226542960871</v>
      </c>
      <c r="F232" s="385"/>
      <c r="G232" s="385"/>
      <c r="H232" s="385"/>
      <c r="I232" s="385"/>
      <c r="J232" s="385"/>
      <c r="K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385"/>
      <c r="G233" s="385"/>
      <c r="H233" s="385"/>
      <c r="I233" s="385"/>
      <c r="J233" s="385"/>
      <c r="K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G234" s="385"/>
      <c r="H234" s="385"/>
      <c r="I234" s="385"/>
      <c r="J234" s="385"/>
      <c r="K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385"/>
      <c r="G235" s="385"/>
      <c r="H235" s="385"/>
      <c r="I235" s="385"/>
      <c r="J235" s="385"/>
      <c r="K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G236" s="385"/>
      <c r="H236" s="385"/>
      <c r="I236" s="385"/>
      <c r="J236" s="385"/>
      <c r="K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G237" s="385"/>
      <c r="H237" s="385"/>
      <c r="I237" s="385"/>
      <c r="J237" s="385"/>
      <c r="K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G238" s="385"/>
      <c r="H238" s="385"/>
      <c r="I238" s="385"/>
      <c r="J238" s="385"/>
      <c r="K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G239" s="385"/>
      <c r="H239" s="385"/>
      <c r="I239" s="385"/>
      <c r="J239" s="385"/>
      <c r="K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G240" s="385"/>
      <c r="H240" s="385"/>
      <c r="I240" s="385"/>
      <c r="J240" s="385"/>
      <c r="K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G241" s="385"/>
      <c r="H241" s="385"/>
      <c r="I241" s="385"/>
      <c r="J241" s="385"/>
      <c r="K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G242" s="385"/>
      <c r="H242" s="385"/>
      <c r="I242" s="385"/>
      <c r="J242" s="385"/>
      <c r="K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85"/>
      <c r="B243" s="385"/>
      <c r="C243" s="385"/>
      <c r="D243" s="385"/>
      <c r="E243" s="385"/>
      <c r="F243" s="385"/>
      <c r="G243" s="385"/>
      <c r="H243" s="385"/>
      <c r="I243" s="385"/>
      <c r="J243" s="385"/>
      <c r="K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385"/>
      <c r="B244" s="385"/>
      <c r="C244" s="385"/>
      <c r="D244" s="385"/>
      <c r="E244" s="385"/>
      <c r="F244" s="385"/>
      <c r="G244" s="385"/>
      <c r="H244" s="385"/>
      <c r="I244" s="385"/>
      <c r="J244" s="385"/>
      <c r="K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85"/>
      <c r="B245" s="385"/>
      <c r="C245" s="385"/>
      <c r="D245" s="385"/>
      <c r="E245" s="385"/>
      <c r="F245" s="385"/>
      <c r="G245" s="385"/>
      <c r="H245" s="385"/>
      <c r="I245" s="385"/>
      <c r="J245" s="385"/>
      <c r="K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85"/>
      <c r="B246" s="385"/>
      <c r="C246" s="385"/>
      <c r="D246" s="385"/>
      <c r="E246" s="385"/>
      <c r="F246" s="385"/>
      <c r="G246" s="385"/>
      <c r="H246" s="385"/>
      <c r="I246" s="385"/>
      <c r="J246" s="385"/>
      <c r="K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385"/>
      <c r="B247" s="385"/>
      <c r="C247" s="385"/>
      <c r="D247" s="385"/>
      <c r="E247" s="385"/>
      <c r="F247" s="385"/>
      <c r="G247" s="385"/>
      <c r="H247" s="385"/>
      <c r="I247" s="385"/>
      <c r="J247" s="385"/>
      <c r="K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85"/>
      <c r="B248" s="385"/>
      <c r="C248" s="385"/>
      <c r="D248" s="385"/>
      <c r="E248" s="385"/>
      <c r="F248" s="385"/>
      <c r="G248" s="385"/>
      <c r="H248" s="385"/>
      <c r="I248" s="385"/>
      <c r="J248" s="385"/>
      <c r="K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07" colorId="64" zoomScale="85" zoomScaleNormal="85" zoomScalePageLayoutView="100" workbookViewId="0">
      <selection pane="topLeft" activeCell="B190" activeCellId="1" sqref="A191 B190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385"/>
      <c r="G1" s="385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398"/>
      <c r="B2" s="478" t="s">
        <v>144</v>
      </c>
      <c r="C2" s="478" t="s">
        <v>145</v>
      </c>
      <c r="D2" s="478" t="s">
        <v>146</v>
      </c>
      <c r="E2" s="479" t="s">
        <v>147</v>
      </c>
      <c r="F2" s="385"/>
      <c r="G2" s="385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315" t="s">
        <v>150</v>
      </c>
      <c r="B3" s="480" t="n">
        <v>16745</v>
      </c>
      <c r="C3" s="480" t="n">
        <v>0</v>
      </c>
      <c r="D3" s="480" t="n">
        <v>0</v>
      </c>
      <c r="E3" s="438" t="n">
        <v>0</v>
      </c>
      <c r="F3" s="385"/>
      <c r="G3" s="385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315" t="s">
        <v>151</v>
      </c>
      <c r="B4" s="481" t="n">
        <v>0</v>
      </c>
      <c r="C4" s="481" t="n">
        <v>0</v>
      </c>
      <c r="D4" s="481" t="n">
        <v>0</v>
      </c>
      <c r="E4" s="374"/>
      <c r="F4" s="385"/>
      <c r="G4" s="385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315" t="s">
        <v>152</v>
      </c>
      <c r="B5" s="480" t="n">
        <v>0</v>
      </c>
      <c r="C5" s="480" t="n">
        <v>0</v>
      </c>
      <c r="D5" s="480" t="n">
        <v>0</v>
      </c>
      <c r="E5" s="32"/>
      <c r="F5" s="385"/>
      <c r="G5" s="385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315" t="s">
        <v>153</v>
      </c>
      <c r="B6" s="31" t="n">
        <f aca="false">(B3*B4/100)+B5</f>
        <v>0</v>
      </c>
      <c r="C6" s="31" t="n">
        <f aca="false">(C3*C4/100)+C5</f>
        <v>0</v>
      </c>
      <c r="D6" s="31" t="n">
        <f aca="false">(D3*D4/100)+D5</f>
        <v>0</v>
      </c>
      <c r="E6" s="32"/>
      <c r="F6" s="385"/>
      <c r="G6" s="385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315" t="s">
        <v>154</v>
      </c>
      <c r="B7" s="31" t="n">
        <f aca="false">B3-B6</f>
        <v>16745</v>
      </c>
      <c r="C7" s="31" t="n">
        <f aca="false">C3-C6</f>
        <v>0</v>
      </c>
      <c r="D7" s="31" t="n">
        <f aca="false">D3-D6</f>
        <v>0</v>
      </c>
      <c r="E7" s="32"/>
      <c r="F7" s="385"/>
      <c r="G7" s="385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5"/>
      <c r="G8" s="385"/>
      <c r="H8" s="385"/>
      <c r="I8" s="13" t="s">
        <v>3</v>
      </c>
      <c r="J8" s="9" t="n">
        <f aca="false">E13+E14</f>
        <v>340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83" t="n">
        <f aca="false">B7+C7+D7+E3</f>
        <v>16745</v>
      </c>
      <c r="F9" s="385"/>
      <c r="G9" s="385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38" t="n">
        <v>695</v>
      </c>
      <c r="F10" s="385"/>
      <c r="G10" s="385"/>
      <c r="H10" s="385"/>
      <c r="I10" s="15" t="s">
        <v>1</v>
      </c>
      <c r="J10" s="9" t="n">
        <f aca="false">E15-E11-J8</f>
        <v>17440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32" t="n">
        <f aca="false">(E9+E10)*20%</f>
        <v>3488</v>
      </c>
      <c r="F11" s="385"/>
      <c r="G11" s="385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38" t="n">
        <v>0</v>
      </c>
      <c r="F12" s="385"/>
      <c r="G12" s="385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38" t="n">
        <v>275</v>
      </c>
      <c r="F13" s="385"/>
      <c r="G13" s="385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38" t="n">
        <v>65</v>
      </c>
      <c r="F14" s="385"/>
      <c r="G14" s="385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40" t="n">
        <f aca="false">(E9+E10+E13+E14+E11)-E12</f>
        <v>21268</v>
      </c>
      <c r="F15" s="385"/>
      <c r="G15" s="16" t="n">
        <f aca="false">E15</f>
        <v>21268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38" t="n">
        <v>0</v>
      </c>
      <c r="F16" s="385"/>
      <c r="G16" s="385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317"/>
      <c r="F17" s="385"/>
      <c r="G17" s="385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441" t="n">
        <v>0</v>
      </c>
      <c r="F18" s="385"/>
      <c r="G18" s="16" t="n">
        <f aca="false">(B3+C3+D3+E3+E10)*1.2</f>
        <v>20928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441" t="n">
        <v>0</v>
      </c>
      <c r="F19" s="385"/>
      <c r="G19" s="385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441" t="n">
        <v>0</v>
      </c>
      <c r="F20" s="385"/>
      <c r="G20" s="385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443" t="n">
        <f aca="false">E15-((E18*1.2)+(E19*1.2)+(E20*1.2)+(E16*1.2))</f>
        <v>21268</v>
      </c>
      <c r="F21" s="385"/>
      <c r="G21" s="385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45400</v>
      </c>
      <c r="E29" s="387"/>
      <c r="F29" s="385"/>
      <c r="G29" s="28" t="s">
        <v>28</v>
      </c>
      <c r="H29" s="36" t="n">
        <f aca="false">A32</f>
        <v>12</v>
      </c>
      <c r="I29" s="385" t="n">
        <f aca="false">ISNUMBER(I31)</f>
        <v>0</v>
      </c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600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338</v>
      </c>
      <c r="B34" s="230" t="s">
        <v>48</v>
      </c>
      <c r="C34" s="229" t="s">
        <v>4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E15</f>
        <v>21268</v>
      </c>
      <c r="B35" s="222" t="s">
        <v>45</v>
      </c>
      <c r="C35" s="222"/>
      <c r="D35" s="278" t="n">
        <f aca="false">A35-B35</f>
        <v>20268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4</v>
      </c>
      <c r="G40" s="2" t="s">
        <v>58</v>
      </c>
      <c r="H40" s="2" t="n">
        <f aca="false">E11</f>
        <v>3488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335</v>
      </c>
      <c r="B41" s="103" t="s">
        <v>336</v>
      </c>
      <c r="C41" s="103"/>
      <c r="D41" s="222" t="s">
        <v>18</v>
      </c>
      <c r="E41" s="222"/>
      <c r="F41" s="385"/>
      <c r="G41" s="2" t="s">
        <v>59</v>
      </c>
      <c r="H41" s="2" t="str">
        <f aca="false">IF(D41="Yes",A44,0)</f>
        <v>50</v>
      </c>
      <c r="I41" s="2" t="s">
        <v>4</v>
      </c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4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s">
        <v>70</v>
      </c>
      <c r="B44" s="103" t="s">
        <v>337</v>
      </c>
      <c r="C44" s="103"/>
      <c r="D44" s="103" t="s">
        <v>337</v>
      </c>
      <c r="E44" s="103"/>
      <c r="F44" s="385"/>
      <c r="G44" s="2" t="s">
        <v>65</v>
      </c>
      <c r="H44" s="2" t="n">
        <f aca="false">((H40-(((H42/(1.2))*0.2)))/(H43))</f>
        <v>207.333333333333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342.666666666667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345.333333333333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109"/>
      <c r="B50" s="229"/>
      <c r="C50" s="229"/>
      <c r="D50" s="229"/>
      <c r="E50" s="242"/>
      <c r="F50" s="385"/>
      <c r="G50" s="2" t="s">
        <v>340</v>
      </c>
      <c r="H50" s="2" t="n">
        <f aca="false">H49-H41</f>
        <v>295.333333333333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/>
      <c r="B52" s="73"/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345.333333333333</v>
      </c>
      <c r="C58" s="73"/>
      <c r="D58" s="424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 t="s">
        <v>4</v>
      </c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315" t="s">
        <v>14</v>
      </c>
      <c r="B67" s="31" t="n">
        <f aca="false">G18</f>
        <v>20928</v>
      </c>
      <c r="C67" s="316"/>
      <c r="D67" s="316"/>
      <c r="E67" s="317"/>
      <c r="F67" s="385"/>
      <c r="G67" s="315" t="s">
        <v>14</v>
      </c>
      <c r="H67" s="31" t="n">
        <f aca="false">G18</f>
        <v>20928</v>
      </c>
      <c r="I67" s="316"/>
      <c r="J67" s="316"/>
      <c r="K67" s="317"/>
      <c r="L67" s="385"/>
      <c r="M67" s="315" t="s">
        <v>14</v>
      </c>
      <c r="N67" s="31" t="n">
        <f aca="false">G18</f>
        <v>20928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396" t="s">
        <v>278</v>
      </c>
      <c r="B68" s="397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315" t="s">
        <v>279</v>
      </c>
      <c r="B69" s="374" t="n">
        <f aca="false">B68+(B68*0.25*(H29/12-1))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365" t="s">
        <v>91</v>
      </c>
      <c r="B70" s="64" t="n">
        <f aca="false">B67*B69</f>
        <v>1464.96</v>
      </c>
      <c r="C70" s="316" t="n">
        <v>10000</v>
      </c>
      <c r="D70" s="31" t="n">
        <f aca="false">B70-A149</f>
        <v>1464.96</v>
      </c>
      <c r="E70" s="317" t="n">
        <f aca="false">D70/12</f>
        <v>122.08</v>
      </c>
      <c r="F70" s="385"/>
      <c r="G70" s="365" t="s">
        <v>91</v>
      </c>
      <c r="H70" s="64" t="n">
        <f aca="false">H67*H69</f>
        <v>1464.96</v>
      </c>
      <c r="I70" s="316"/>
      <c r="J70" s="31" t="n">
        <f aca="false">H70-G151</f>
        <v>1464.96</v>
      </c>
      <c r="K70" s="317"/>
      <c r="L70" s="385"/>
      <c r="M70" s="365" t="s">
        <v>91</v>
      </c>
      <c r="N70" s="64" t="n">
        <f aca="false">N67*N69</f>
        <v>1464.96</v>
      </c>
      <c r="O70" s="316"/>
      <c r="P70" s="31" t="n">
        <f aca="false">N70-M151</f>
        <v>1464.96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396" t="s">
        <v>92</v>
      </c>
      <c r="B71" s="397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315" t="s">
        <v>93</v>
      </c>
      <c r="B72" s="374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365" t="s">
        <v>94</v>
      </c>
      <c r="B73" s="64" t="n">
        <f aca="false">B67*B72</f>
        <v>209.28</v>
      </c>
      <c r="C73" s="316"/>
      <c r="D73" s="31"/>
      <c r="E73" s="317"/>
      <c r="F73" s="385"/>
      <c r="G73" s="365" t="s">
        <v>94</v>
      </c>
      <c r="H73" s="64" t="n">
        <f aca="false">H67*H72</f>
        <v>104.64</v>
      </c>
      <c r="I73" s="316"/>
      <c r="J73" s="31"/>
      <c r="K73" s="317"/>
      <c r="L73" s="385"/>
      <c r="M73" s="365" t="s">
        <v>94</v>
      </c>
      <c r="N73" s="64" t="n">
        <f aca="false">N67*N72</f>
        <v>104.64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0</v>
      </c>
      <c r="C80" s="316"/>
      <c r="D80" s="316"/>
      <c r="E80" s="401" t="n">
        <f aca="false">E79+D82</f>
        <v>660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0</v>
      </c>
      <c r="C81" s="316"/>
      <c r="D81" s="316"/>
      <c r="E81" s="317" t="n">
        <f aca="false">E80/12</f>
        <v>55</v>
      </c>
      <c r="F81" s="385"/>
      <c r="G81" s="398" t="s">
        <v>281</v>
      </c>
      <c r="H81" s="76" t="n">
        <f aca="false">IF(G18&gt;40000,325,0)</f>
        <v>0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((B80+B81)/12)*(H29-11)</f>
        <v>0</v>
      </c>
      <c r="C82" s="316"/>
      <c r="D82" s="31" t="n">
        <f aca="false">IF(A50="YES",0,B82)</f>
        <v>0</v>
      </c>
      <c r="E82" s="317"/>
      <c r="F82" s="385"/>
      <c r="G82" s="365" t="s">
        <v>282</v>
      </c>
      <c r="H82" s="64" t="n">
        <f aca="false">((H80+H81)/12)*(H29-11)</f>
        <v>12.5</v>
      </c>
      <c r="I82" s="316"/>
      <c r="J82" s="31" t="n">
        <f aca="false">IF(A50="YES",0,H82)</f>
        <v>12.5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0</v>
      </c>
      <c r="C83" s="316"/>
      <c r="D83" s="31" t="n">
        <f aca="false">B83</f>
        <v>0</v>
      </c>
      <c r="E83" s="317" t="n">
        <f aca="false">D83/12</f>
        <v>0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0</v>
      </c>
      <c r="C84" s="316"/>
      <c r="D84" s="31" t="n">
        <f aca="false">B84</f>
        <v>0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2124.96</v>
      </c>
      <c r="C87" s="316"/>
      <c r="D87" s="316"/>
      <c r="E87" s="317"/>
      <c r="F87" s="385"/>
      <c r="G87" s="409" t="s">
        <v>103</v>
      </c>
      <c r="H87" s="410" t="n">
        <f aca="false">SUM(J70:J86)</f>
        <v>4591.46</v>
      </c>
      <c r="I87" s="316"/>
      <c r="J87" s="316"/>
      <c r="K87" s="317"/>
      <c r="L87" s="385"/>
      <c r="M87" s="409" t="s">
        <v>103</v>
      </c>
      <c r="N87" s="410" t="n">
        <f aca="false">SUM(P70:P86)</f>
        <v>4578.96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177.08</v>
      </c>
      <c r="C88" s="316"/>
      <c r="D88" s="316"/>
      <c r="E88" s="317"/>
      <c r="F88" s="385"/>
      <c r="G88" s="315" t="s">
        <v>104</v>
      </c>
      <c r="H88" s="32" t="n">
        <f aca="false">H87/H29</f>
        <v>382.621666666667</v>
      </c>
      <c r="I88" s="316"/>
      <c r="J88" s="316"/>
      <c r="K88" s="317"/>
      <c r="L88" s="385"/>
      <c r="M88" s="315" t="s">
        <v>104</v>
      </c>
      <c r="N88" s="32" t="n">
        <f aca="false">N87/H29</f>
        <v>381.58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295.333333333333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</f>
        <v>5668.96</v>
      </c>
      <c r="C91" s="316"/>
      <c r="D91" s="316"/>
      <c r="E91" s="317"/>
      <c r="F91" s="385"/>
      <c r="G91" s="393" t="s">
        <v>115</v>
      </c>
      <c r="H91" s="26" t="n">
        <f aca="false">((H89*H29)+H87)*1.2</f>
        <v>5509.752</v>
      </c>
      <c r="I91" s="316"/>
      <c r="J91" s="316"/>
      <c r="K91" s="317"/>
      <c r="L91" s="385"/>
      <c r="M91" s="393" t="s">
        <v>115</v>
      </c>
      <c r="N91" s="26" t="n">
        <f aca="false">((N89*H29)+N87)</f>
        <v>4578.96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48.0226542960871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38.8949818475192</v>
      </c>
      <c r="I92" s="316"/>
      <c r="J92" s="316"/>
      <c r="K92" s="317"/>
      <c r="L92" s="385"/>
      <c r="M92" s="315" t="s">
        <v>116</v>
      </c>
      <c r="N92" s="32" t="n">
        <f aca="false">(N91/(1-N76))*N76</f>
        <v>38.789092375958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5716.98265429609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7548.64698184752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6617.74909237596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</f>
        <v>50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476.415221191341</v>
      </c>
      <c r="C96" s="316" t="s">
        <v>4</v>
      </c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476.415221191341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129</v>
      </c>
      <c r="C105" s="311"/>
      <c r="D105" s="418" t="n">
        <v>1000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0</v>
      </c>
      <c r="C108" s="106"/>
      <c r="D108" s="106" t="n">
        <v>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19</v>
      </c>
      <c r="B111" s="311" t="n">
        <v>0</v>
      </c>
      <c r="C111" s="311"/>
      <c r="D111" s="106" t="n">
        <v>200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19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</v>
      </c>
      <c r="E118" s="106" t="n">
        <v>6000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2000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199.99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((E124*1.2)+E123)-E120</f>
        <v>-2760.012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11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11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476.415221191341</v>
      </c>
      <c r="B134" s="320" t="n">
        <f aca="false">IF(A111="YES",B95,0)</f>
        <v>0</v>
      </c>
      <c r="C134" s="325"/>
      <c r="D134" s="320" t="n">
        <f aca="false">B97</f>
        <v>476.415221191341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Monthly in advance</v>
      </c>
      <c r="B137" s="37" t="n">
        <f aca="false">B96*B63</f>
        <v>476.415221191341</v>
      </c>
      <c r="C137" s="316"/>
      <c r="D137" s="37" t="n">
        <f aca="false">IF(A111="YES",B95*B63,0)</f>
        <v>0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476.415221191341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0.127608</v>
      </c>
      <c r="H142" s="37" t="n">
        <f aca="false">IF(G111="YES",E15*0.000002,0)</f>
        <v>0.042536</v>
      </c>
      <c r="I142" s="37"/>
      <c r="J142" s="37" t="n">
        <f aca="false">G142+H142</f>
        <v>0.170144</v>
      </c>
      <c r="K142" s="104"/>
      <c r="L142" s="385"/>
      <c r="M142" s="110" t="n">
        <f aca="false">E15*0.000006</f>
        <v>0.127608</v>
      </c>
      <c r="N142" s="37" t="n">
        <f aca="false">IF(M111="YES",E15*0.000002,0)</f>
        <v>0.042536</v>
      </c>
      <c r="O142" s="37"/>
      <c r="P142" s="37" t="n">
        <f aca="false">M142+N142</f>
        <v>0.170144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476.415221191341</v>
      </c>
      <c r="B143" s="37" t="n">
        <f aca="false">IF(A111="YES",B95,0)</f>
        <v>0</v>
      </c>
      <c r="C143" s="316"/>
      <c r="D143" s="37" t="n">
        <f aca="false">B97</f>
        <v>476.415221191341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87.2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87.2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(G18*0.000006)*100</f>
        <v>12.5568</v>
      </c>
      <c r="B146" s="342" t="n">
        <f aca="false">G18*0.000002*100</f>
        <v>4.1856</v>
      </c>
      <c r="C146" s="316"/>
      <c r="D146" s="342" t="n">
        <f aca="false">A146+B146</f>
        <v>16.7424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2747.188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2707.19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209.28</v>
      </c>
      <c r="B154" s="102" t="n">
        <f aca="false">B108</f>
        <v>0</v>
      </c>
      <c r="C154" s="37"/>
      <c r="D154" s="37" t="n">
        <f aca="false">IF(A111="YES",(A44/100*B111)*B131,0)*0.1</f>
        <v>0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3488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309.27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476.415221191341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 t="n">
        <f aca="false">ISNUMBER(B183)</f>
        <v>1</v>
      </c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476.415221191341</v>
      </c>
      <c r="B177" s="354" t="n">
        <f aca="false">IF(A111="YES",B95,0)</f>
        <v>0</v>
      </c>
      <c r="C177" s="357"/>
      <c r="D177" s="354" t="n">
        <f aca="false">B91</f>
        <v>5668.96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Monthly in advance</v>
      </c>
      <c r="B180" s="102" t="n">
        <f aca="false">B96*B63</f>
        <v>476.415221191341</v>
      </c>
      <c r="C180" s="352"/>
      <c r="D180" s="102" t="n">
        <f aca="false">IF(A111="YES",B95*B63,0)</f>
        <v>0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476.415221191341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476.415221191341</v>
      </c>
      <c r="B186" s="102" t="n">
        <f aca="false">IF(A111="YES",B95,0)</f>
        <v>0</v>
      </c>
      <c r="C186" s="352"/>
      <c r="D186" s="102" t="n">
        <f aca="false">B97</f>
        <v>476.415221191341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(G18*0.000006)*100</f>
        <v>12.5568</v>
      </c>
      <c r="B189" s="364" t="n">
        <f aca="false">G18*0.000002*100</f>
        <v>4.1856</v>
      </c>
      <c r="C189" s="352"/>
      <c r="D189" s="364" t="n">
        <f aca="false">A189+B189</f>
        <v>16.7424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209.28</v>
      </c>
      <c r="B197" s="102" t="n">
        <f aca="false">B108</f>
        <v>0</v>
      </c>
      <c r="C197" s="102"/>
      <c r="D197" s="102" t="n">
        <f aca="false">IF(A111="YES",(A44/100*B111)*B131,0)*0.1</f>
        <v>0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309.27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0</v>
      </c>
      <c r="B203" s="102"/>
      <c r="C203" s="352"/>
      <c r="D203" s="352"/>
      <c r="E203" s="317"/>
      <c r="F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1464.96</v>
      </c>
      <c r="E209" s="321"/>
      <c r="F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209.28</v>
      </c>
      <c r="C211" s="319" t="s">
        <v>218</v>
      </c>
      <c r="D211" s="369" t="n">
        <f aca="false">B225+E221+B221+B223</f>
        <v>99.99</v>
      </c>
      <c r="E211" s="321"/>
      <c r="F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1355.67</v>
      </c>
      <c r="C213" s="324"/>
      <c r="D213" s="320"/>
      <c r="E213" s="321"/>
      <c r="F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1464.96</v>
      </c>
      <c r="C217" s="373" t="s">
        <v>222</v>
      </c>
      <c r="D217" s="316"/>
      <c r="E217" s="374" t="n">
        <f aca="false">B72</f>
        <v>0.01</v>
      </c>
      <c r="F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209.28</v>
      </c>
      <c r="C219" s="335" t="s">
        <v>327</v>
      </c>
      <c r="D219" s="336"/>
      <c r="E219" s="91" t="n">
        <v>0.001</v>
      </c>
      <c r="F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0</v>
      </c>
      <c r="C221" s="335" t="s">
        <v>224</v>
      </c>
      <c r="D221" s="316"/>
      <c r="E221" s="32" t="n">
        <f aca="false">A200</f>
        <v>99.99</v>
      </c>
      <c r="F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0</v>
      </c>
      <c r="C223" s="335" t="s">
        <v>219</v>
      </c>
      <c r="D223" s="316"/>
      <c r="E223" s="32" t="n">
        <f aca="false">(B217-B211+D211)</f>
        <v>1355.67</v>
      </c>
      <c r="F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48.0226542960871</v>
      </c>
      <c r="F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110"/>
      <c r="B244" s="37"/>
      <c r="C244" s="37"/>
      <c r="D244" s="37"/>
      <c r="E244" s="104"/>
      <c r="F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110"/>
      <c r="B247" s="37"/>
      <c r="C247" s="316"/>
      <c r="D247" s="316"/>
      <c r="E247" s="317"/>
      <c r="F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76" colorId="64" zoomScale="85" zoomScaleNormal="85" zoomScalePageLayoutView="100" workbookViewId="0">
      <selection pane="topLeft" activeCell="A191" activeCellId="0" sqref="A191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17895</v>
      </c>
      <c r="C3" s="437"/>
      <c r="D3" s="437" t="n">
        <v>0</v>
      </c>
      <c r="E3" s="437"/>
      <c r="F3" s="437" t="n">
        <v>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489" t="n">
        <v>0</v>
      </c>
      <c r="C4" s="489"/>
      <c r="D4" s="490" t="n">
        <v>0</v>
      </c>
      <c r="E4" s="490"/>
      <c r="F4" s="490" t="n">
        <v>0</v>
      </c>
      <c r="G4" s="490"/>
      <c r="H4" s="128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</v>
      </c>
      <c r="C5" s="437"/>
      <c r="D5" s="437" t="n">
        <v>0</v>
      </c>
      <c r="E5" s="437"/>
      <c r="F5" s="437" t="n">
        <v>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/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16745</v>
      </c>
      <c r="C7" s="154"/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31"/>
      <c r="C8" s="31"/>
      <c r="D8" s="31"/>
      <c r="E8" s="31"/>
      <c r="F8" s="31"/>
      <c r="G8" s="31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/>
      <c r="F9" s="151"/>
      <c r="G9" s="138"/>
      <c r="H9" s="439" t="n">
        <f aca="false">B7+D7+F7+H3</f>
        <v>16745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/>
      <c r="F10" s="153"/>
      <c r="G10" s="155"/>
      <c r="H10" s="438" t="n">
        <v>695</v>
      </c>
      <c r="I10" s="2"/>
      <c r="J10" s="2"/>
      <c r="L10" s="15" t="s">
        <v>1</v>
      </c>
      <c r="M10" s="9" t="n">
        <f aca="false">H15-H11-M8</f>
        <v>17440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5"/>
      <c r="H11" s="32" t="n">
        <f aca="false">(H9+H10)*20%</f>
        <v>3488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5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/>
      <c r="F13" s="153"/>
      <c r="G13" s="155"/>
      <c r="H13" s="438" t="n">
        <v>290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/>
      <c r="F14" s="153"/>
      <c r="G14" s="155"/>
      <c r="H14" s="438" t="n">
        <v>55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5"/>
      <c r="H15" s="440" t="n">
        <f aca="false">(H9+H10+H13+H14+H11)-H12</f>
        <v>21268</v>
      </c>
      <c r="I15" s="2"/>
      <c r="J15" s="16" t="n">
        <f aca="false">H15</f>
        <v>21268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/>
      <c r="F16" s="153"/>
      <c r="G16" s="155"/>
      <c r="H16" s="438" t="n">
        <v>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37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38"/>
      <c r="H18" s="441" t="n">
        <v>0</v>
      </c>
      <c r="I18" s="2"/>
      <c r="J18" s="16" t="n">
        <f aca="false">(B3+D3+F3+H3+H10)*1.2</f>
        <v>20928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38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38"/>
      <c r="H20" s="441" t="n">
        <v>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21268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33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n">
        <f aca="false">A46</f>
        <v>0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</row>
    <row r="34" customFormat="false" ht="19.5" hidden="false" customHeight="false" outlineLevel="0" collapsed="false">
      <c r="A34" s="39" t="s">
        <v>248</v>
      </c>
      <c r="B34" s="31"/>
      <c r="C34" s="40" t="s">
        <v>43</v>
      </c>
      <c r="D34" s="40"/>
      <c r="E34" s="31"/>
      <c r="F34" s="40" t="n">
        <f aca="false">(A34/12)*C34</f>
        <v>13750</v>
      </c>
      <c r="G34" s="40"/>
      <c r="H34" s="46"/>
      <c r="I34" s="2"/>
      <c r="J34" s="2"/>
      <c r="K34" s="2"/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492" t="n">
        <v>0.065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32</v>
      </c>
    </row>
    <row r="37" customFormat="false" ht="19.5" hidden="false" customHeight="false" outlineLevel="0" collapsed="false">
      <c r="A37" s="35" t="n">
        <f aca="false">H15</f>
        <v>21268</v>
      </c>
      <c r="B37" s="31"/>
      <c r="C37" s="40" t="s">
        <v>45</v>
      </c>
      <c r="D37" s="40"/>
      <c r="E37" s="31"/>
      <c r="F37" s="42" t="n">
        <f aca="false">A37-C37</f>
        <v>20268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42</v>
      </c>
      <c r="B40" s="31"/>
      <c r="C40" s="53" t="n">
        <f aca="false">A34-1</f>
        <v>32</v>
      </c>
      <c r="D40" s="53"/>
      <c r="E40" s="31"/>
      <c r="F40" s="40" t="s">
        <v>57</v>
      </c>
      <c r="G40" s="40"/>
      <c r="H40" s="46"/>
      <c r="J40" s="2" t="s">
        <v>58</v>
      </c>
      <c r="K40" s="2" t="n">
        <f aca="false">H11</f>
        <v>3488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n">
        <f aca="false">IF(F43="Yes",A46,0)</f>
        <v>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</v>
      </c>
      <c r="B43" s="31"/>
      <c r="C43" s="40" t="n">
        <v>20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33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75.3939393939394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424.606060606061</v>
      </c>
      <c r="L45" s="2"/>
    </row>
    <row r="46" customFormat="false" ht="19.5" hidden="false" customHeight="false" outlineLevel="0" collapsed="false">
      <c r="A46" s="39" t="n">
        <v>0</v>
      </c>
      <c r="B46" s="31"/>
      <c r="C46" s="40" t="n">
        <v>1</v>
      </c>
      <c r="D46" s="40"/>
      <c r="E46" s="31"/>
      <c r="F46" s="40" t="n">
        <v>0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0.363636363636364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0.606060606060606</v>
      </c>
      <c r="L48" s="2"/>
    </row>
    <row r="49" customFormat="false" ht="18.75" hidden="false" customHeight="false" outlineLevel="0" collapsed="false">
      <c r="A49" s="35" t="n">
        <f aca="false">C46+F46</f>
        <v>1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425.575757575758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425.575757575758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382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33</v>
      </c>
      <c r="B60" s="73" t="n">
        <f aca="false">K49</f>
        <v>425.575757575758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/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/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/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/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32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32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32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32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20928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20928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20928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20928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0.072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17490.7715151242</v>
      </c>
      <c r="C74" s="31"/>
      <c r="D74" s="31"/>
      <c r="E74" s="22"/>
      <c r="F74" s="22"/>
      <c r="G74" s="22"/>
      <c r="H74" s="32"/>
      <c r="J74" s="55" t="s">
        <v>91</v>
      </c>
      <c r="K74" s="64" t="n">
        <f aca="false">(K98*K68)-(K47*K29)</f>
        <v>48703.2190424278</v>
      </c>
      <c r="L74" s="31"/>
      <c r="M74" s="31"/>
      <c r="N74" s="22"/>
      <c r="O74" s="22"/>
      <c r="P74" s="22"/>
      <c r="Q74" s="32"/>
      <c r="S74" s="55" t="s">
        <v>91</v>
      </c>
      <c r="T74" s="64" t="n">
        <f aca="false">(T98*T68)-(K47*K29)</f>
        <v>20293.5917615192</v>
      </c>
      <c r="U74" s="31"/>
      <c r="V74" s="31"/>
      <c r="W74" s="22"/>
      <c r="X74" s="22"/>
      <c r="Y74" s="22"/>
      <c r="Z74" s="32"/>
      <c r="AB74" s="55" t="s">
        <v>91</v>
      </c>
      <c r="AC74" s="64" t="n">
        <f aca="false">(AC98*AC68)-(K47*K29)</f>
        <v>20293.5917615192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0.009375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0.071875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0.009375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0.009375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199.3875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1504.2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196.2</v>
      </c>
      <c r="U77" s="31"/>
      <c r="V77" s="31"/>
      <c r="W77" s="22"/>
      <c r="X77" s="22"/>
      <c r="Y77" s="22"/>
      <c r="Z77" s="32"/>
      <c r="AB77" s="55" t="s">
        <v>94</v>
      </c>
      <c r="AC77" s="64" t="n">
        <f aca="false">AH167*AC76</f>
        <v>161.5734375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425.575757575758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0.363636363636364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425.575757575758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425.575757575758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20268</v>
      </c>
      <c r="C90" s="31"/>
      <c r="D90" s="31"/>
      <c r="E90" s="22"/>
      <c r="F90" s="24" t="s">
        <v>106</v>
      </c>
      <c r="G90" s="26" t="n">
        <f aca="false">F37</f>
        <v>20268</v>
      </c>
      <c r="H90" s="32"/>
      <c r="J90" s="24" t="s">
        <v>106</v>
      </c>
      <c r="K90" s="26" t="n">
        <f aca="false">P167</f>
        <v>36519.004</v>
      </c>
      <c r="L90" s="31"/>
      <c r="M90" s="31"/>
      <c r="N90" s="22"/>
      <c r="O90" s="22"/>
      <c r="P90" s="22"/>
      <c r="Q90" s="32"/>
      <c r="S90" s="24" t="s">
        <v>106</v>
      </c>
      <c r="T90" s="26" t="n">
        <f aca="false">Y167</f>
        <v>17234.5</v>
      </c>
      <c r="U90" s="31"/>
      <c r="V90" s="31"/>
      <c r="W90" s="22"/>
      <c r="X90" s="22"/>
      <c r="Y90" s="22"/>
      <c r="Z90" s="32"/>
      <c r="AB90" s="24" t="s">
        <v>106</v>
      </c>
      <c r="AC90" s="26" t="n">
        <f aca="false">AH167</f>
        <v>17234.5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IF(A111="YES",A43,0)*1.2</f>
        <v>7200</v>
      </c>
      <c r="C91" s="31"/>
      <c r="D91" s="31"/>
      <c r="E91" s="22"/>
      <c r="F91" s="30" t="s">
        <v>107</v>
      </c>
      <c r="G91" s="32" t="n">
        <f aca="false">IF(A111="YES",A43,0)*1.2</f>
        <v>7200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0.115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0.00958333333333333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32</v>
      </c>
      <c r="C94" s="31"/>
      <c r="D94" s="31"/>
      <c r="E94" s="22"/>
      <c r="F94" s="30" t="s">
        <v>110</v>
      </c>
      <c r="G94" s="32" t="n">
        <f aca="false">IF(G91=0,(B68+B67),(B68))</f>
        <v>32</v>
      </c>
      <c r="H94" s="32"/>
      <c r="J94" s="30" t="s">
        <v>110</v>
      </c>
      <c r="K94" s="32" t="n">
        <f aca="false">IF(K91=0,(K68+K67),(K68))</f>
        <v>33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32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32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5255.82391109543</v>
      </c>
      <c r="C95" s="31"/>
      <c r="D95" s="31"/>
      <c r="E95" s="22"/>
      <c r="F95" s="30" t="s">
        <v>111</v>
      </c>
      <c r="G95" s="32" t="n">
        <f aca="false">(G91/((1+G93)^(G94+1)))</f>
        <v>6024.37295128565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8.55929138316766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8.55929138316766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27.4464895133802</v>
      </c>
      <c r="C96" s="31"/>
      <c r="D96" s="31"/>
      <c r="E96" s="22"/>
      <c r="F96" s="30" t="s">
        <v>112</v>
      </c>
      <c r="G96" s="32" t="n">
        <f aca="false">((1-(1/((1+G93)^G94)))/G93)</f>
        <v>29.3075648349115</v>
      </c>
      <c r="H96" s="32"/>
      <c r="J96" s="30" t="s">
        <v>112</v>
      </c>
      <c r="K96" s="32" t="n">
        <f aca="false">((1-(1/((1+K93)^K94)))/K93)</f>
        <v>23.9885635530494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27.1467145183312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27.1467145183312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15012.1760889046</v>
      </c>
      <c r="C97" s="31"/>
      <c r="D97" s="31"/>
      <c r="E97" s="22"/>
      <c r="F97" s="30" t="s">
        <v>113</v>
      </c>
      <c r="G97" s="32" t="n">
        <f aca="false">G90-G95</f>
        <v>14243.6270487143</v>
      </c>
      <c r="H97" s="32"/>
      <c r="J97" s="30" t="s">
        <v>113</v>
      </c>
      <c r="K97" s="32" t="n">
        <f aca="false">K90-K95</f>
        <v>36519.004</v>
      </c>
      <c r="L97" s="31"/>
      <c r="M97" s="31"/>
      <c r="N97" s="22"/>
      <c r="O97" s="22"/>
      <c r="P97" s="22"/>
      <c r="Q97" s="32"/>
      <c r="S97" s="30" t="s">
        <v>113</v>
      </c>
      <c r="T97" s="32" t="n">
        <f aca="false">T90-T95</f>
        <v>17225.9407086168</v>
      </c>
      <c r="U97" s="31"/>
      <c r="V97" s="31"/>
      <c r="W97" s="22"/>
      <c r="X97" s="22"/>
      <c r="Y97" s="22"/>
      <c r="Z97" s="32"/>
      <c r="AB97" s="30" t="s">
        <v>113</v>
      </c>
      <c r="AC97" s="32" t="n">
        <f aca="false">AC90-AC95</f>
        <v>17225.9407086168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546.961609847631</v>
      </c>
      <c r="C98" s="31"/>
      <c r="D98" s="31"/>
      <c r="E98" s="22"/>
      <c r="F98" s="30" t="s">
        <v>114</v>
      </c>
      <c r="G98" s="32" t="n">
        <f aca="false">(G97/G96)</f>
        <v>486.005136521857</v>
      </c>
      <c r="H98" s="32"/>
      <c r="J98" s="30" t="s">
        <v>114</v>
      </c>
      <c r="K98" s="32" t="n">
        <f aca="false">(K97/K96)</f>
        <v>1522.35059507587</v>
      </c>
      <c r="L98" s="31"/>
      <c r="M98" s="31"/>
      <c r="N98" s="22"/>
      <c r="O98" s="22"/>
      <c r="P98" s="22"/>
      <c r="Q98" s="32"/>
      <c r="S98" s="30" t="s">
        <v>114</v>
      </c>
      <c r="T98" s="32" t="n">
        <f aca="false">(T97/T96)</f>
        <v>634.549742547474</v>
      </c>
      <c r="U98" s="31"/>
      <c r="V98" s="31"/>
      <c r="W98" s="22"/>
      <c r="X98" s="22"/>
      <c r="Y98" s="22"/>
      <c r="Z98" s="32"/>
      <c r="AB98" s="30" t="s">
        <v>114</v>
      </c>
      <c r="AC98" s="32" t="n">
        <f aca="false">(AC97/AC96)</f>
        <v>634.549742547474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17502.7715151242</v>
      </c>
      <c r="C99" s="31"/>
      <c r="D99" s="31"/>
      <c r="E99" s="22"/>
      <c r="F99" s="30" t="s">
        <v>115</v>
      </c>
      <c r="G99" s="32" t="n">
        <f aca="false">((G98*(G94))+G86)</f>
        <v>15552.1643686994</v>
      </c>
      <c r="H99" s="32"/>
      <c r="J99" s="30" t="s">
        <v>115</v>
      </c>
      <c r="K99" s="32" t="n">
        <f aca="false">((K98*(K94))+K86)</f>
        <v>50237.5696375037</v>
      </c>
      <c r="L99" s="31"/>
      <c r="M99" s="31"/>
      <c r="N99" s="22"/>
      <c r="O99" s="22"/>
      <c r="P99" s="22"/>
      <c r="Q99" s="32"/>
      <c r="S99" s="30" t="s">
        <v>115</v>
      </c>
      <c r="T99" s="32" t="n">
        <f aca="false">(T98*(T94))+T86</f>
        <v>20305.5917615192</v>
      </c>
      <c r="U99" s="31"/>
      <c r="V99" s="31"/>
      <c r="W99" s="22"/>
      <c r="X99" s="22"/>
      <c r="Y99" s="22"/>
      <c r="Z99" s="32"/>
      <c r="AB99" s="30" t="s">
        <v>115</v>
      </c>
      <c r="AC99" s="32" t="n">
        <f aca="false">(AC98*(AC68))+AC86</f>
        <v>20305.5917615192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n">
        <f aca="false">(K99/(1-K80))*K80</f>
        <v>0</v>
      </c>
      <c r="L100" s="31"/>
      <c r="M100" s="31"/>
      <c r="N100" s="22"/>
      <c r="O100" s="22"/>
      <c r="P100" s="22"/>
      <c r="Q100" s="32"/>
      <c r="S100" s="30" t="s">
        <v>116</v>
      </c>
      <c r="T100" s="32" t="n">
        <f aca="false">(T99/(1-T80))*T80</f>
        <v>0</v>
      </c>
      <c r="U100" s="31"/>
      <c r="V100" s="31"/>
      <c r="W100" s="22"/>
      <c r="X100" s="22"/>
      <c r="Y100" s="22"/>
      <c r="Z100" s="32"/>
      <c r="AB100" s="30" t="s">
        <v>116</v>
      </c>
      <c r="AC100" s="32" t="n">
        <f aca="false">(AC99/(1-AC80))*AC80</f>
        <v>0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17502.7715151242</v>
      </c>
      <c r="C101" s="31"/>
      <c r="D101" s="31"/>
      <c r="E101" s="22"/>
      <c r="F101" s="55" t="s">
        <v>117</v>
      </c>
      <c r="G101" s="64" t="n">
        <f aca="false">(G99+G100)</f>
        <v>15552.1643686994</v>
      </c>
      <c r="H101" s="32"/>
      <c r="J101" s="55" t="s">
        <v>117</v>
      </c>
      <c r="K101" s="64" t="n">
        <f aca="false">(K99+K100)</f>
        <v>50237.5696375037</v>
      </c>
      <c r="L101" s="31"/>
      <c r="M101" s="31"/>
      <c r="N101" s="22"/>
      <c r="O101" s="22"/>
      <c r="P101" s="22"/>
      <c r="Q101" s="32"/>
      <c r="S101" s="55" t="s">
        <v>117</v>
      </c>
      <c r="T101" s="64" t="n">
        <f aca="false">(T99+T100)</f>
        <v>20305.5917615192</v>
      </c>
      <c r="U101" s="31"/>
      <c r="V101" s="31"/>
      <c r="W101" s="22"/>
      <c r="X101" s="22"/>
      <c r="Y101" s="22"/>
      <c r="Z101" s="32"/>
      <c r="AB101" s="55" t="s">
        <v>117</v>
      </c>
      <c r="AC101" s="64" t="n">
        <f aca="false">(AC99+AC100)</f>
        <v>20305.5917615192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</f>
        <v>0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546.961609847631</v>
      </c>
      <c r="C104" s="31"/>
      <c r="D104" s="31"/>
      <c r="E104" s="22"/>
      <c r="F104" s="94" t="s">
        <v>119</v>
      </c>
      <c r="G104" s="95" t="n">
        <f aca="false">G101/(G94)</f>
        <v>486.005136521857</v>
      </c>
      <c r="H104" s="32"/>
      <c r="J104" s="94" t="s">
        <v>119</v>
      </c>
      <c r="K104" s="95" t="n">
        <f aca="false">K101/(K94)</f>
        <v>1522.35059507587</v>
      </c>
      <c r="L104" s="31"/>
      <c r="M104" s="31"/>
      <c r="N104" s="22"/>
      <c r="O104" s="22"/>
      <c r="P104" s="22"/>
      <c r="Q104" s="32"/>
      <c r="S104" s="94" t="s">
        <v>119</v>
      </c>
      <c r="T104" s="95" t="n">
        <f aca="false">T101/(T94)</f>
        <v>634.549742547474</v>
      </c>
      <c r="U104" s="31"/>
      <c r="V104" s="31"/>
      <c r="W104" s="22"/>
      <c r="X104" s="22"/>
      <c r="Y104" s="22"/>
      <c r="Z104" s="32"/>
      <c r="AB104" s="94" t="s">
        <v>119</v>
      </c>
      <c r="AC104" s="95" t="n">
        <f aca="false">AC101/(AC68)</f>
        <v>634.549742547474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546.961609847631</v>
      </c>
      <c r="C105" s="31"/>
      <c r="D105" s="31"/>
      <c r="E105" s="22" t="s">
        <v>18</v>
      </c>
      <c r="F105" s="96" t="s">
        <v>120</v>
      </c>
      <c r="G105" s="97" t="n">
        <f aca="false">G103+G104</f>
        <v>486.005136521857</v>
      </c>
      <c r="H105" s="32"/>
      <c r="J105" s="96" t="s">
        <v>120</v>
      </c>
      <c r="K105" s="97" t="n">
        <f aca="false">(K103+K104)</f>
        <v>1522.35059507587</v>
      </c>
      <c r="L105" s="31"/>
      <c r="M105" s="31"/>
      <c r="N105" s="22"/>
      <c r="O105" s="22"/>
      <c r="P105" s="22"/>
      <c r="Q105" s="32"/>
      <c r="S105" s="96" t="s">
        <v>120</v>
      </c>
      <c r="T105" s="97" t="n">
        <f aca="false">T103+T104</f>
        <v>634.549742547474</v>
      </c>
      <c r="U105" s="31"/>
      <c r="V105" s="31"/>
      <c r="W105" s="22"/>
      <c r="X105" s="22"/>
      <c r="Y105" s="22"/>
      <c r="Z105" s="32"/>
      <c r="AB105" s="96" t="s">
        <v>120</v>
      </c>
      <c r="AC105" s="97" t="n">
        <f aca="false">AC103+AC104</f>
        <v>634.549742547474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s">
        <v>267</v>
      </c>
      <c r="C108" s="22"/>
      <c r="D108" s="22"/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/>
      <c r="C114" s="102"/>
      <c r="D114" s="102"/>
      <c r="E114" s="103" t="s">
        <v>19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0.2</v>
      </c>
      <c r="B117" s="106" t="s">
        <v>133</v>
      </c>
      <c r="C117" s="106"/>
      <c r="D117" s="106"/>
      <c r="E117" s="107" t="n">
        <f aca="false">B92</f>
        <v>0.115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/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235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22"/>
      <c r="C127" s="22"/>
      <c r="D127" s="22"/>
      <c r="E127" s="22"/>
      <c r="F127" s="22"/>
      <c r="G127" s="2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24" t="n">
        <f aca="false">B3</f>
        <v>16745</v>
      </c>
      <c r="C130" s="39" t="n">
        <f aca="false">B130</f>
        <v>16745</v>
      </c>
      <c r="D130" s="24" t="n">
        <f aca="false">D3</f>
        <v>0</v>
      </c>
      <c r="E130" s="39" t="n">
        <f aca="false">D130</f>
        <v>0</v>
      </c>
      <c r="F130" s="24" t="n">
        <f aca="false">F3</f>
        <v>0</v>
      </c>
      <c r="G130" s="39" t="n">
        <f aca="false">F130</f>
        <v>0</v>
      </c>
      <c r="H130" s="121" t="n">
        <f aca="false">H3</f>
        <v>0</v>
      </c>
      <c r="J130" s="24" t="s">
        <v>150</v>
      </c>
      <c r="K130" s="24" t="n">
        <f aca="false">B3</f>
        <v>16745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n">
        <f aca="false">F3</f>
        <v>0</v>
      </c>
      <c r="P130" s="39" t="n">
        <f aca="false">O130</f>
        <v>0</v>
      </c>
      <c r="Q130" s="121" t="n">
        <f aca="false">H3</f>
        <v>0</v>
      </c>
      <c r="S130" s="24" t="s">
        <v>150</v>
      </c>
      <c r="T130" s="24" t="n">
        <f aca="false">B3</f>
        <v>16745</v>
      </c>
      <c r="U130" s="39" t="n">
        <f aca="false">T130</f>
        <v>16745</v>
      </c>
      <c r="V130" s="24" t="n">
        <f aca="false">D3</f>
        <v>0</v>
      </c>
      <c r="W130" s="39" t="n">
        <f aca="false">V130</f>
        <v>0</v>
      </c>
      <c r="X130" s="24" t="n">
        <f aca="false">F3</f>
        <v>0</v>
      </c>
      <c r="Y130" s="39" t="n">
        <f aca="false">X130</f>
        <v>0</v>
      </c>
      <c r="Z130" s="121" t="n">
        <f aca="false">H3</f>
        <v>0</v>
      </c>
      <c r="AB130" s="24" t="s">
        <v>150</v>
      </c>
      <c r="AC130" s="24" t="n">
        <f aca="false">B3</f>
        <v>16745</v>
      </c>
      <c r="AD130" s="39" t="n">
        <f aca="false">AC130</f>
        <v>16745</v>
      </c>
      <c r="AE130" s="24" t="n">
        <f aca="false">D3</f>
        <v>0</v>
      </c>
      <c r="AF130" s="39" t="n">
        <f aca="false">AE130</f>
        <v>0</v>
      </c>
      <c r="AG130" s="24" t="n">
        <f aca="false">F3</f>
        <v>0</v>
      </c>
      <c r="AH130" s="39" t="n">
        <f aca="false">AG130</f>
        <v>0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6" t="n">
        <f aca="false">B4</f>
        <v>0</v>
      </c>
      <c r="C131" s="493" t="n">
        <f aca="false">B131</f>
        <v>0</v>
      </c>
      <c r="D131" s="126" t="n">
        <f aca="false">D4</f>
        <v>0</v>
      </c>
      <c r="E131" s="127" t="n">
        <f aca="false">D131</f>
        <v>0</v>
      </c>
      <c r="F131" s="126" t="n">
        <f aca="false">F4</f>
        <v>0</v>
      </c>
      <c r="G131" s="127" t="n">
        <f aca="false">F131</f>
        <v>0</v>
      </c>
      <c r="H131" s="128"/>
      <c r="J131" s="30" t="s">
        <v>151</v>
      </c>
      <c r="K131" s="126" t="n">
        <f aca="false">B4</f>
        <v>0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n">
        <f aca="false">F4</f>
        <v>0</v>
      </c>
      <c r="P131" s="127" t="n">
        <f aca="false">O131</f>
        <v>0</v>
      </c>
      <c r="Q131" s="128"/>
      <c r="S131" s="30" t="s">
        <v>151</v>
      </c>
      <c r="T131" s="126" t="n">
        <f aca="false">B4</f>
        <v>0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n">
        <f aca="false">F4</f>
        <v>0</v>
      </c>
      <c r="Y131" s="127" t="n">
        <f aca="false">X131</f>
        <v>0</v>
      </c>
      <c r="Z131" s="128"/>
      <c r="AB131" s="30" t="s">
        <v>151</v>
      </c>
      <c r="AC131" s="126" t="n">
        <f aca="false">B4</f>
        <v>0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n">
        <f aca="false">F4</f>
        <v>0</v>
      </c>
      <c r="AH131" s="127" t="n">
        <f aca="false">AG131</f>
        <v>0</v>
      </c>
      <c r="AI131" s="128"/>
    </row>
    <row r="132" customFormat="false" ht="19.5" hidden="false" customHeight="false" outlineLevel="0" collapsed="false">
      <c r="A132" s="30" t="s">
        <v>152</v>
      </c>
      <c r="B132" s="30" t="n">
        <f aca="false">B5</f>
        <v>0</v>
      </c>
      <c r="C132" s="39" t="n">
        <f aca="false">B132</f>
        <v>0</v>
      </c>
      <c r="D132" s="30" t="n">
        <f aca="false">D5</f>
        <v>0</v>
      </c>
      <c r="E132" s="39" t="n">
        <f aca="false">D132</f>
        <v>0</v>
      </c>
      <c r="F132" s="30" t="n">
        <f aca="false">F5</f>
        <v>0</v>
      </c>
      <c r="G132" s="39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n">
        <f aca="false">F5</f>
        <v>0</v>
      </c>
      <c r="P132" s="39" t="n">
        <f aca="false">O132</f>
        <v>0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n">
        <f aca="false">F5</f>
        <v>0</v>
      </c>
      <c r="Y132" s="39" t="n">
        <f aca="false">X132</f>
        <v>0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n">
        <f aca="false">F5</f>
        <v>0</v>
      </c>
      <c r="AH132" s="39" t="n">
        <f aca="false">AG132</f>
        <v>0</v>
      </c>
      <c r="AI132" s="32"/>
    </row>
    <row r="133" customFormat="false" ht="18.75" hidden="false" customHeight="false" outlineLevel="0" collapsed="false">
      <c r="A133" s="30" t="s">
        <v>153</v>
      </c>
      <c r="B133" s="30" t="n">
        <f aca="false">(B130*B131)+B132</f>
        <v>0</v>
      </c>
      <c r="C133" s="26" t="n">
        <f aca="false">(C130*C131/100)+C132</f>
        <v>0</v>
      </c>
      <c r="D133" s="30" t="n">
        <f aca="false">(D130*D131)+D132</f>
        <v>0</v>
      </c>
      <c r="E133" s="26" t="n">
        <f aca="false">(E130*E131/100)+E132</f>
        <v>0</v>
      </c>
      <c r="F133" s="30" t="n">
        <f aca="false">(F130*F131)+F132</f>
        <v>0</v>
      </c>
      <c r="G133" s="26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n">
        <f aca="false">(O130*O131)+O132</f>
        <v>0</v>
      </c>
      <c r="P133" s="26" t="n">
        <f aca="false">(P130*P131)+P132</f>
        <v>0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4186.25</v>
      </c>
      <c r="V133" s="30" t="n">
        <f aca="false">(V130*V131)+V132</f>
        <v>0</v>
      </c>
      <c r="W133" s="26" t="n">
        <f aca="false">(W130*W131)+W132</f>
        <v>0</v>
      </c>
      <c r="X133" s="30" t="n">
        <f aca="false">(X130*X131)+X132</f>
        <v>0</v>
      </c>
      <c r="Y133" s="26" t="n">
        <f aca="false">(Y130*Y131)+Y132</f>
        <v>0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4186.25</v>
      </c>
      <c r="AE133" s="30" t="n">
        <f aca="false">(AE130*AE131)+AE132</f>
        <v>0</v>
      </c>
      <c r="AF133" s="26" t="n">
        <f aca="false">(AF130*AF131)+AF132</f>
        <v>0</v>
      </c>
      <c r="AG133" s="30" t="n">
        <f aca="false">(AG130*AG131)+AG132</f>
        <v>0</v>
      </c>
      <c r="AH133" s="26" t="n">
        <f aca="false">(AH130*AH131)+AH132</f>
        <v>0</v>
      </c>
      <c r="AI133" s="32"/>
    </row>
    <row r="134" customFormat="false" ht="19.5" hidden="false" customHeight="false" outlineLevel="0" collapsed="false">
      <c r="A134" s="55" t="s">
        <v>154</v>
      </c>
      <c r="B134" s="55" t="n">
        <f aca="false">B130-B133</f>
        <v>16745</v>
      </c>
      <c r="C134" s="64" t="n">
        <f aca="false">C130-C133</f>
        <v>16745</v>
      </c>
      <c r="D134" s="55" t="n">
        <f aca="false">D130-D133</f>
        <v>0</v>
      </c>
      <c r="E134" s="64" t="n">
        <f aca="false">E130-E133</f>
        <v>0</v>
      </c>
      <c r="F134" s="55" t="n">
        <f aca="false">F130-F133</f>
        <v>0</v>
      </c>
      <c r="G134" s="64" t="n">
        <f aca="false">G130-G133</f>
        <v>0</v>
      </c>
      <c r="H134" s="64"/>
      <c r="J134" s="55" t="s">
        <v>154</v>
      </c>
      <c r="K134" s="55" t="n">
        <f aca="false">K130-K133</f>
        <v>16745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n">
        <f aca="false">O130-O133</f>
        <v>0</v>
      </c>
      <c r="P134" s="64" t="n">
        <f aca="false">P130-P133</f>
        <v>0</v>
      </c>
      <c r="Q134" s="64"/>
      <c r="S134" s="55" t="s">
        <v>154</v>
      </c>
      <c r="T134" s="55" t="n">
        <f aca="false">T130-T133</f>
        <v>16745</v>
      </c>
      <c r="U134" s="64" t="n">
        <f aca="false">U130-U133</f>
        <v>12558.75</v>
      </c>
      <c r="V134" s="55" t="n">
        <f aca="false">V130-V133</f>
        <v>0</v>
      </c>
      <c r="W134" s="64" t="n">
        <f aca="false">W130-W133</f>
        <v>0</v>
      </c>
      <c r="X134" s="55" t="n">
        <f aca="false">X130-X133</f>
        <v>0</v>
      </c>
      <c r="Y134" s="64" t="n">
        <f aca="false">Y130-Y133</f>
        <v>0</v>
      </c>
      <c r="Z134" s="64"/>
      <c r="AB134" s="55" t="s">
        <v>154</v>
      </c>
      <c r="AC134" s="55" t="n">
        <f aca="false">AC130-AC133</f>
        <v>16745</v>
      </c>
      <c r="AD134" s="64" t="n">
        <f aca="false">AD130-AD133</f>
        <v>12558.75</v>
      </c>
      <c r="AE134" s="55" t="n">
        <f aca="false">AE130-AE133</f>
        <v>0</v>
      </c>
      <c r="AF134" s="64" t="n">
        <f aca="false">AF130-AF133</f>
        <v>0</v>
      </c>
      <c r="AG134" s="55" t="n">
        <f aca="false">AG130-AG133</f>
        <v>0</v>
      </c>
      <c r="AH134" s="64" t="n">
        <f aca="false">AH130-AH133</f>
        <v>0</v>
      </c>
      <c r="AI134" s="64"/>
    </row>
    <row r="135" customFormat="false" ht="18.75" hidden="false" customHeight="false" outlineLevel="0" collapsed="false">
      <c r="A135" s="30"/>
      <c r="B135" s="31"/>
      <c r="C135" s="31"/>
      <c r="D135" s="31"/>
      <c r="E135" s="31"/>
      <c r="F135" s="31"/>
      <c r="G135" s="31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7"/>
      <c r="C136" s="137"/>
      <c r="D136" s="137"/>
      <c r="E136" s="137"/>
      <c r="F136" s="137"/>
      <c r="G136" s="138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31"/>
      <c r="C138" s="31"/>
      <c r="D138" s="31"/>
      <c r="E138" s="31"/>
      <c r="F138" s="31"/>
      <c r="G138" s="145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31"/>
      <c r="C143" s="31"/>
      <c r="D143" s="31"/>
      <c r="E143" s="31"/>
      <c r="F143" s="31"/>
      <c r="G143" s="145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8" t="n">
        <f aca="false">H9</f>
        <v>16745</v>
      </c>
      <c r="H144" s="152" t="n">
        <f aca="false">C134+E134+G134+H137</f>
        <v>16745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16745</v>
      </c>
      <c r="Q144" s="152" t="n">
        <f aca="false">L134+N134+P134+Q137</f>
        <v>28629.17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16745</v>
      </c>
      <c r="Z144" s="152" t="n">
        <f aca="false">U134+W134+Y134+Z137</f>
        <v>12558.75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16745</v>
      </c>
      <c r="AI144" s="152" t="n">
        <f aca="false">AD134+AF134+AH134+AI137</f>
        <v>12558.75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5" t="n">
        <f aca="false">H10</f>
        <v>695</v>
      </c>
      <c r="H145" s="32" t="n">
        <f aca="false">G145</f>
        <v>695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695</v>
      </c>
      <c r="Q145" s="32" t="n">
        <f aca="false">P145</f>
        <v>695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695</v>
      </c>
      <c r="Z145" s="32" t="n">
        <f aca="false">Y145</f>
        <v>695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695</v>
      </c>
      <c r="AI145" s="32" t="n">
        <f aca="false">AH145</f>
        <v>695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155" t="n">
        <f aca="false">H11</f>
        <v>3488</v>
      </c>
      <c r="H146" s="32" t="n">
        <f aca="false">(H144+H145)*20%</f>
        <v>3488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3488</v>
      </c>
      <c r="Q146" s="32" t="n">
        <f aca="false">(Q144+Q145)*20%</f>
        <v>5864.834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3488</v>
      </c>
      <c r="Z146" s="32" t="n">
        <f aca="false">(Z144+Z145)*20%</f>
        <v>2650.75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3488</v>
      </c>
      <c r="AI146" s="32" t="n">
        <f aca="false">(AI144+AI145)*20%</f>
        <v>2650.75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5" t="n">
        <f aca="false">H12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5" t="n">
        <f aca="false">H13</f>
        <v>275</v>
      </c>
      <c r="H148" s="32" t="n">
        <f aca="false">G148</f>
        <v>275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275</v>
      </c>
      <c r="Q148" s="32" t="n">
        <f aca="false">P148</f>
        <v>275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275</v>
      </c>
      <c r="Z148" s="32" t="n">
        <f aca="false">Y148</f>
        <v>275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275</v>
      </c>
      <c r="AI148" s="32" t="n">
        <f aca="false">AH148</f>
        <v>275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5" t="n">
        <f aca="false">H14</f>
        <v>65</v>
      </c>
      <c r="H149" s="32" t="n">
        <f aca="false">G149</f>
        <v>65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65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65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65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7" t="n">
        <f aca="false">H15</f>
        <v>21268</v>
      </c>
      <c r="H150" s="156" t="n">
        <f aca="false">(H144+H145+H148+H149+H146)-H147</f>
        <v>21268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21268</v>
      </c>
      <c r="Q150" s="156" t="n">
        <f aca="false">(Q144+Q145+Q148+Q149+Q146)-Q147</f>
        <v>35519.004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21268</v>
      </c>
      <c r="Z150" s="156" t="n">
        <f aca="false">(Z144+Z145+Z148+Z149+Z146)-Z147</f>
        <v>16234.5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21268</v>
      </c>
      <c r="AI150" s="156" t="n">
        <f aca="false">(AI144+AI145+AI148+AI149+AI146)-AI147</f>
        <v>16234.5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155" t="n">
        <f aca="false">H16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7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s">
        <v>171</v>
      </c>
      <c r="C153" s="160"/>
      <c r="D153" s="160"/>
      <c r="E153" s="160"/>
      <c r="F153" s="160"/>
      <c r="G153" s="155" t="n">
        <f aca="false">H18</f>
        <v>0</v>
      </c>
      <c r="H153" s="39" t="n">
        <f aca="false">G153</f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155" t="n">
        <f aca="false">H19</f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155" t="n">
        <f aca="false">H20</f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57" t="n">
        <f aca="false">G150-((G153*1.2)+(G154*1.2)+(G155*1.2)+(G151*1.2))</f>
        <v>21268</v>
      </c>
      <c r="H156" s="163" t="n">
        <f aca="false">H150-((H153*1.2)+(H154*1.2)+(H155*1.2)+(H151*1.2))</f>
        <v>21268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21268</v>
      </c>
      <c r="Q156" s="163" t="n">
        <f aca="false">Q150-((Q153*1.2)+(Q154*1.2)+(Q155*1.2)+(Q151*1.2))</f>
        <v>35519.004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21268</v>
      </c>
      <c r="Z156" s="163" t="n">
        <f aca="false">Z150-((Z153*1.2)+(Z154*1.2)+(Z155*1.2)+(Z151*1.2))</f>
        <v>16234.5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21268</v>
      </c>
      <c r="AI156" s="163" t="n">
        <f aca="false">AI150-((AI153*1.2)+(AI154*1.2)+(AI155*1.2)+(AI151*1.2))</f>
        <v>16234.5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5"/>
      <c r="H157" s="39" t="n">
        <f aca="false">((H156-G156)-(H146-G146))+((I155-I154)*0.2)</f>
        <v>0</v>
      </c>
      <c r="I157" s="1" t="n">
        <f aca="false">(H157-G90)/1.2</f>
        <v>-16890</v>
      </c>
      <c r="J157" s="153" t="s">
        <v>173</v>
      </c>
      <c r="K157" s="153"/>
      <c r="L157" s="153"/>
      <c r="M157" s="153"/>
      <c r="N157" s="153"/>
      <c r="O157" s="153"/>
      <c r="P157" s="155"/>
      <c r="Q157" s="39" t="n">
        <f aca="false">Q156-P156</f>
        <v>14251.004</v>
      </c>
      <c r="S157" s="153" t="s">
        <v>173</v>
      </c>
      <c r="T157" s="153"/>
      <c r="U157" s="153"/>
      <c r="V157" s="153"/>
      <c r="W157" s="153"/>
      <c r="X157" s="153"/>
      <c r="Y157" s="155"/>
      <c r="Z157" s="39" t="n">
        <f aca="false">Z156-Y156</f>
        <v>-5033.5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n">
        <f aca="false">AI156-AH156</f>
        <v>-5033.5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21268</v>
      </c>
      <c r="H167" s="169"/>
      <c r="J167" s="168" t="s">
        <v>180</v>
      </c>
      <c r="K167" s="31"/>
      <c r="L167" s="31"/>
      <c r="M167" s="22"/>
      <c r="N167" s="31"/>
      <c r="O167" s="22"/>
      <c r="P167" s="169" t="n">
        <f aca="false">Q156-P163-P166</f>
        <v>36519.004</v>
      </c>
      <c r="Q167" s="169"/>
      <c r="S167" s="168" t="s">
        <v>180</v>
      </c>
      <c r="T167" s="31"/>
      <c r="U167" s="31"/>
      <c r="V167" s="22"/>
      <c r="W167" s="31"/>
      <c r="X167" s="22"/>
      <c r="Y167" s="169" t="n">
        <f aca="false">Z156-Y163-Y166</f>
        <v>17234.5</v>
      </c>
      <c r="Z167" s="169"/>
      <c r="AB167" s="168" t="s">
        <v>180</v>
      </c>
      <c r="AC167" s="31"/>
      <c r="AD167" s="31"/>
      <c r="AE167" s="22"/>
      <c r="AF167" s="31"/>
      <c r="AG167" s="22"/>
      <c r="AH167" s="169" t="n">
        <f aca="false">AI156-AH163-AH166</f>
        <v>17234.5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199.99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7200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546.961609847631</v>
      </c>
      <c r="B176" s="176" t="n">
        <f aca="false">B103</f>
        <v>0</v>
      </c>
      <c r="C176" s="173"/>
      <c r="D176" s="173"/>
      <c r="E176" s="176" t="n">
        <f aca="false">B105</f>
        <v>546.961609847631</v>
      </c>
      <c r="F176" s="22"/>
      <c r="G176" s="22" t="n">
        <f aca="false">ROUND(G104,2)</f>
        <v>486.01</v>
      </c>
      <c r="H176" s="32"/>
      <c r="J176" s="175" t="n">
        <f aca="false">K104</f>
        <v>1522.35059507587</v>
      </c>
      <c r="K176" s="177" t="n">
        <f aca="false">K103</f>
        <v>0</v>
      </c>
      <c r="L176" s="174"/>
      <c r="M176" s="174"/>
      <c r="N176" s="177" t="n">
        <f aca="false">K105</f>
        <v>1522.35059507587</v>
      </c>
      <c r="O176" s="22"/>
      <c r="P176" s="22"/>
      <c r="Q176" s="32"/>
      <c r="S176" s="175" t="n">
        <f aca="false">T104</f>
        <v>634.549742547474</v>
      </c>
      <c r="T176" s="177" t="n">
        <f aca="false">T103</f>
        <v>0</v>
      </c>
      <c r="U176" s="174"/>
      <c r="V176" s="174"/>
      <c r="W176" s="177" t="n">
        <f aca="false">T105</f>
        <v>634.549742547474</v>
      </c>
      <c r="X176" s="22"/>
      <c r="Y176" s="22"/>
      <c r="Z176" s="32"/>
      <c r="AB176" s="175" t="n">
        <f aca="false">AC104</f>
        <v>634.549742547474</v>
      </c>
      <c r="AC176" s="177" t="n">
        <f aca="false">AC103</f>
        <v>0</v>
      </c>
      <c r="AD176" s="174"/>
      <c r="AE176" s="174"/>
      <c r="AF176" s="177" t="n">
        <f aca="false">AC105</f>
        <v>634.549742547474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str">
        <f aca="false">K29</f>
        <v>33</v>
      </c>
      <c r="B179" s="179" t="str">
        <f aca="false">K30</f>
        <v>5000</v>
      </c>
      <c r="C179" s="180"/>
      <c r="D179" s="22"/>
      <c r="E179" s="181" t="n">
        <f aca="false">B91</f>
        <v>7200</v>
      </c>
      <c r="F179" s="22"/>
      <c r="G179" s="22"/>
      <c r="H179" s="32"/>
      <c r="J179" s="178" t="str">
        <f aca="false">K29</f>
        <v>33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33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33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17440</v>
      </c>
      <c r="B182" s="102" t="n">
        <f aca="false">H146</f>
        <v>3488</v>
      </c>
      <c r="C182" s="185"/>
      <c r="D182" s="22"/>
      <c r="E182" s="181" t="n">
        <f aca="false">H148+H149</f>
        <v>340</v>
      </c>
      <c r="F182" s="22"/>
      <c r="G182" s="22"/>
      <c r="H182" s="32"/>
      <c r="J182" s="184" t="n">
        <f aca="false">Q150-Q146-Q148-Q149</f>
        <v>29324.17</v>
      </c>
      <c r="K182" s="37" t="n">
        <f aca="false">Q146</f>
        <v>5864.834</v>
      </c>
      <c r="L182" s="42"/>
      <c r="M182" s="22"/>
      <c r="N182" s="183" t="n">
        <f aca="false">Q148+Q149</f>
        <v>330</v>
      </c>
      <c r="O182" s="22"/>
      <c r="P182" s="22"/>
      <c r="Q182" s="32"/>
      <c r="S182" s="184" t="n">
        <f aca="false">Z150-Z146-Z148-Z149</f>
        <v>13253.75</v>
      </c>
      <c r="T182" s="37" t="n">
        <f aca="false">Z146</f>
        <v>2650.75</v>
      </c>
      <c r="U182" s="42"/>
      <c r="V182" s="22"/>
      <c r="W182" s="183" t="n">
        <f aca="false">Z148+Z149</f>
        <v>330</v>
      </c>
      <c r="X182" s="22"/>
      <c r="Y182" s="22"/>
      <c r="Z182" s="32"/>
      <c r="AB182" s="184" t="n">
        <f aca="false">AI150-AI146-AI148-AI149</f>
        <v>13253.75</v>
      </c>
      <c r="AC182" s="37" t="n">
        <f aca="false">AI146</f>
        <v>2650.75</v>
      </c>
      <c r="AD182" s="42"/>
      <c r="AE182" s="22"/>
      <c r="AF182" s="183" t="n">
        <f aca="false">AI148+AI149</f>
        <v>330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21268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n">
        <f aca="false">Q150</f>
        <v>35519.004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n">
        <f aca="false">Z150</f>
        <v>16234.5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n">
        <f aca="false">AI150</f>
        <v>16234.5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21268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n">
        <f aca="false">J185-J188-K188</f>
        <v>36519.004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n">
        <f aca="false">S185-S188-T188</f>
        <v>17234.5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n">
        <f aca="false">AB185-AB188-AC188</f>
        <v>17234.5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3434.77151512419</v>
      </c>
      <c r="B191" s="102" t="str">
        <f aca="false">B123</f>
        <v>199.99</v>
      </c>
      <c r="C191" s="102"/>
      <c r="D191" s="22"/>
      <c r="E191" s="102" t="n">
        <f aca="false">E188+A191+(B191*1.2)+A194</f>
        <v>24952.7595151242</v>
      </c>
      <c r="F191" s="22"/>
      <c r="G191" s="22"/>
      <c r="H191" s="104"/>
      <c r="J191" s="110" t="n">
        <f aca="false">(J176*K68)+N194-N188-J194</f>
        <v>12208.2150424278</v>
      </c>
      <c r="K191" s="37" t="n">
        <f aca="false">K123</f>
        <v>239.99</v>
      </c>
      <c r="L191" s="37"/>
      <c r="M191" s="22"/>
      <c r="N191" s="37" t="n">
        <f aca="false">N188+J191+K191+J194</f>
        <v>48987.2090424278</v>
      </c>
      <c r="O191" s="22"/>
      <c r="P191" s="22"/>
      <c r="Q191" s="104"/>
      <c r="S191" s="110" t="n">
        <f aca="false">(S176*T68)+W194-W188-S194</f>
        <v>3083.09176151916</v>
      </c>
      <c r="T191" s="37" t="n">
        <f aca="false">T123</f>
        <v>199.99</v>
      </c>
      <c r="U191" s="37"/>
      <c r="V191" s="22"/>
      <c r="W191" s="37" t="n">
        <f aca="false">W188+S191+T191+S194</f>
        <v>20527.5817615192</v>
      </c>
      <c r="X191" s="22"/>
      <c r="Y191" s="22"/>
      <c r="Z191" s="104"/>
      <c r="AB191" s="110" t="n">
        <f aca="false">(AB176*AC68)+AF194-AF188-AB194</f>
        <v>3083.09176151916</v>
      </c>
      <c r="AC191" s="37" t="n">
        <f aca="false">AC123</f>
        <v>239.99</v>
      </c>
      <c r="AD191" s="37"/>
      <c r="AE191" s="22"/>
      <c r="AF191" s="37" t="n">
        <f aca="false">AF188+AB191+AC191+AB194</f>
        <v>20567.5817615192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A188+B191*1.2</f>
        <v>239.988</v>
      </c>
      <c r="C194" s="102"/>
      <c r="D194" s="22"/>
      <c r="E194" s="102" t="n">
        <f aca="false">IF( E179=0 , A194+E176, E179+A194)</f>
        <v>7210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</f>
        <v>4.1856</v>
      </c>
      <c r="B197" s="102" t="n">
        <f aca="false">(G167*B76)/1.2</f>
        <v>166.15625</v>
      </c>
      <c r="C197" s="92"/>
      <c r="D197" s="92"/>
      <c r="E197" s="102" t="n">
        <f aca="false">IF(E114="YES",(K55*A117*0.1),0)</f>
        <v>0</v>
      </c>
      <c r="F197" s="22"/>
      <c r="G197" s="22"/>
      <c r="H197" s="32"/>
      <c r="J197" s="110" t="n">
        <f aca="false">IF(N114="YES",H15*0.000002,0)</f>
        <v>0.042536</v>
      </c>
      <c r="K197" s="37" t="n">
        <f aca="false">(P167*K76)/1.2</f>
        <v>2187.33617708333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n">
        <f aca="false">(Y167*T76)/1.2</f>
        <v>134.64453125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n">
        <f aca="false">(AH167*AC76)/1.2</f>
        <v>134.64453125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B191-100</f>
        <v>99.99</v>
      </c>
      <c r="B200" s="102" t="n">
        <f aca="false">B197+E197+A200</f>
        <v>266.14625</v>
      </c>
      <c r="C200" s="92"/>
      <c r="D200" s="92"/>
      <c r="E200" s="102" t="n">
        <f aca="false">H157</f>
        <v>0</v>
      </c>
      <c r="F200" s="22"/>
      <c r="G200" s="22"/>
      <c r="H200" s="32"/>
      <c r="J200" s="110" t="n">
        <f aca="false">K194-100</f>
        <v>1139.99</v>
      </c>
      <c r="K200" s="37" t="n">
        <f aca="false">K197+N197+J200</f>
        <v>3327.32617708333</v>
      </c>
      <c r="L200" s="31"/>
      <c r="M200" s="31"/>
      <c r="N200" s="37" t="n">
        <f aca="false">Q157</f>
        <v>14251.004</v>
      </c>
      <c r="O200" s="22"/>
      <c r="P200" s="22"/>
      <c r="Q200" s="32"/>
      <c r="S200" s="110" t="n">
        <f aca="false">T194-100</f>
        <v>1099.99</v>
      </c>
      <c r="T200" s="37" t="n">
        <f aca="false">T197+W197+S200</f>
        <v>1234.63453125</v>
      </c>
      <c r="U200" s="31"/>
      <c r="V200" s="31"/>
      <c r="W200" s="37" t="n">
        <f aca="false">Z157</f>
        <v>-5033.5</v>
      </c>
      <c r="X200" s="31"/>
      <c r="Y200" s="31"/>
      <c r="Z200" s="32"/>
      <c r="AB200" s="110" t="n">
        <f aca="false">AC194-100</f>
        <v>1139.99</v>
      </c>
      <c r="AC200" s="37" t="n">
        <f aca="false">AC197+AF197+AB200</f>
        <v>1274.63453125</v>
      </c>
      <c r="AD200" s="31"/>
      <c r="AE200" s="31"/>
      <c r="AF200" s="37" t="n">
        <f aca="false">AI157</f>
        <v>-5033.5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33</v>
      </c>
      <c r="B206" s="73" t="n">
        <f aca="false">B105</f>
        <v>546.961609847631</v>
      </c>
      <c r="C206" s="73"/>
      <c r="D206" s="73"/>
      <c r="E206" s="22"/>
      <c r="F206" s="22"/>
      <c r="G206" s="22"/>
      <c r="H206" s="32"/>
      <c r="J206" s="72" t="str">
        <f aca="false">K29</f>
        <v>33</v>
      </c>
      <c r="K206" s="73" t="n">
        <f aca="false">K105</f>
        <v>1522.35059507587</v>
      </c>
      <c r="L206" s="73"/>
      <c r="M206" s="73"/>
      <c r="N206" s="22"/>
      <c r="O206" s="22"/>
      <c r="P206" s="22"/>
      <c r="Q206" s="32"/>
      <c r="S206" s="72" t="str">
        <f aca="false">K29</f>
        <v>33</v>
      </c>
      <c r="T206" s="73" t="n">
        <f aca="false">T105</f>
        <v>634.549742547474</v>
      </c>
      <c r="U206" s="73"/>
      <c r="V206" s="73"/>
      <c r="W206" s="22"/>
      <c r="X206" s="22"/>
      <c r="Y206" s="22"/>
      <c r="Z206" s="32"/>
      <c r="AB206" s="72" t="str">
        <f aca="false">K29</f>
        <v>33</v>
      </c>
      <c r="AC206" s="73" t="n">
        <f aca="false">AC105</f>
        <v>634.549742547474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1484.32</v>
      </c>
      <c r="B210" s="185" t="n">
        <f aca="false">ROUND((E188+A210+(B191*1.2)+A194),2)</f>
        <v>23002.31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33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546.961609847631</v>
      </c>
      <c r="B221" s="176" t="n">
        <f aca="false">B176</f>
        <v>0</v>
      </c>
      <c r="C221" s="173"/>
      <c r="D221" s="173"/>
      <c r="E221" s="176" t="n">
        <f aca="false">E176</f>
        <v>546.961609847631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17440</v>
      </c>
      <c r="B224" s="102" t="n">
        <f aca="false">B182</f>
        <v>3488</v>
      </c>
      <c r="C224" s="185"/>
      <c r="D224" s="112"/>
      <c r="E224" s="181" t="n">
        <f aca="false">E182</f>
        <v>340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21268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21268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3434.77151512419</v>
      </c>
      <c r="B233" s="102" t="str">
        <f aca="false">B191</f>
        <v>199.99</v>
      </c>
      <c r="C233" s="102"/>
      <c r="D233" s="112"/>
      <c r="E233" s="102" t="n">
        <f aca="false">E191</f>
        <v>24952.7595151242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239.988</v>
      </c>
      <c r="C236" s="102"/>
      <c r="D236" s="112"/>
      <c r="E236" s="102" t="n">
        <f aca="false">B68</f>
        <v>32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546.961609847631</v>
      </c>
      <c r="B239" s="102" t="n">
        <f aca="false">B176</f>
        <v>0</v>
      </c>
      <c r="C239" s="185"/>
      <c r="D239" s="185"/>
      <c r="E239" s="102" t="n">
        <f aca="false">E176</f>
        <v>546.961609847631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7200</v>
      </c>
      <c r="B242" s="102" t="n">
        <f aca="false">E194</f>
        <v>7210</v>
      </c>
      <c r="C242" s="92"/>
      <c r="D242" s="92"/>
      <c r="E242" s="102" t="n">
        <f aca="false">J18*0.000006*100</f>
        <v>12.5568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4.1856</v>
      </c>
      <c r="B245" s="102" t="n">
        <f aca="false">E242+A245</f>
        <v>16.7424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0</v>
      </c>
      <c r="B249" s="102" t="n">
        <f aca="false">B197</f>
        <v>166.15625</v>
      </c>
      <c r="C249" s="92"/>
      <c r="D249" s="92"/>
      <c r="E249" s="102" t="n">
        <f aca="false">E197</f>
        <v>0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</v>
      </c>
      <c r="B252" s="102" t="n">
        <f aca="false">B249+E249+A252+A249</f>
        <v>266.14625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0.115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9" t="n">
        <f aca="false">(E191-B191)-(B210-B191-A194)</f>
        <v>1960.44951512419</v>
      </c>
      <c r="C263" s="196"/>
      <c r="D263" s="197" t="s">
        <v>217</v>
      </c>
      <c r="E263" s="197"/>
      <c r="F263" s="199" t="n">
        <f aca="false">F270+F276+F278+B279+B280</f>
        <v>199.3875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99.99</v>
      </c>
      <c r="C264" s="196"/>
      <c r="D264" s="197" t="s">
        <v>219</v>
      </c>
      <c r="E264" s="197"/>
      <c r="F264" s="199" t="n">
        <f aca="false">(B263-F263)+B264</f>
        <v>1861.05201512419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0.115</v>
      </c>
      <c r="C269" s="42"/>
      <c r="D269" s="165" t="s">
        <v>216</v>
      </c>
      <c r="E269" s="165"/>
      <c r="F269" s="145" t="n">
        <f aca="false">B263</f>
        <v>1960.44951512419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0.009375</v>
      </c>
      <c r="C270" s="31"/>
      <c r="D270" s="165" t="s">
        <v>222</v>
      </c>
      <c r="E270" s="165"/>
      <c r="F270" s="150" t="n">
        <f aca="false">B77</f>
        <v>199.3875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0.2</v>
      </c>
      <c r="C271" s="31"/>
      <c r="D271" s="165" t="s">
        <v>223</v>
      </c>
      <c r="E271" s="165"/>
      <c r="F271" s="145" t="n">
        <f aca="false">E249*10</f>
        <v>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</v>
      </c>
      <c r="C272" s="31"/>
      <c r="D272" s="38" t="s">
        <v>219</v>
      </c>
      <c r="E272" s="38"/>
      <c r="F272" s="145" t="n">
        <f aca="false">(B263-F263)+B264</f>
        <v>1861.05201512419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84" colorId="64" zoomScale="85" zoomScaleNormal="85" zoomScalePageLayoutView="100" workbookViewId="0">
      <selection pane="topLeft" activeCell="A191" activeCellId="0" sqref="A191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16745</v>
      </c>
      <c r="C3" s="437"/>
      <c r="D3" s="437" t="n">
        <v>0</v>
      </c>
      <c r="E3" s="437"/>
      <c r="F3" s="437" t="n">
        <v>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489" t="n">
        <v>0</v>
      </c>
      <c r="C4" s="489"/>
      <c r="D4" s="490" t="n">
        <v>0</v>
      </c>
      <c r="E4" s="490"/>
      <c r="F4" s="490" t="n">
        <v>0</v>
      </c>
      <c r="G4" s="490"/>
      <c r="H4" s="128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</v>
      </c>
      <c r="C5" s="437"/>
      <c r="D5" s="437" t="n">
        <v>0</v>
      </c>
      <c r="E5" s="437"/>
      <c r="F5" s="437" t="n">
        <v>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/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16745</v>
      </c>
      <c r="C7" s="154"/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31"/>
      <c r="C8" s="31"/>
      <c r="D8" s="31"/>
      <c r="E8" s="31"/>
      <c r="F8" s="31"/>
      <c r="G8" s="31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162</v>
      </c>
      <c r="B9" s="151" t="n">
        <v>23125</v>
      </c>
      <c r="C9" s="151"/>
      <c r="D9" s="151"/>
      <c r="E9" s="151"/>
      <c r="F9" s="151"/>
      <c r="G9" s="138"/>
      <c r="H9" s="439" t="n">
        <f aca="false">B7+D7+F7+H3</f>
        <v>16745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/>
      <c r="F10" s="153"/>
      <c r="G10" s="155"/>
      <c r="H10" s="438" t="n">
        <v>695</v>
      </c>
      <c r="I10" s="2"/>
      <c r="J10" s="2"/>
      <c r="L10" s="15" t="s">
        <v>1</v>
      </c>
      <c r="M10" s="9" t="n">
        <f aca="false">H15-H11-M8</f>
        <v>17440</v>
      </c>
    </row>
    <row r="11" customFormat="false" ht="18.75" hidden="false" customHeight="false" outlineLevel="0" collapsed="false">
      <c r="A11" s="153" t="s">
        <v>164</v>
      </c>
      <c r="B11" s="153" t="n">
        <v>0</v>
      </c>
      <c r="C11" s="153"/>
      <c r="D11" s="153"/>
      <c r="E11" s="153"/>
      <c r="F11" s="153"/>
      <c r="G11" s="155"/>
      <c r="H11" s="32" t="n">
        <f aca="false">(H9+H10)*20%</f>
        <v>3488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5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 t="n">
        <v>0</v>
      </c>
      <c r="C13" s="153"/>
      <c r="D13" s="153"/>
      <c r="E13" s="153"/>
      <c r="F13" s="153"/>
      <c r="G13" s="155"/>
      <c r="H13" s="438" t="n">
        <v>275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/>
      <c r="F14" s="153"/>
      <c r="G14" s="155"/>
      <c r="H14" s="438" t="n">
        <v>65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5"/>
      <c r="H15" s="440" t="n">
        <f aca="false">(H9+H10+H13+H14+H11)-H12</f>
        <v>21268</v>
      </c>
      <c r="I15" s="2"/>
      <c r="J15" s="16" t="n">
        <f aca="false">H15</f>
        <v>21268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/>
      <c r="F16" s="153"/>
      <c r="G16" s="155"/>
      <c r="H16" s="438" t="n">
        <v>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37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38"/>
      <c r="H18" s="441" t="n">
        <v>0</v>
      </c>
      <c r="I18" s="2"/>
      <c r="J18" s="16" t="n">
        <f aca="false">(B3+D3+F3+H3+H10)*1.2</f>
        <v>20928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38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38"/>
      <c r="H20" s="441" t="n">
        <v>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21268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33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str">
        <f aca="false">A46</f>
        <v>50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</row>
    <row r="34" customFormat="false" ht="19.5" hidden="false" customHeight="false" outlineLevel="0" collapsed="false">
      <c r="A34" s="39" t="s">
        <v>248</v>
      </c>
      <c r="B34" s="31"/>
      <c r="C34" s="40" t="s">
        <v>43</v>
      </c>
      <c r="D34" s="40"/>
      <c r="E34" s="31"/>
      <c r="F34" s="40" t="n">
        <f aca="false">(A34/12)*C34</f>
        <v>13750</v>
      </c>
      <c r="G34" s="40"/>
      <c r="H34" s="46"/>
      <c r="I34" s="2"/>
      <c r="J34" s="2"/>
      <c r="K34" s="2"/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492" t="n">
        <v>0.065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32</v>
      </c>
    </row>
    <row r="37" customFormat="false" ht="19.5" hidden="false" customHeight="false" outlineLevel="0" collapsed="false">
      <c r="A37" s="35" t="n">
        <f aca="false">H15</f>
        <v>21268</v>
      </c>
      <c r="B37" s="31"/>
      <c r="C37" s="40" t="s">
        <v>45</v>
      </c>
      <c r="D37" s="40"/>
      <c r="E37" s="31"/>
      <c r="F37" s="42" t="n">
        <f aca="false">A37-C37</f>
        <v>20268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42</v>
      </c>
      <c r="B40" s="31"/>
      <c r="C40" s="53" t="n">
        <f aca="false">A34-1</f>
        <v>32</v>
      </c>
      <c r="D40" s="53"/>
      <c r="E40" s="31"/>
      <c r="F40" s="40" t="s">
        <v>57</v>
      </c>
      <c r="G40" s="40"/>
      <c r="H40" s="46"/>
      <c r="J40" s="2" t="s">
        <v>58</v>
      </c>
      <c r="K40" s="2" t="n">
        <f aca="false">H11</f>
        <v>3488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str">
        <f aca="false">IF(F43="Yes",A46,0)</f>
        <v>50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</v>
      </c>
      <c r="B43" s="31"/>
      <c r="C43" s="40" t="n">
        <v>20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33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75.3939393939394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474.606060606061</v>
      </c>
      <c r="L45" s="2"/>
    </row>
    <row r="46" customFormat="false" ht="19.5" hidden="false" customHeight="false" outlineLevel="0" collapsed="false">
      <c r="A46" s="39" t="s">
        <v>70</v>
      </c>
      <c r="B46" s="31"/>
      <c r="C46" s="40" t="n">
        <v>1</v>
      </c>
      <c r="D46" s="40"/>
      <c r="E46" s="31"/>
      <c r="F46" s="40" t="n">
        <v>0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0.363636363636364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0.606060606060606</v>
      </c>
      <c r="L48" s="2"/>
    </row>
    <row r="49" customFormat="false" ht="18.75" hidden="false" customHeight="false" outlineLevel="0" collapsed="false">
      <c r="A49" s="35" t="n">
        <f aca="false">C46+F46</f>
        <v>1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475.575757575758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425.575757575758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382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1650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33</v>
      </c>
      <c r="B60" s="73" t="n">
        <f aca="false">K49</f>
        <v>475.575757575758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/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/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/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/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32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32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32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32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20928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20928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20928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20928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17490.7715151242</v>
      </c>
      <c r="C74" s="31"/>
      <c r="D74" s="31"/>
      <c r="E74" s="22"/>
      <c r="F74" s="22"/>
      <c r="G74" s="22"/>
      <c r="H74" s="32"/>
      <c r="J74" s="55" t="s">
        <v>91</v>
      </c>
      <c r="K74" s="64" t="n">
        <f aca="false">(K98*K68)-(K47*K29)</f>
        <v>48703.2190424278</v>
      </c>
      <c r="L74" s="31"/>
      <c r="M74" s="31"/>
      <c r="N74" s="22"/>
      <c r="O74" s="22"/>
      <c r="P74" s="22"/>
      <c r="Q74" s="32"/>
      <c r="S74" s="55" t="s">
        <v>91</v>
      </c>
      <c r="T74" s="64" t="n">
        <f aca="false">(T98*T68)-(K47*K29)</f>
        <v>20293.5917615192</v>
      </c>
      <c r="U74" s="31"/>
      <c r="V74" s="31"/>
      <c r="W74" s="22"/>
      <c r="X74" s="22"/>
      <c r="Y74" s="22"/>
      <c r="Z74" s="32"/>
      <c r="AB74" s="55" t="s">
        <v>91</v>
      </c>
      <c r="AC74" s="64" t="n">
        <f aca="false">(AC98*AC68)-(K47*K29)</f>
        <v>20293.5917615192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0.009375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0.071875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0.009375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0.009375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199.3875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1504.2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196.2</v>
      </c>
      <c r="U77" s="31"/>
      <c r="V77" s="31"/>
      <c r="W77" s="22"/>
      <c r="X77" s="22"/>
      <c r="Y77" s="22"/>
      <c r="Z77" s="32"/>
      <c r="AB77" s="55" t="s">
        <v>94</v>
      </c>
      <c r="AC77" s="64" t="n">
        <f aca="false">AH167*AC76</f>
        <v>161.5734375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475.575757575758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0.363636363636364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475.575757575758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475.575757575758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20268</v>
      </c>
      <c r="C90" s="31"/>
      <c r="D90" s="31"/>
      <c r="E90" s="22"/>
      <c r="F90" s="24" t="s">
        <v>106</v>
      </c>
      <c r="G90" s="26" t="n">
        <f aca="false">F37</f>
        <v>20268</v>
      </c>
      <c r="H90" s="32"/>
      <c r="J90" s="24" t="s">
        <v>106</v>
      </c>
      <c r="K90" s="26" t="n">
        <f aca="false">P167</f>
        <v>36519.004</v>
      </c>
      <c r="L90" s="31"/>
      <c r="M90" s="31"/>
      <c r="N90" s="22"/>
      <c r="O90" s="22"/>
      <c r="P90" s="22"/>
      <c r="Q90" s="32"/>
      <c r="S90" s="24" t="s">
        <v>106</v>
      </c>
      <c r="T90" s="26" t="n">
        <f aca="false">Y167</f>
        <v>17234.5</v>
      </c>
      <c r="U90" s="31"/>
      <c r="V90" s="31"/>
      <c r="W90" s="22"/>
      <c r="X90" s="22"/>
      <c r="Y90" s="22"/>
      <c r="Z90" s="32"/>
      <c r="AB90" s="24" t="s">
        <v>106</v>
      </c>
      <c r="AC90" s="26" t="n">
        <f aca="false">AH167</f>
        <v>17234.5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IF(A111="YES",A43,0)*1.2</f>
        <v>7200</v>
      </c>
      <c r="C91" s="31"/>
      <c r="D91" s="31"/>
      <c r="E91" s="22"/>
      <c r="F91" s="30" t="s">
        <v>107</v>
      </c>
      <c r="G91" s="32" t="n">
        <f aca="false">IF(A111="YES",A43,0)*1.2</f>
        <v>7200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0.115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0.00958333333333333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32</v>
      </c>
      <c r="C94" s="31"/>
      <c r="D94" s="31"/>
      <c r="E94" s="22"/>
      <c r="F94" s="30" t="s">
        <v>110</v>
      </c>
      <c r="G94" s="32" t="n">
        <f aca="false">IF(G91=0,(B68+B67),(B68))</f>
        <v>32</v>
      </c>
      <c r="H94" s="32"/>
      <c r="J94" s="30" t="s">
        <v>110</v>
      </c>
      <c r="K94" s="32" t="n">
        <f aca="false">IF(K91=0,(K68+K67),(K68))</f>
        <v>33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32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32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5255.82391109543</v>
      </c>
      <c r="C95" s="31"/>
      <c r="D95" s="31"/>
      <c r="E95" s="22"/>
      <c r="F95" s="30" t="s">
        <v>111</v>
      </c>
      <c r="G95" s="32" t="n">
        <f aca="false">(G91/((1+G93)^(G94+1)))</f>
        <v>6024.37295128565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8.55929138316766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8.55929138316766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27.4464895133802</v>
      </c>
      <c r="C96" s="31"/>
      <c r="D96" s="31"/>
      <c r="E96" s="22"/>
      <c r="F96" s="30" t="s">
        <v>112</v>
      </c>
      <c r="G96" s="32" t="n">
        <f aca="false">((1-(1/((1+G93)^G94)))/G93)</f>
        <v>29.3075648349115</v>
      </c>
      <c r="H96" s="32"/>
      <c r="J96" s="30" t="s">
        <v>112</v>
      </c>
      <c r="K96" s="32" t="n">
        <f aca="false">((1-(1/((1+K93)^K94)))/K93)</f>
        <v>23.9885635530494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27.1467145183312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27.1467145183312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15012.1760889046</v>
      </c>
      <c r="C97" s="31"/>
      <c r="D97" s="31"/>
      <c r="E97" s="22"/>
      <c r="F97" s="30" t="s">
        <v>113</v>
      </c>
      <c r="G97" s="32" t="n">
        <f aca="false">G90-G95</f>
        <v>14243.6270487143</v>
      </c>
      <c r="H97" s="32"/>
      <c r="J97" s="30" t="s">
        <v>113</v>
      </c>
      <c r="K97" s="32" t="n">
        <f aca="false">K90-K95</f>
        <v>36519.004</v>
      </c>
      <c r="L97" s="31"/>
      <c r="M97" s="31"/>
      <c r="N97" s="22"/>
      <c r="O97" s="22"/>
      <c r="P97" s="22"/>
      <c r="Q97" s="32"/>
      <c r="S97" s="30" t="s">
        <v>113</v>
      </c>
      <c r="T97" s="32" t="n">
        <f aca="false">T90-T95</f>
        <v>17225.9407086168</v>
      </c>
      <c r="U97" s="31"/>
      <c r="V97" s="31"/>
      <c r="W97" s="22"/>
      <c r="X97" s="22"/>
      <c r="Y97" s="22"/>
      <c r="Z97" s="32"/>
      <c r="AB97" s="30" t="s">
        <v>113</v>
      </c>
      <c r="AC97" s="32" t="n">
        <f aca="false">AC90-AC95</f>
        <v>17225.9407086168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546.961609847631</v>
      </c>
      <c r="C98" s="31"/>
      <c r="D98" s="31"/>
      <c r="E98" s="22"/>
      <c r="F98" s="30" t="s">
        <v>114</v>
      </c>
      <c r="G98" s="32" t="n">
        <f aca="false">(G97/G96)</f>
        <v>486.005136521857</v>
      </c>
      <c r="H98" s="32"/>
      <c r="J98" s="30" t="s">
        <v>114</v>
      </c>
      <c r="K98" s="32" t="n">
        <f aca="false">(K97/K96)</f>
        <v>1522.35059507587</v>
      </c>
      <c r="L98" s="31"/>
      <c r="M98" s="31"/>
      <c r="N98" s="22"/>
      <c r="O98" s="22"/>
      <c r="P98" s="22"/>
      <c r="Q98" s="32"/>
      <c r="S98" s="30" t="s">
        <v>114</v>
      </c>
      <c r="T98" s="32" t="n">
        <f aca="false">(T97/T96)</f>
        <v>634.549742547474</v>
      </c>
      <c r="U98" s="31"/>
      <c r="V98" s="31"/>
      <c r="W98" s="22"/>
      <c r="X98" s="22"/>
      <c r="Y98" s="22"/>
      <c r="Z98" s="32"/>
      <c r="AB98" s="30" t="s">
        <v>114</v>
      </c>
      <c r="AC98" s="32" t="n">
        <f aca="false">(AC97/AC96)</f>
        <v>634.549742547474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17502.7715151242</v>
      </c>
      <c r="C99" s="31"/>
      <c r="D99" s="31"/>
      <c r="E99" s="22"/>
      <c r="F99" s="30" t="s">
        <v>115</v>
      </c>
      <c r="G99" s="32" t="n">
        <f aca="false">((G98*(G94))+G86)</f>
        <v>15552.1643686994</v>
      </c>
      <c r="H99" s="32"/>
      <c r="J99" s="30" t="s">
        <v>115</v>
      </c>
      <c r="K99" s="32" t="n">
        <f aca="false">((K98*(K94))+K86)</f>
        <v>50237.5696375037</v>
      </c>
      <c r="L99" s="31"/>
      <c r="M99" s="31"/>
      <c r="N99" s="22"/>
      <c r="O99" s="22"/>
      <c r="P99" s="22"/>
      <c r="Q99" s="32"/>
      <c r="S99" s="30" t="s">
        <v>115</v>
      </c>
      <c r="T99" s="32" t="n">
        <f aca="false">(T98*(T94))+T86</f>
        <v>20305.5917615192</v>
      </c>
      <c r="U99" s="31"/>
      <c r="V99" s="31"/>
      <c r="W99" s="22"/>
      <c r="X99" s="22"/>
      <c r="Y99" s="22"/>
      <c r="Z99" s="32"/>
      <c r="AB99" s="30" t="s">
        <v>115</v>
      </c>
      <c r="AC99" s="32" t="n">
        <f aca="false">(AC98*(AC68))+AC86</f>
        <v>20305.5917615192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n">
        <f aca="false">(K99/(1-K80))*K80</f>
        <v>0</v>
      </c>
      <c r="L100" s="31"/>
      <c r="M100" s="31"/>
      <c r="N100" s="22"/>
      <c r="O100" s="22"/>
      <c r="P100" s="22"/>
      <c r="Q100" s="32"/>
      <c r="S100" s="30" t="s">
        <v>116</v>
      </c>
      <c r="T100" s="32" t="n">
        <f aca="false">(T99/(1-T80))*T80</f>
        <v>0</v>
      </c>
      <c r="U100" s="31"/>
      <c r="V100" s="31"/>
      <c r="W100" s="22"/>
      <c r="X100" s="22"/>
      <c r="Y100" s="22"/>
      <c r="Z100" s="32"/>
      <c r="AB100" s="30" t="s">
        <v>116</v>
      </c>
      <c r="AC100" s="32" t="n">
        <f aca="false">(AC99/(1-AC80))*AC80</f>
        <v>0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17502.7715151242</v>
      </c>
      <c r="C101" s="31"/>
      <c r="D101" s="31"/>
      <c r="E101" s="22"/>
      <c r="F101" s="55" t="s">
        <v>117</v>
      </c>
      <c r="G101" s="64" t="n">
        <f aca="false">(G99+G100)</f>
        <v>15552.1643686994</v>
      </c>
      <c r="H101" s="32"/>
      <c r="J101" s="55" t="s">
        <v>117</v>
      </c>
      <c r="K101" s="64" t="n">
        <f aca="false">(K99+K100)</f>
        <v>50237.5696375037</v>
      </c>
      <c r="L101" s="31"/>
      <c r="M101" s="31"/>
      <c r="N101" s="22"/>
      <c r="O101" s="22"/>
      <c r="P101" s="22"/>
      <c r="Q101" s="32"/>
      <c r="S101" s="55" t="s">
        <v>117</v>
      </c>
      <c r="T101" s="64" t="n">
        <f aca="false">(T99+T100)</f>
        <v>20305.5917615192</v>
      </c>
      <c r="U101" s="31"/>
      <c r="V101" s="31"/>
      <c r="W101" s="22"/>
      <c r="X101" s="22"/>
      <c r="Y101" s="22"/>
      <c r="Z101" s="32"/>
      <c r="AB101" s="55" t="s">
        <v>117</v>
      </c>
      <c r="AC101" s="64" t="n">
        <f aca="false">(AC99+AC100)</f>
        <v>20305.5917615192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((A46*A34)+((A46*A34)*A117))/(B68)*1.2</f>
        <v>80.4375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546.961609847631</v>
      </c>
      <c r="C104" s="31"/>
      <c r="D104" s="31"/>
      <c r="E104" s="22"/>
      <c r="F104" s="94" t="s">
        <v>119</v>
      </c>
      <c r="G104" s="95" t="n">
        <f aca="false">G101/(G94)</f>
        <v>486.005136521857</v>
      </c>
      <c r="H104" s="32"/>
      <c r="J104" s="94" t="s">
        <v>119</v>
      </c>
      <c r="K104" s="95" t="n">
        <f aca="false">K101/(K94)</f>
        <v>1522.35059507587</v>
      </c>
      <c r="L104" s="31"/>
      <c r="M104" s="31"/>
      <c r="N104" s="22"/>
      <c r="O104" s="22"/>
      <c r="P104" s="22"/>
      <c r="Q104" s="32"/>
      <c r="S104" s="94" t="s">
        <v>119</v>
      </c>
      <c r="T104" s="95" t="n">
        <f aca="false">T101/(T94)</f>
        <v>634.549742547474</v>
      </c>
      <c r="U104" s="31"/>
      <c r="V104" s="31"/>
      <c r="W104" s="22"/>
      <c r="X104" s="22"/>
      <c r="Y104" s="22"/>
      <c r="Z104" s="32"/>
      <c r="AB104" s="94" t="s">
        <v>119</v>
      </c>
      <c r="AC104" s="95" t="n">
        <f aca="false">AC101/(AC68)</f>
        <v>634.549742547474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627.399109847631</v>
      </c>
      <c r="C105" s="31"/>
      <c r="D105" s="31"/>
      <c r="E105" s="22" t="s">
        <v>19</v>
      </c>
      <c r="F105" s="96" t="s">
        <v>120</v>
      </c>
      <c r="G105" s="97" t="n">
        <f aca="false">G103+G104</f>
        <v>486.005136521857</v>
      </c>
      <c r="H105" s="32"/>
      <c r="J105" s="96" t="s">
        <v>120</v>
      </c>
      <c r="K105" s="97" t="n">
        <f aca="false">(K103+K104)</f>
        <v>1522.35059507587</v>
      </c>
      <c r="L105" s="31"/>
      <c r="M105" s="31"/>
      <c r="N105" s="22"/>
      <c r="O105" s="22"/>
      <c r="P105" s="22"/>
      <c r="Q105" s="32"/>
      <c r="S105" s="96" t="s">
        <v>120</v>
      </c>
      <c r="T105" s="97" t="n">
        <f aca="false">T103+T104</f>
        <v>634.549742547474</v>
      </c>
      <c r="U105" s="31"/>
      <c r="V105" s="31"/>
      <c r="W105" s="22"/>
      <c r="X105" s="22"/>
      <c r="Y105" s="22"/>
      <c r="Z105" s="32"/>
      <c r="AB105" s="96" t="s">
        <v>120</v>
      </c>
      <c r="AC105" s="97" t="n">
        <f aca="false">AC103+AC104</f>
        <v>634.549742547474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n">
        <v>0</v>
      </c>
      <c r="C108" s="22"/>
      <c r="D108" s="22" t="n">
        <v>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 t="s">
        <v>129</v>
      </c>
      <c r="C114" s="102"/>
      <c r="D114" s="102"/>
      <c r="E114" s="103" t="s">
        <v>18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0.3</v>
      </c>
      <c r="B117" s="106" t="s">
        <v>133</v>
      </c>
      <c r="C117" s="106"/>
      <c r="D117" s="106"/>
      <c r="E117" s="107" t="n">
        <f aca="false">B92</f>
        <v>0.115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/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142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22"/>
      <c r="C127" s="22"/>
      <c r="D127" s="22"/>
      <c r="E127" s="22"/>
      <c r="F127" s="22"/>
      <c r="G127" s="2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24" t="n">
        <f aca="false">B3</f>
        <v>16745</v>
      </c>
      <c r="C130" s="39" t="n">
        <f aca="false">B130</f>
        <v>16745</v>
      </c>
      <c r="D130" s="24" t="n">
        <f aca="false">D3</f>
        <v>0</v>
      </c>
      <c r="E130" s="39" t="n">
        <f aca="false">D130</f>
        <v>0</v>
      </c>
      <c r="F130" s="24" t="n">
        <f aca="false">F3</f>
        <v>0</v>
      </c>
      <c r="G130" s="39" t="n">
        <f aca="false">F130</f>
        <v>0</v>
      </c>
      <c r="H130" s="121" t="n">
        <f aca="false">H3</f>
        <v>0</v>
      </c>
      <c r="J130" s="24" t="s">
        <v>150</v>
      </c>
      <c r="K130" s="24" t="n">
        <f aca="false">B3</f>
        <v>16745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n">
        <f aca="false">F3</f>
        <v>0</v>
      </c>
      <c r="P130" s="39" t="n">
        <f aca="false">O130</f>
        <v>0</v>
      </c>
      <c r="Q130" s="121" t="n">
        <f aca="false">H3</f>
        <v>0</v>
      </c>
      <c r="S130" s="24" t="s">
        <v>150</v>
      </c>
      <c r="T130" s="24" t="n">
        <f aca="false">B3</f>
        <v>16745</v>
      </c>
      <c r="U130" s="39" t="n">
        <f aca="false">T130</f>
        <v>16745</v>
      </c>
      <c r="V130" s="24" t="n">
        <f aca="false">D3</f>
        <v>0</v>
      </c>
      <c r="W130" s="39" t="n">
        <f aca="false">V130</f>
        <v>0</v>
      </c>
      <c r="X130" s="24" t="n">
        <f aca="false">F3</f>
        <v>0</v>
      </c>
      <c r="Y130" s="39" t="n">
        <f aca="false">X130</f>
        <v>0</v>
      </c>
      <c r="Z130" s="121" t="n">
        <f aca="false">H3</f>
        <v>0</v>
      </c>
      <c r="AB130" s="24" t="s">
        <v>150</v>
      </c>
      <c r="AC130" s="24" t="n">
        <f aca="false">B3</f>
        <v>16745</v>
      </c>
      <c r="AD130" s="39" t="n">
        <f aca="false">AC130</f>
        <v>16745</v>
      </c>
      <c r="AE130" s="24" t="n">
        <f aca="false">D3</f>
        <v>0</v>
      </c>
      <c r="AF130" s="39" t="n">
        <f aca="false">AE130</f>
        <v>0</v>
      </c>
      <c r="AG130" s="24" t="n">
        <f aca="false">F3</f>
        <v>0</v>
      </c>
      <c r="AH130" s="39" t="n">
        <f aca="false">AG130</f>
        <v>0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6" t="n">
        <f aca="false">B4</f>
        <v>0</v>
      </c>
      <c r="C131" s="493" t="n">
        <f aca="false">B131</f>
        <v>0</v>
      </c>
      <c r="D131" s="126" t="n">
        <f aca="false">D4</f>
        <v>0</v>
      </c>
      <c r="E131" s="127" t="n">
        <f aca="false">D131</f>
        <v>0</v>
      </c>
      <c r="F131" s="126" t="n">
        <f aca="false">F4</f>
        <v>0</v>
      </c>
      <c r="G131" s="127" t="n">
        <f aca="false">F131</f>
        <v>0</v>
      </c>
      <c r="H131" s="128"/>
      <c r="J131" s="30" t="s">
        <v>151</v>
      </c>
      <c r="K131" s="126" t="n">
        <f aca="false">B4</f>
        <v>0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n">
        <f aca="false">F4</f>
        <v>0</v>
      </c>
      <c r="P131" s="127" t="n">
        <f aca="false">O131</f>
        <v>0</v>
      </c>
      <c r="Q131" s="128"/>
      <c r="S131" s="30" t="s">
        <v>151</v>
      </c>
      <c r="T131" s="126" t="n">
        <f aca="false">B4</f>
        <v>0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n">
        <f aca="false">F4</f>
        <v>0</v>
      </c>
      <c r="Y131" s="127" t="n">
        <f aca="false">X131</f>
        <v>0</v>
      </c>
      <c r="Z131" s="128"/>
      <c r="AB131" s="30" t="s">
        <v>151</v>
      </c>
      <c r="AC131" s="126" t="n">
        <f aca="false">B4</f>
        <v>0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n">
        <f aca="false">F4</f>
        <v>0</v>
      </c>
      <c r="AH131" s="127" t="n">
        <f aca="false">AG131</f>
        <v>0</v>
      </c>
      <c r="AI131" s="128"/>
    </row>
    <row r="132" customFormat="false" ht="19.5" hidden="false" customHeight="false" outlineLevel="0" collapsed="false">
      <c r="A132" s="30" t="s">
        <v>152</v>
      </c>
      <c r="B132" s="30" t="n">
        <f aca="false">B5</f>
        <v>0</v>
      </c>
      <c r="C132" s="39" t="n">
        <f aca="false">B132</f>
        <v>0</v>
      </c>
      <c r="D132" s="30" t="n">
        <f aca="false">D5</f>
        <v>0</v>
      </c>
      <c r="E132" s="39" t="n">
        <f aca="false">D132</f>
        <v>0</v>
      </c>
      <c r="F132" s="30" t="n">
        <f aca="false">F5</f>
        <v>0</v>
      </c>
      <c r="G132" s="39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n">
        <f aca="false">F5</f>
        <v>0</v>
      </c>
      <c r="P132" s="39" t="n">
        <f aca="false">O132</f>
        <v>0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n">
        <f aca="false">F5</f>
        <v>0</v>
      </c>
      <c r="Y132" s="39" t="n">
        <f aca="false">X132</f>
        <v>0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n">
        <f aca="false">F5</f>
        <v>0</v>
      </c>
      <c r="AH132" s="39" t="n">
        <f aca="false">AG132</f>
        <v>0</v>
      </c>
      <c r="AI132" s="32"/>
    </row>
    <row r="133" customFormat="false" ht="18.75" hidden="false" customHeight="false" outlineLevel="0" collapsed="false">
      <c r="A133" s="30" t="s">
        <v>153</v>
      </c>
      <c r="B133" s="30" t="n">
        <f aca="false">(B130*B131)+B132</f>
        <v>0</v>
      </c>
      <c r="C133" s="26" t="n">
        <f aca="false">(C130*C131/100)+C132</f>
        <v>0</v>
      </c>
      <c r="D133" s="30" t="n">
        <f aca="false">(D130*D131)+D132</f>
        <v>0</v>
      </c>
      <c r="E133" s="26" t="n">
        <f aca="false">(E130*E131/100)+E132</f>
        <v>0</v>
      </c>
      <c r="F133" s="30" t="n">
        <f aca="false">(F130*F131)+F132</f>
        <v>0</v>
      </c>
      <c r="G133" s="26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n">
        <f aca="false">(O130*O131)+O132</f>
        <v>0</v>
      </c>
      <c r="P133" s="26" t="n">
        <f aca="false">(P130*P131)+P132</f>
        <v>0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4186.25</v>
      </c>
      <c r="V133" s="30" t="n">
        <f aca="false">(V130*V131)+V132</f>
        <v>0</v>
      </c>
      <c r="W133" s="26" t="n">
        <f aca="false">(W130*W131)+W132</f>
        <v>0</v>
      </c>
      <c r="X133" s="30" t="n">
        <f aca="false">(X130*X131)+X132</f>
        <v>0</v>
      </c>
      <c r="Y133" s="26" t="n">
        <f aca="false">(Y130*Y131)+Y132</f>
        <v>0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4186.25</v>
      </c>
      <c r="AE133" s="30" t="n">
        <f aca="false">(AE130*AE131)+AE132</f>
        <v>0</v>
      </c>
      <c r="AF133" s="26" t="n">
        <f aca="false">(AF130*AF131)+AF132</f>
        <v>0</v>
      </c>
      <c r="AG133" s="30" t="n">
        <f aca="false">(AG130*AG131)+AG132</f>
        <v>0</v>
      </c>
      <c r="AH133" s="26" t="n">
        <f aca="false">(AH130*AH131)+AH132</f>
        <v>0</v>
      </c>
      <c r="AI133" s="32"/>
    </row>
    <row r="134" customFormat="false" ht="19.5" hidden="false" customHeight="false" outlineLevel="0" collapsed="false">
      <c r="A134" s="55" t="s">
        <v>154</v>
      </c>
      <c r="B134" s="55" t="n">
        <f aca="false">B130-B133</f>
        <v>16745</v>
      </c>
      <c r="C134" s="64" t="n">
        <f aca="false">C130-C133</f>
        <v>16745</v>
      </c>
      <c r="D134" s="55" t="n">
        <f aca="false">D130-D133</f>
        <v>0</v>
      </c>
      <c r="E134" s="64" t="n">
        <f aca="false">E130-E133</f>
        <v>0</v>
      </c>
      <c r="F134" s="55" t="n">
        <f aca="false">F130-F133</f>
        <v>0</v>
      </c>
      <c r="G134" s="64" t="n">
        <f aca="false">G130-G133</f>
        <v>0</v>
      </c>
      <c r="H134" s="64"/>
      <c r="J134" s="55" t="s">
        <v>154</v>
      </c>
      <c r="K134" s="55" t="n">
        <f aca="false">K130-K133</f>
        <v>16745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n">
        <f aca="false">O130-O133</f>
        <v>0</v>
      </c>
      <c r="P134" s="64" t="n">
        <f aca="false">P130-P133</f>
        <v>0</v>
      </c>
      <c r="Q134" s="64"/>
      <c r="S134" s="55" t="s">
        <v>154</v>
      </c>
      <c r="T134" s="55" t="n">
        <f aca="false">T130-T133</f>
        <v>16745</v>
      </c>
      <c r="U134" s="64" t="n">
        <f aca="false">U130-U133</f>
        <v>12558.75</v>
      </c>
      <c r="V134" s="55" t="n">
        <f aca="false">V130-V133</f>
        <v>0</v>
      </c>
      <c r="W134" s="64" t="n">
        <f aca="false">W130-W133</f>
        <v>0</v>
      </c>
      <c r="X134" s="55" t="n">
        <f aca="false">X130-X133</f>
        <v>0</v>
      </c>
      <c r="Y134" s="64" t="n">
        <f aca="false">Y130-Y133</f>
        <v>0</v>
      </c>
      <c r="Z134" s="64"/>
      <c r="AB134" s="55" t="s">
        <v>154</v>
      </c>
      <c r="AC134" s="55" t="n">
        <f aca="false">AC130-AC133</f>
        <v>16745</v>
      </c>
      <c r="AD134" s="64" t="n">
        <f aca="false">AD130-AD133</f>
        <v>12558.75</v>
      </c>
      <c r="AE134" s="55" t="n">
        <f aca="false">AE130-AE133</f>
        <v>0</v>
      </c>
      <c r="AF134" s="64" t="n">
        <f aca="false">AF130-AF133</f>
        <v>0</v>
      </c>
      <c r="AG134" s="55" t="n">
        <f aca="false">AG130-AG133</f>
        <v>0</v>
      </c>
      <c r="AH134" s="64" t="n">
        <f aca="false">AH130-AH133</f>
        <v>0</v>
      </c>
      <c r="AI134" s="64"/>
    </row>
    <row r="135" customFormat="false" ht="18.75" hidden="false" customHeight="false" outlineLevel="0" collapsed="false">
      <c r="A135" s="30"/>
      <c r="B135" s="31"/>
      <c r="C135" s="31"/>
      <c r="D135" s="31"/>
      <c r="E135" s="31"/>
      <c r="F135" s="31"/>
      <c r="G135" s="31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7"/>
      <c r="C136" s="137"/>
      <c r="D136" s="137"/>
      <c r="E136" s="137"/>
      <c r="F136" s="137"/>
      <c r="G136" s="138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31"/>
      <c r="C138" s="31"/>
      <c r="D138" s="31"/>
      <c r="E138" s="31"/>
      <c r="F138" s="31"/>
      <c r="G138" s="145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31"/>
      <c r="C143" s="31"/>
      <c r="D143" s="31"/>
      <c r="E143" s="31"/>
      <c r="F143" s="31"/>
      <c r="G143" s="145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8" t="n">
        <f aca="false">H9</f>
        <v>16745</v>
      </c>
      <c r="H144" s="152" t="n">
        <f aca="false">C134+E134+G134+H137</f>
        <v>16745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16745</v>
      </c>
      <c r="Q144" s="152" t="n">
        <f aca="false">L134+N134+P134+Q137</f>
        <v>28629.17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16745</v>
      </c>
      <c r="Z144" s="152" t="n">
        <f aca="false">U134+W134+Y134+Z137</f>
        <v>12558.75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16745</v>
      </c>
      <c r="AI144" s="152" t="n">
        <f aca="false">AD134+AF134+AH134+AI137</f>
        <v>12558.75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5" t="n">
        <f aca="false">H10</f>
        <v>695</v>
      </c>
      <c r="H145" s="32" t="n">
        <f aca="false">G145</f>
        <v>695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695</v>
      </c>
      <c r="Q145" s="32" t="n">
        <f aca="false">P145</f>
        <v>695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695</v>
      </c>
      <c r="Z145" s="32" t="n">
        <f aca="false">Y145</f>
        <v>695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695</v>
      </c>
      <c r="AI145" s="32" t="n">
        <f aca="false">AH145</f>
        <v>695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155" t="n">
        <f aca="false">H11</f>
        <v>3488</v>
      </c>
      <c r="H146" s="32" t="n">
        <f aca="false">(H144+H145)*20%</f>
        <v>3488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3488</v>
      </c>
      <c r="Q146" s="32" t="n">
        <f aca="false">(Q144+Q145)*20%</f>
        <v>5864.834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3488</v>
      </c>
      <c r="Z146" s="32" t="n">
        <f aca="false">(Z144+Z145)*20%</f>
        <v>2650.75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3488</v>
      </c>
      <c r="AI146" s="32" t="n">
        <f aca="false">(AI144+AI145)*20%</f>
        <v>2650.75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5" t="n">
        <f aca="false">H12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5" t="n">
        <f aca="false">H13</f>
        <v>275</v>
      </c>
      <c r="H148" s="32" t="n">
        <f aca="false">G148</f>
        <v>275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275</v>
      </c>
      <c r="Q148" s="32" t="n">
        <f aca="false">P148</f>
        <v>275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275</v>
      </c>
      <c r="Z148" s="32" t="n">
        <f aca="false">Y148</f>
        <v>275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275</v>
      </c>
      <c r="AI148" s="32" t="n">
        <f aca="false">AH148</f>
        <v>275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5" t="n">
        <f aca="false">H14</f>
        <v>65</v>
      </c>
      <c r="H149" s="32" t="n">
        <f aca="false">G149</f>
        <v>65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65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65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65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7" t="n">
        <f aca="false">H15</f>
        <v>21268</v>
      </c>
      <c r="H150" s="156" t="n">
        <f aca="false">(H144+H145+H148+H149+H146)-H147</f>
        <v>21268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21268</v>
      </c>
      <c r="Q150" s="156" t="n">
        <f aca="false">(Q144+Q145+Q148+Q149+Q146)-Q147</f>
        <v>35519.004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21268</v>
      </c>
      <c r="Z150" s="156" t="n">
        <f aca="false">(Z144+Z145+Z148+Z149+Z146)-Z147</f>
        <v>16234.5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21268</v>
      </c>
      <c r="AI150" s="156" t="n">
        <f aca="false">(AI144+AI145+AI148+AI149+AI146)-AI147</f>
        <v>16234.5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155" t="n">
        <f aca="false">H16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7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s">
        <v>171</v>
      </c>
      <c r="C153" s="160"/>
      <c r="D153" s="160"/>
      <c r="E153" s="160"/>
      <c r="F153" s="160"/>
      <c r="G153" s="155" t="n">
        <f aca="false">H18</f>
        <v>0</v>
      </c>
      <c r="H153" s="39" t="n">
        <f aca="false">G153</f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155" t="n">
        <f aca="false">H19</f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155" t="n">
        <f aca="false">H20</f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57" t="n">
        <f aca="false">G150-((G153*1.2)+(G154*1.2)+(G155*1.2)+(G151*1.2))</f>
        <v>21268</v>
      </c>
      <c r="H156" s="163" t="n">
        <f aca="false">H150-((H153*1.2)+(H154*1.2)+(H155*1.2)+(H151*1.2))</f>
        <v>21268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21268</v>
      </c>
      <c r="Q156" s="163" t="n">
        <f aca="false">Q150-((Q153*1.2)+(Q154*1.2)+(Q155*1.2)+(Q151*1.2))</f>
        <v>35519.004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21268</v>
      </c>
      <c r="Z156" s="163" t="n">
        <f aca="false">Z150-((Z153*1.2)+(Z154*1.2)+(Z155*1.2)+(Z151*1.2))</f>
        <v>16234.5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21268</v>
      </c>
      <c r="AI156" s="163" t="n">
        <f aca="false">AI150-((AI153*1.2)+(AI154*1.2)+(AI155*1.2)+(AI151*1.2))</f>
        <v>16234.5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5"/>
      <c r="H157" s="39" t="n">
        <f aca="false">((H156-G156)-(H146-G146))+((I155-I154)*0.2)</f>
        <v>0</v>
      </c>
      <c r="I157" s="1" t="n">
        <f aca="false">(H157-G90)/1.2</f>
        <v>-16890</v>
      </c>
      <c r="J157" s="153" t="s">
        <v>173</v>
      </c>
      <c r="K157" s="153"/>
      <c r="L157" s="153"/>
      <c r="M157" s="153"/>
      <c r="N157" s="153"/>
      <c r="O157" s="153"/>
      <c r="P157" s="155"/>
      <c r="Q157" s="39" t="n">
        <f aca="false">Q156-P156</f>
        <v>14251.004</v>
      </c>
      <c r="S157" s="153" t="s">
        <v>173</v>
      </c>
      <c r="T157" s="153"/>
      <c r="U157" s="153"/>
      <c r="V157" s="153"/>
      <c r="W157" s="153"/>
      <c r="X157" s="153"/>
      <c r="Y157" s="155"/>
      <c r="Z157" s="39" t="n">
        <f aca="false">Z156-Y156</f>
        <v>-5033.5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n">
        <f aca="false">AI156-AH156</f>
        <v>-5033.5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21268</v>
      </c>
      <c r="H167" s="169"/>
      <c r="J167" s="168" t="s">
        <v>180</v>
      </c>
      <c r="K167" s="31"/>
      <c r="L167" s="31"/>
      <c r="M167" s="22"/>
      <c r="N167" s="31"/>
      <c r="O167" s="22"/>
      <c r="P167" s="169" t="n">
        <f aca="false">Q156-P163-P166</f>
        <v>36519.004</v>
      </c>
      <c r="Q167" s="169"/>
      <c r="S167" s="168" t="s">
        <v>180</v>
      </c>
      <c r="T167" s="31"/>
      <c r="U167" s="31"/>
      <c r="V167" s="22"/>
      <c r="W167" s="31"/>
      <c r="X167" s="22"/>
      <c r="Y167" s="169" t="n">
        <f aca="false">Z156-Y163-Y166</f>
        <v>17234.5</v>
      </c>
      <c r="Z167" s="169"/>
      <c r="AB167" s="168" t="s">
        <v>180</v>
      </c>
      <c r="AC167" s="31"/>
      <c r="AD167" s="31"/>
      <c r="AE167" s="22"/>
      <c r="AF167" s="31"/>
      <c r="AG167" s="22"/>
      <c r="AH167" s="169" t="n">
        <f aca="false">AI156-AH163-AH166</f>
        <v>17234.5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239.99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7200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546.961609847631</v>
      </c>
      <c r="B176" s="176" t="n">
        <f aca="false">B103</f>
        <v>80.4375</v>
      </c>
      <c r="C176" s="173"/>
      <c r="D176" s="173"/>
      <c r="E176" s="176" t="n">
        <f aca="false">B105</f>
        <v>627.399109847631</v>
      </c>
      <c r="F176" s="22"/>
      <c r="G176" s="22" t="n">
        <f aca="false">ROUND(G104,2)</f>
        <v>486.01</v>
      </c>
      <c r="H176" s="32"/>
      <c r="J176" s="175" t="n">
        <f aca="false">K104</f>
        <v>1522.35059507587</v>
      </c>
      <c r="K176" s="177" t="n">
        <f aca="false">K103</f>
        <v>0</v>
      </c>
      <c r="L176" s="174"/>
      <c r="M176" s="174"/>
      <c r="N176" s="177" t="n">
        <f aca="false">K105</f>
        <v>1522.35059507587</v>
      </c>
      <c r="O176" s="22"/>
      <c r="P176" s="22"/>
      <c r="Q176" s="32"/>
      <c r="S176" s="175" t="n">
        <f aca="false">T104</f>
        <v>634.549742547474</v>
      </c>
      <c r="T176" s="177" t="n">
        <f aca="false">T103</f>
        <v>0</v>
      </c>
      <c r="U176" s="174"/>
      <c r="V176" s="174"/>
      <c r="W176" s="177" t="n">
        <f aca="false">T105</f>
        <v>634.549742547474</v>
      </c>
      <c r="X176" s="22"/>
      <c r="Y176" s="22"/>
      <c r="Z176" s="32"/>
      <c r="AB176" s="175" t="n">
        <f aca="false">AC104</f>
        <v>634.549742547474</v>
      </c>
      <c r="AC176" s="177" t="n">
        <f aca="false">AC103</f>
        <v>0</v>
      </c>
      <c r="AD176" s="174"/>
      <c r="AE176" s="174"/>
      <c r="AF176" s="177" t="n">
        <f aca="false">AC105</f>
        <v>634.549742547474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n">
        <f aca="false">B38</f>
        <v>0</v>
      </c>
      <c r="B179" s="179" t="n">
        <f aca="false">B39</f>
        <v>0</v>
      </c>
      <c r="C179" s="180"/>
      <c r="D179" s="22"/>
      <c r="E179" s="181" t="n">
        <f aca="false">B91</f>
        <v>7200</v>
      </c>
      <c r="F179" s="22"/>
      <c r="G179" s="22"/>
      <c r="H179" s="32"/>
      <c r="J179" s="178" t="str">
        <f aca="false">K29</f>
        <v>33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33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33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17440</v>
      </c>
      <c r="B182" s="102" t="n">
        <f aca="false">H146</f>
        <v>3488</v>
      </c>
      <c r="C182" s="185"/>
      <c r="D182" s="22"/>
      <c r="E182" s="181" t="n">
        <f aca="false">H148+H149</f>
        <v>340</v>
      </c>
      <c r="F182" s="22"/>
      <c r="G182" s="22"/>
      <c r="H182" s="32"/>
      <c r="J182" s="184" t="n">
        <f aca="false">Q150-Q146-Q148-Q149</f>
        <v>29324.17</v>
      </c>
      <c r="K182" s="37" t="n">
        <f aca="false">Q146</f>
        <v>5864.834</v>
      </c>
      <c r="L182" s="42"/>
      <c r="M182" s="22"/>
      <c r="N182" s="183" t="n">
        <f aca="false">Q148+Q149</f>
        <v>330</v>
      </c>
      <c r="O182" s="22"/>
      <c r="P182" s="22"/>
      <c r="Q182" s="32"/>
      <c r="S182" s="184" t="n">
        <f aca="false">Z150-Z146-Z148-Z149</f>
        <v>13253.75</v>
      </c>
      <c r="T182" s="37" t="n">
        <f aca="false">Z146</f>
        <v>2650.75</v>
      </c>
      <c r="U182" s="42"/>
      <c r="V182" s="22"/>
      <c r="W182" s="183" t="n">
        <f aca="false">Z148+Z149</f>
        <v>330</v>
      </c>
      <c r="X182" s="22"/>
      <c r="Y182" s="22"/>
      <c r="Z182" s="32"/>
      <c r="AB182" s="184" t="n">
        <f aca="false">AI150-AI146-AI148-AI149</f>
        <v>13253.75</v>
      </c>
      <c r="AC182" s="37" t="n">
        <f aca="false">AI146</f>
        <v>2650.75</v>
      </c>
      <c r="AD182" s="42"/>
      <c r="AE182" s="22"/>
      <c r="AF182" s="183" t="n">
        <f aca="false">AI148+AI149</f>
        <v>330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21268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n">
        <f aca="false">Q150</f>
        <v>35519.004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n">
        <f aca="false">Z150</f>
        <v>16234.5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n">
        <f aca="false">AI150</f>
        <v>16234.5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21268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n">
        <f aca="false">J185-J188-K188</f>
        <v>36519.004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n">
        <f aca="false">S185-S188-T188</f>
        <v>17234.5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n">
        <f aca="false">AB185-AB188-AC188</f>
        <v>17234.5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3434.77151512419</v>
      </c>
      <c r="B191" s="102" t="str">
        <f aca="false">B123</f>
        <v>239.99</v>
      </c>
      <c r="C191" s="102"/>
      <c r="D191" s="22"/>
      <c r="E191" s="102" t="n">
        <f aca="false">E188+A191+B191+A194</f>
        <v>24952.7615151242</v>
      </c>
      <c r="F191" s="22"/>
      <c r="G191" s="22"/>
      <c r="H191" s="104"/>
      <c r="J191" s="110" t="n">
        <f aca="false">(J176*K68)+N194-N188-J194</f>
        <v>12208.2150424278</v>
      </c>
      <c r="K191" s="37" t="n">
        <f aca="false">K123</f>
        <v>239.99</v>
      </c>
      <c r="L191" s="37"/>
      <c r="M191" s="22"/>
      <c r="N191" s="37" t="n">
        <f aca="false">N188+J191+K191+J194</f>
        <v>48987.2090424278</v>
      </c>
      <c r="O191" s="22"/>
      <c r="P191" s="22"/>
      <c r="Q191" s="104"/>
      <c r="S191" s="110" t="n">
        <f aca="false">(S176*T68)+W194-W188-S194</f>
        <v>3083.09176151916</v>
      </c>
      <c r="T191" s="37" t="n">
        <f aca="false">T123</f>
        <v>199.99</v>
      </c>
      <c r="U191" s="37"/>
      <c r="V191" s="22"/>
      <c r="W191" s="37" t="n">
        <f aca="false">W188+S191+T191+S194</f>
        <v>20527.5817615192</v>
      </c>
      <c r="X191" s="22"/>
      <c r="Y191" s="22"/>
      <c r="Z191" s="104"/>
      <c r="AB191" s="110" t="n">
        <f aca="false">(AB176*AC68)+AF194-AF188-AB194</f>
        <v>3083.09176151916</v>
      </c>
      <c r="AC191" s="37" t="n">
        <f aca="false">AC123</f>
        <v>239.99</v>
      </c>
      <c r="AD191" s="37"/>
      <c r="AE191" s="22"/>
      <c r="AF191" s="37" t="n">
        <f aca="false">AF188+AB191+AC191+AB194</f>
        <v>20567.5817615192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</f>
        <v>239.99</v>
      </c>
      <c r="C194" s="102"/>
      <c r="D194" s="22"/>
      <c r="E194" s="102" t="n">
        <f aca="false">IF( E179=0 , A194+E176, E179+A194)</f>
        <v>7210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J18*0.000002*100*1.2</f>
        <v>5.02272</v>
      </c>
      <c r="B197" s="102" t="n">
        <f aca="false">(G167*B76)/1.2</f>
        <v>166.15625</v>
      </c>
      <c r="C197" s="92"/>
      <c r="D197" s="92"/>
      <c r="E197" s="102" t="n">
        <f aca="false">IF(E114="YES",(K55*A117*0.1),0)</f>
        <v>49.5</v>
      </c>
      <c r="F197" s="22"/>
      <c r="G197" s="22"/>
      <c r="H197" s="32"/>
      <c r="J197" s="110" t="n">
        <f aca="false">IF(N114="YES",H15*0.000002,0)</f>
        <v>0.042536</v>
      </c>
      <c r="K197" s="37" t="n">
        <f aca="false">(P167*K76)/1.2</f>
        <v>2187.33617708333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n">
        <f aca="false">(Y167*T76)/1.2</f>
        <v>134.64453125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n">
        <f aca="false">(AH167*AC76)/1.2</f>
        <v>134.64453125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(B191/1.2)-100</f>
        <v>99.9916666666667</v>
      </c>
      <c r="B200" s="102" t="n">
        <f aca="false">B197+E197+A200</f>
        <v>315.647916666667</v>
      </c>
      <c r="C200" s="92"/>
      <c r="D200" s="92"/>
      <c r="E200" s="102" t="n">
        <f aca="false">H157</f>
        <v>0</v>
      </c>
      <c r="F200" s="22"/>
      <c r="G200" s="22"/>
      <c r="H200" s="32"/>
      <c r="J200" s="110" t="n">
        <f aca="false">K194-100</f>
        <v>1139.99</v>
      </c>
      <c r="K200" s="37" t="n">
        <f aca="false">K197+N197+J200</f>
        <v>3327.32617708333</v>
      </c>
      <c r="L200" s="31"/>
      <c r="M200" s="31"/>
      <c r="N200" s="37" t="n">
        <f aca="false">Q157</f>
        <v>14251.004</v>
      </c>
      <c r="O200" s="22"/>
      <c r="P200" s="22"/>
      <c r="Q200" s="32"/>
      <c r="S200" s="110" t="n">
        <f aca="false">T194-100</f>
        <v>1099.99</v>
      </c>
      <c r="T200" s="37" t="n">
        <f aca="false">T197+W197+S200</f>
        <v>1234.63453125</v>
      </c>
      <c r="U200" s="31"/>
      <c r="V200" s="31"/>
      <c r="W200" s="37" t="n">
        <f aca="false">Z157</f>
        <v>-5033.5</v>
      </c>
      <c r="X200" s="31"/>
      <c r="Y200" s="31"/>
      <c r="Z200" s="32"/>
      <c r="AB200" s="110" t="n">
        <f aca="false">AC194-100</f>
        <v>1139.99</v>
      </c>
      <c r="AC200" s="37" t="n">
        <f aca="false">AC197+AF197+AB200</f>
        <v>1274.63453125</v>
      </c>
      <c r="AD200" s="31"/>
      <c r="AE200" s="31"/>
      <c r="AF200" s="37" t="n">
        <f aca="false">AI157</f>
        <v>-5033.5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33</v>
      </c>
      <c r="B206" s="73" t="n">
        <f aca="false">B105</f>
        <v>627.399109847631</v>
      </c>
      <c r="C206" s="73"/>
      <c r="D206" s="73"/>
      <c r="E206" s="22"/>
      <c r="F206" s="22"/>
      <c r="G206" s="22"/>
      <c r="H206" s="32"/>
      <c r="J206" s="72" t="str">
        <f aca="false">K29</f>
        <v>33</v>
      </c>
      <c r="K206" s="73" t="n">
        <f aca="false">K105</f>
        <v>1522.35059507587</v>
      </c>
      <c r="L206" s="73"/>
      <c r="M206" s="73"/>
      <c r="N206" s="22"/>
      <c r="O206" s="22"/>
      <c r="P206" s="22"/>
      <c r="Q206" s="32"/>
      <c r="S206" s="72" t="str">
        <f aca="false">K29</f>
        <v>33</v>
      </c>
      <c r="T206" s="73" t="n">
        <f aca="false">T105</f>
        <v>634.549742547474</v>
      </c>
      <c r="U206" s="73"/>
      <c r="V206" s="73"/>
      <c r="W206" s="22"/>
      <c r="X206" s="22"/>
      <c r="Y206" s="22"/>
      <c r="Z206" s="32"/>
      <c r="AB206" s="72" t="str">
        <f aca="false">K29</f>
        <v>33</v>
      </c>
      <c r="AC206" s="73" t="n">
        <f aca="false">AC105</f>
        <v>634.549742547474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1484.32</v>
      </c>
      <c r="B210" s="185" t="n">
        <f aca="false">E188+A210+B191+A194</f>
        <v>23002.31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33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546.961609847631</v>
      </c>
      <c r="B221" s="176" t="n">
        <f aca="false">B176</f>
        <v>80.4375</v>
      </c>
      <c r="C221" s="173"/>
      <c r="D221" s="173"/>
      <c r="E221" s="176" t="n">
        <f aca="false">E176</f>
        <v>627.399109847631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17440</v>
      </c>
      <c r="B224" s="102" t="n">
        <f aca="false">B182</f>
        <v>3488</v>
      </c>
      <c r="C224" s="185"/>
      <c r="D224" s="112"/>
      <c r="E224" s="181" t="n">
        <f aca="false">E182</f>
        <v>340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21268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21268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3434.77151512419</v>
      </c>
      <c r="B233" s="102" t="str">
        <f aca="false">B191</f>
        <v>239.99</v>
      </c>
      <c r="C233" s="102"/>
      <c r="D233" s="112"/>
      <c r="E233" s="102" t="n">
        <f aca="false">E191</f>
        <v>24952.7615151242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239.99</v>
      </c>
      <c r="C236" s="102"/>
      <c r="D236" s="112"/>
      <c r="E236" s="102" t="n">
        <f aca="false">B68</f>
        <v>32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546.961609847631</v>
      </c>
      <c r="B239" s="102" t="n">
        <f aca="false">B176</f>
        <v>80.4375</v>
      </c>
      <c r="C239" s="185"/>
      <c r="D239" s="185"/>
      <c r="E239" s="102" t="n">
        <f aca="false">E176</f>
        <v>627.399109847631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7200</v>
      </c>
      <c r="B242" s="102" t="n">
        <f aca="false">E194</f>
        <v>7210</v>
      </c>
      <c r="C242" s="92"/>
      <c r="D242" s="92"/>
      <c r="E242" s="102" t="n">
        <f aca="false">J18*0.000006*100*1.2</f>
        <v>15.06816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5.02272</v>
      </c>
      <c r="B245" s="102" t="n">
        <f aca="false">E242+A245</f>
        <v>20.09088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0</v>
      </c>
      <c r="B249" s="102" t="n">
        <f aca="false">B197</f>
        <v>166.15625</v>
      </c>
      <c r="C249" s="92"/>
      <c r="D249" s="92"/>
      <c r="E249" s="102" t="n">
        <f aca="false">E197</f>
        <v>49.5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99.9916666666667</v>
      </c>
      <c r="B252" s="102" t="n">
        <f aca="false">B249+E249+A252+A249</f>
        <v>315.647916666667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0.115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8" t="n">
        <f aca="false">(E191-B191)-(B210-B191-A194)</f>
        <v>1960.45151512419</v>
      </c>
      <c r="C263" s="196"/>
      <c r="D263" s="197" t="s">
        <v>217</v>
      </c>
      <c r="E263" s="197"/>
      <c r="F263" s="199" t="n">
        <f aca="false">F270+F276+F278+B279+B280</f>
        <v>199.3875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594.991666666667</v>
      </c>
      <c r="C264" s="196"/>
      <c r="D264" s="197" t="s">
        <v>219</v>
      </c>
      <c r="E264" s="197"/>
      <c r="F264" s="199" t="n">
        <f aca="false">(B263-F263)+B264</f>
        <v>2356.05568179086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0.115</v>
      </c>
      <c r="C269" s="42"/>
      <c r="D269" s="165" t="s">
        <v>216</v>
      </c>
      <c r="E269" s="165"/>
      <c r="F269" s="145" t="n">
        <f aca="false">B263</f>
        <v>1960.45151512419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0.009375</v>
      </c>
      <c r="C270" s="31"/>
      <c r="D270" s="165" t="s">
        <v>222</v>
      </c>
      <c r="E270" s="165"/>
      <c r="F270" s="150" t="n">
        <f aca="false">B77</f>
        <v>199.3875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0.3</v>
      </c>
      <c r="C271" s="31"/>
      <c r="D271" s="165" t="s">
        <v>223</v>
      </c>
      <c r="E271" s="165"/>
      <c r="F271" s="145" t="n">
        <f aca="false">E249*10</f>
        <v>495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99.9916666666667</v>
      </c>
      <c r="C272" s="31"/>
      <c r="D272" s="38" t="s">
        <v>219</v>
      </c>
      <c r="E272" s="38"/>
      <c r="F272" s="145" t="n">
        <f aca="false">(B263-F263)+B264</f>
        <v>2356.05568179086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63" colorId="64" zoomScale="85" zoomScaleNormal="85" zoomScalePageLayoutView="100" workbookViewId="0">
      <selection pane="topLeft" activeCell="B189" activeCellId="1" sqref="A191 B18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</v>
      </c>
      <c r="I29" s="384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10000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66666.6666666667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6000</v>
      </c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36</v>
      </c>
      <c r="B33" s="228" t="n">
        <v>10000</v>
      </c>
      <c r="C33" s="229"/>
      <c r="D33" s="455" t="n">
        <f aca="false">H48</f>
        <v>190.81237436313</v>
      </c>
      <c r="E33" s="215"/>
      <c r="F33" s="62"/>
      <c r="G33" s="218" t="s">
        <v>356</v>
      </c>
      <c r="H33" s="456" t="n">
        <f aca="false">E21-E11</f>
        <v>18000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36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0.07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140.81237436313</v>
      </c>
      <c r="B36" s="102" t="n">
        <f aca="false">IF(B26="YES",H42,"")</f>
        <v>50</v>
      </c>
      <c r="C36" s="220"/>
      <c r="D36" s="183" t="n">
        <f aca="false">H31</f>
        <v>66666.6666666667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18000</v>
      </c>
      <c r="I39" s="237" t="n">
        <f aca="false">(I48*H46)+H44</f>
        <v>57161.3120530432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20000</v>
      </c>
      <c r="B40" s="106" t="n">
        <f aca="false">IF(B26="YES",H42,"0")</f>
        <v>50</v>
      </c>
      <c r="C40" s="106"/>
      <c r="D40" s="183" t="n">
        <f aca="false">I32</f>
        <v>6000</v>
      </c>
      <c r="E40" s="215"/>
      <c r="F40" s="62"/>
      <c r="G40" s="62" t="s">
        <v>107</v>
      </c>
      <c r="H40" s="237" t="n">
        <f aca="false">A40/1.2</f>
        <v>16666.6666666667</v>
      </c>
      <c r="I40" s="237" t="n">
        <f aca="false">H39-I39</f>
        <v>-39161.3120530432</v>
      </c>
      <c r="J40" s="62" t="n">
        <v>0</v>
      </c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0.00583333333333333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50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13439.5850433384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30</v>
      </c>
      <c r="B45" s="214"/>
      <c r="C45" s="459" t="n">
        <v>30</v>
      </c>
      <c r="D45" s="459"/>
      <c r="E45" s="215"/>
      <c r="F45" s="62"/>
      <c r="G45" s="62" t="s">
        <v>374</v>
      </c>
      <c r="H45" s="237" t="n">
        <f aca="false">(H39-H44)</f>
        <v>4560.41495666158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32.3864644516332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140.81237436313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190.81237436313</v>
      </c>
      <c r="I48" s="237" t="n">
        <f aca="false">I49-H42</f>
        <v>1350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10000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36</v>
      </c>
      <c r="B52" s="73" t="n">
        <f aca="false">H48</f>
        <v>190.81237436313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35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35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35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21600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37405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B62+(B62*0.25*((H29/12)-1))</f>
        <v>0.105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0.105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0.105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C64</f>
        <v>10000</v>
      </c>
      <c r="C64" s="461" t="n">
        <v>10000</v>
      </c>
      <c r="D64" s="290" t="n">
        <f aca="false">B64</f>
        <v>10000</v>
      </c>
      <c r="E64" s="462" t="n">
        <f aca="false">D64/(B58+B57)</f>
        <v>277.777777777778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0.02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0.02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0.02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432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180</v>
      </c>
      <c r="C73" s="214"/>
      <c r="D73" s="468" t="n">
        <f aca="false">B73+B71</f>
        <v>380</v>
      </c>
      <c r="E73" s="215" t="s">
        <v>228</v>
      </c>
      <c r="F73" s="62"/>
      <c r="G73" s="284" t="s">
        <v>100</v>
      </c>
      <c r="H73" s="132" t="n">
        <f aca="false">H72*H29</f>
        <v>162</v>
      </c>
      <c r="I73" s="214"/>
      <c r="J73" s="290" t="n">
        <f aca="false">H73+H71</f>
        <v>322</v>
      </c>
      <c r="K73" s="215"/>
      <c r="L73" s="62"/>
      <c r="M73" s="284" t="s">
        <v>100</v>
      </c>
      <c r="N73" s="132" t="n">
        <f aca="false">N72*H29</f>
        <v>162</v>
      </c>
      <c r="O73" s="214"/>
      <c r="P73" s="290" t="n">
        <f aca="false">N73+N71</f>
        <v>322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165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508.75</v>
      </c>
      <c r="C76" s="214"/>
      <c r="D76" s="290" t="n">
        <f aca="false">B76</f>
        <v>508.75</v>
      </c>
      <c r="E76" s="215"/>
      <c r="F76" s="62"/>
      <c r="G76" s="284" t="s">
        <v>282</v>
      </c>
      <c r="H76" s="132" t="n">
        <f aca="false">((H74+H75)/12)*(H29-11)</f>
        <v>343.75</v>
      </c>
      <c r="I76" s="214"/>
      <c r="J76" s="290" t="n">
        <f aca="false">H76</f>
        <v>343.75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444.444444444444</v>
      </c>
      <c r="C77" s="469"/>
      <c r="D77" s="290" t="n">
        <f aca="false">B77</f>
        <v>444.444444444444</v>
      </c>
      <c r="E77" s="462" t="n">
        <f aca="false">D77/(B58+B57)</f>
        <v>12.3456790123457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469"/>
      <c r="D78" s="290" t="n">
        <f aca="false">B78</f>
        <v>222.222222222222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35.7986111111111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11955.4166666667</v>
      </c>
      <c r="C81" s="469"/>
      <c r="D81" s="470"/>
      <c r="E81" s="462"/>
      <c r="F81" s="62"/>
      <c r="G81" s="302" t="s">
        <v>103</v>
      </c>
      <c r="H81" s="303" t="n">
        <f aca="false">SUM(J64:J80)</f>
        <v>1065.75</v>
      </c>
      <c r="I81" s="214"/>
      <c r="J81" s="214"/>
      <c r="K81" s="215"/>
      <c r="L81" s="62"/>
      <c r="M81" s="302" t="s">
        <v>103</v>
      </c>
      <c r="N81" s="303" t="n">
        <f aca="false">SUM(P64:P80)</f>
        <v>722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332.094907407407</v>
      </c>
      <c r="C82" s="469"/>
      <c r="D82" s="214"/>
      <c r="E82" s="462"/>
      <c r="F82" s="62"/>
      <c r="G82" s="213" t="s">
        <v>104</v>
      </c>
      <c r="H82" s="299" t="n">
        <f aca="false">H81/H29</f>
        <v>29.6041666666667</v>
      </c>
      <c r="I82" s="214"/>
      <c r="J82" s="214"/>
      <c r="K82" s="215"/>
      <c r="L82" s="62"/>
      <c r="M82" s="213" t="s">
        <v>104</v>
      </c>
      <c r="N82" s="299" t="n">
        <f aca="false">N81/H29</f>
        <v>20.0555555555556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140.81237436313</v>
      </c>
      <c r="C83" s="469"/>
      <c r="D83" s="214"/>
      <c r="E83" s="462" t="n">
        <f aca="false">B83+E80+E77+E64</f>
        <v>466.734442264365</v>
      </c>
      <c r="F83" s="62"/>
      <c r="G83" s="304" t="s">
        <v>105</v>
      </c>
      <c r="H83" s="305" t="n">
        <f aca="false">H47</f>
        <v>140.81237436313</v>
      </c>
      <c r="I83" s="214"/>
      <c r="J83" s="214"/>
      <c r="K83" s="215"/>
      <c r="L83" s="62"/>
      <c r="M83" s="304" t="s">
        <v>105</v>
      </c>
      <c r="N83" s="305" t="n">
        <f aca="false">H47</f>
        <v>140.81237436313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17024.6621437394</v>
      </c>
      <c r="C85" s="469"/>
      <c r="D85" s="469"/>
      <c r="E85" s="462" t="n">
        <f aca="false">B85/(B58+B57)</f>
        <v>472.907281770538</v>
      </c>
      <c r="F85" s="62"/>
      <c r="G85" s="287" t="s">
        <v>115</v>
      </c>
      <c r="H85" s="130" t="n">
        <f aca="false">((H83*H29)+H81)*1.2</f>
        <v>7361.99457248723</v>
      </c>
      <c r="I85" s="214"/>
      <c r="J85" s="214"/>
      <c r="K85" s="215"/>
      <c r="L85" s="62"/>
      <c r="M85" s="287" t="s">
        <v>115</v>
      </c>
      <c r="N85" s="130" t="n">
        <f aca="false">((N83*H29)+N81)</f>
        <v>5791.24547707269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144.218598232564</v>
      </c>
      <c r="C86" s="469" t="s">
        <v>231</v>
      </c>
      <c r="D86" s="214"/>
      <c r="E86" s="462" t="n">
        <f aca="false">B86/(B58+B57)</f>
        <v>4.00607217312678</v>
      </c>
      <c r="F86" s="62"/>
      <c r="G86" s="213" t="s">
        <v>116</v>
      </c>
      <c r="H86" s="299" t="n">
        <f aca="false">((((H83*H29)+H81))/(1-H70))*H70</f>
        <v>51.9705143277638</v>
      </c>
      <c r="I86" s="214"/>
      <c r="J86" s="214"/>
      <c r="K86" s="215"/>
      <c r="L86" s="62"/>
      <c r="M86" s="213" t="s">
        <v>116</v>
      </c>
      <c r="N86" s="299" t="n">
        <f aca="false">(N85/(1-N70))*N70</f>
        <v>49.0585538598332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17168.8807419719</v>
      </c>
      <c r="C87" s="469"/>
      <c r="D87" s="471"/>
      <c r="E87" s="462" t="n">
        <f aca="false">E86+E85</f>
        <v>476.913353943664</v>
      </c>
      <c r="F87" s="62"/>
      <c r="G87" s="284" t="s">
        <v>117</v>
      </c>
      <c r="H87" s="132" t="n">
        <f aca="false">IF(H110="YES",((H85+H86)-K114),(H85+H86))</f>
        <v>7413.96508681499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5840.30403093252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65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210.731707317073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175.609756097561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476.913353943665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180.828416751585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142.446439778842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541.913353943664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391.560124068658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318.056195876403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0.3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((E118*1.2)+E117)-E114</f>
        <v>-2760.012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180.828416751585</v>
      </c>
      <c r="H127" s="176" t="n">
        <f aca="false">IF(G105="YES",H89*H57,0)</f>
        <v>1264.39024390244</v>
      </c>
      <c r="I127" s="176"/>
      <c r="J127" s="333" t="n">
        <f aca="false">H91</f>
        <v>391.560124068658</v>
      </c>
      <c r="K127" s="215"/>
      <c r="L127" s="62"/>
      <c r="M127" s="332" t="n">
        <f aca="false">N90</f>
        <v>142.446439778842</v>
      </c>
      <c r="N127" s="176" t="n">
        <f aca="false">IF(M105="YES",N89*N57,0)</f>
        <v>1053.65853658537</v>
      </c>
      <c r="O127" s="176"/>
      <c r="P127" s="176" t="n">
        <f aca="false">N91</f>
        <v>318.056195876403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476.913353943665</v>
      </c>
      <c r="B128" s="320" t="n">
        <f aca="false">IF(A105="YES",B89,0)</f>
        <v>65</v>
      </c>
      <c r="C128" s="324"/>
      <c r="D128" s="320" t="n">
        <f aca="false">B91</f>
        <v>541.913353943664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36</v>
      </c>
      <c r="H130" s="228" t="n">
        <f aca="false">B151</f>
        <v>0</v>
      </c>
      <c r="I130" s="229"/>
      <c r="J130" s="228" t="n">
        <f aca="false">B58</f>
        <v>35</v>
      </c>
      <c r="K130" s="215"/>
      <c r="L130" s="62"/>
      <c r="M130" s="227" t="n">
        <f aca="false">M155</f>
        <v>36</v>
      </c>
      <c r="N130" s="228" t="n">
        <f aca="false">B151</f>
        <v>0</v>
      </c>
      <c r="O130" s="229"/>
      <c r="P130" s="228" t="n">
        <f aca="false">B58</f>
        <v>35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Monthly in advance</v>
      </c>
      <c r="B131" s="37" t="n">
        <f aca="false">B90*B57</f>
        <v>476.913353943665</v>
      </c>
      <c r="C131" s="316"/>
      <c r="D131" s="37" t="n">
        <f aca="false">IF(A105="YES",B89*B57,0)</f>
        <v>65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1084.97050050951</v>
      </c>
      <c r="H133" s="102" t="n">
        <f aca="false">IF(G105="YES",H89*H57,0)</f>
        <v>1264.39024390244</v>
      </c>
      <c r="I133" s="220"/>
      <c r="J133" s="183" t="n">
        <f aca="false">H91*H57</f>
        <v>2349.36074441195</v>
      </c>
      <c r="K133" s="215"/>
      <c r="L133" s="62"/>
      <c r="M133" s="184" t="n">
        <f aca="false">N90*N57</f>
        <v>854.678638673052</v>
      </c>
      <c r="N133" s="102" t="n">
        <f aca="false">IF(M105="YES",N89*N57,0)</f>
        <v>1053.65853658537</v>
      </c>
      <c r="O133" s="220"/>
      <c r="P133" s="183" t="n">
        <f aca="false">N91*N57</f>
        <v>1908.33717525842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541.913353943664</v>
      </c>
      <c r="B134" s="37" t="n">
        <f aca="false">E114</f>
        <v>4000</v>
      </c>
      <c r="C134" s="316"/>
      <c r="D134" s="336" t="n">
        <f aca="false">B58</f>
        <v>35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476.913353943665</v>
      </c>
      <c r="B137" s="37" t="n">
        <f aca="false">IF(A105="YES",B89,0)</f>
        <v>65</v>
      </c>
      <c r="C137" s="316"/>
      <c r="D137" s="37" t="n">
        <f aca="false">B91</f>
        <v>541.913353943664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(B61*0.000006)*100</f>
        <v>22.443</v>
      </c>
      <c r="B140" s="342" t="n">
        <f aca="false">IF(A105="YES",B61*0.000002,0)*100</f>
        <v>7.481</v>
      </c>
      <c r="C140" s="316"/>
      <c r="D140" s="342" t="n">
        <f aca="false">A140+B140</f>
        <v>29.924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36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36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432</v>
      </c>
      <c r="B148" s="102" t="n">
        <f aca="false">B102</f>
        <v>400</v>
      </c>
      <c r="C148" s="37"/>
      <c r="D148" s="37" t="n">
        <f aca="false">IF(A105="YES",(B40*B105)*B125,0)*0.1</f>
        <v>54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985.99</v>
      </c>
      <c r="E151" s="104"/>
      <c r="F151" s="62"/>
      <c r="G151" s="249"/>
      <c r="H151" s="251" t="n">
        <f aca="false">B51</f>
        <v>10000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36</v>
      </c>
      <c r="H152" s="73" t="n">
        <f aca="false">H91</f>
        <v>391.560124068658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10000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36</v>
      </c>
      <c r="N155" s="73" t="n">
        <f aca="false">N91</f>
        <v>318.056195876403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10000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36</v>
      </c>
      <c r="B161" s="73" t="n">
        <f aca="false">B91</f>
        <v>541.913353943664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476.913353943665</v>
      </c>
      <c r="B177" s="354" t="n">
        <f aca="false">IF(A105="YES",B89,0)</f>
        <v>65</v>
      </c>
      <c r="C177" s="356"/>
      <c r="D177" s="354" t="n">
        <f aca="false">B91</f>
        <v>541.913353943664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Monthly in advance</v>
      </c>
      <c r="B180" s="102" t="n">
        <f aca="false">B90*B57</f>
        <v>476.913353943665</v>
      </c>
      <c r="C180" s="352"/>
      <c r="D180" s="102" t="n">
        <f aca="false">IF(A105="YES",B89*B57,0)</f>
        <v>65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541.913353943664</v>
      </c>
      <c r="B183" s="102" t="n">
        <f aca="false">E114</f>
        <v>4000</v>
      </c>
      <c r="C183" s="352"/>
      <c r="D183" s="360" t="n">
        <f aca="false">B58</f>
        <v>35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476.913353943665</v>
      </c>
      <c r="B186" s="102" t="n">
        <f aca="false">IF(A105="YES",B89,0)</f>
        <v>65</v>
      </c>
      <c r="C186" s="352"/>
      <c r="D186" s="102" t="n">
        <f aca="false">B91</f>
        <v>541.913353943664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22.443</v>
      </c>
      <c r="B189" s="364" t="n">
        <f aca="false">B140</f>
        <v>7.481</v>
      </c>
      <c r="C189" s="352"/>
      <c r="D189" s="364" t="n">
        <f aca="false">A189+B189</f>
        <v>29.924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432</v>
      </c>
      <c r="B197" s="102" t="n">
        <f aca="false">B102</f>
        <v>400</v>
      </c>
      <c r="C197" s="102"/>
      <c r="D197" s="102" t="n">
        <f aca="false">IF(A105="YES",(B40*B105)*B125,0)*0.1</f>
        <v>54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985.99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0.07</v>
      </c>
      <c r="C209" s="320" t="s">
        <v>216</v>
      </c>
      <c r="D209" s="369" t="n">
        <f aca="false">D64</f>
        <v>10000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432</v>
      </c>
      <c r="C211" s="319" t="s">
        <v>218</v>
      </c>
      <c r="D211" s="369" t="n">
        <f aca="false">B225+E221+B221+B223</f>
        <v>879.99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10447.99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10000</v>
      </c>
      <c r="C217" s="373" t="s">
        <v>222</v>
      </c>
      <c r="D217" s="316"/>
      <c r="E217" s="374" t="n">
        <f aca="false">B66</f>
        <v>0.02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432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10447.99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540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380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144.218598232564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75" colorId="64" zoomScale="85" zoomScaleNormal="85" zoomScalePageLayoutView="100" workbookViewId="0">
      <selection pane="topLeft" activeCell="A182" activeCellId="1" sqref="A191 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17895</v>
      </c>
      <c r="C3" s="437" t="n">
        <v>0</v>
      </c>
      <c r="D3" s="437" t="n">
        <v>0</v>
      </c>
      <c r="E3" s="437"/>
      <c r="F3" s="437" t="n">
        <v>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</v>
      </c>
      <c r="C4" s="123" t="n">
        <v>0</v>
      </c>
      <c r="D4" s="123" t="n">
        <v>0</v>
      </c>
      <c r="E4" s="123"/>
      <c r="F4" s="123" t="n">
        <v>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16745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162</v>
      </c>
      <c r="B9" s="151" t="n">
        <v>23125</v>
      </c>
      <c r="C9" s="151"/>
      <c r="D9" s="151"/>
      <c r="E9" s="151" t="n">
        <f aca="false">(B7+C7+D7+E3)</f>
        <v>16745</v>
      </c>
      <c r="F9" s="151"/>
      <c r="G9" s="135"/>
      <c r="H9" s="439" t="n">
        <f aca="false">B7+D7+F7+H3</f>
        <v>16745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695</v>
      </c>
      <c r="I10" s="2"/>
      <c r="J10" s="2"/>
      <c r="L10" s="15" t="s">
        <v>1</v>
      </c>
      <c r="M10" s="9" t="n">
        <f aca="false">H15-H11-M8</f>
        <v>17440</v>
      </c>
    </row>
    <row r="11" customFormat="false" ht="18.75" hidden="false" customHeight="false" outlineLevel="0" collapsed="false">
      <c r="A11" s="153" t="s">
        <v>164</v>
      </c>
      <c r="B11" s="153" t="n">
        <v>0</v>
      </c>
      <c r="C11" s="153"/>
      <c r="D11" s="153"/>
      <c r="E11" s="153"/>
      <c r="F11" s="153"/>
      <c r="G11" s="154"/>
      <c r="H11" s="32" t="n">
        <f aca="false">(H9+H10)*20%</f>
        <v>3488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 t="n">
        <v>0</v>
      </c>
      <c r="C13" s="153"/>
      <c r="D13" s="153"/>
      <c r="E13" s="153" t="n">
        <v>585</v>
      </c>
      <c r="F13" s="153"/>
      <c r="G13" s="154"/>
      <c r="H13" s="438" t="n">
        <v>290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55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21268</v>
      </c>
      <c r="I15" s="2"/>
      <c r="J15" s="16" t="n">
        <f aca="false">H15</f>
        <v>21268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20928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21268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45400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9.54545454545455</v>
      </c>
      <c r="E32" s="225"/>
      <c r="F32" s="62"/>
      <c r="G32" s="226" t="s">
        <v>243</v>
      </c>
      <c r="H32" s="224" t="n">
        <f aca="false">A41</f>
        <v>9.54545454545455</v>
      </c>
      <c r="J32" s="43" t="s">
        <v>37</v>
      </c>
      <c r="K32" s="44" t="s">
        <v>383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509.545454545455</v>
      </c>
      <c r="B35" s="222" t="s">
        <v>248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s">
        <v>384</v>
      </c>
      <c r="J36" s="43" t="s">
        <v>51</v>
      </c>
      <c r="K36" s="51" t="n">
        <f aca="false">K32-K34</f>
        <v>20268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9.54545454545455</v>
      </c>
      <c r="B41" s="240" t="n">
        <f aca="false">IF(B38="YES",D38+A41,D38)</f>
        <v>509.545454545455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9.54545454545455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509.909090909091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52" t="s">
        <v>4</v>
      </c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509.909090909091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20928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0.072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17862.0274483356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199.3875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20268</v>
      </c>
      <c r="C81" s="92"/>
      <c r="D81" s="92"/>
      <c r="E81" s="112"/>
      <c r="F81" s="24" t="s">
        <v>106</v>
      </c>
      <c r="G81" s="26" t="n">
        <f aca="false">B81</f>
        <v>20268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0.137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0.0114166666666667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4950.38529500718</v>
      </c>
      <c r="C86" s="92" t="n">
        <f aca="false">(B82/((1+B84)^(B85+1)))</f>
        <v>4950.38529500718</v>
      </c>
      <c r="D86" s="92"/>
      <c r="E86" s="112"/>
      <c r="F86" s="30" t="s">
        <v>111</v>
      </c>
      <c r="G86" s="32" t="n">
        <f aca="false">(G82/((1+G84)^(G85+1)))</f>
        <v>6024.37295128565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26.6800219733353</v>
      </c>
      <c r="C87" s="92" t="n">
        <f aca="false">((1-(1/((1+B84)^B85)))/B84)</f>
        <v>26.6800219733353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15317.6147049928</v>
      </c>
      <c r="C88" s="92" t="n">
        <f aca="false">B81-B86</f>
        <v>15317.6147049928</v>
      </c>
      <c r="D88" s="92"/>
      <c r="E88" s="112"/>
      <c r="F88" s="30" t="s">
        <v>113</v>
      </c>
      <c r="G88" s="32" t="n">
        <f aca="false">G81-G86</f>
        <v>14243.6270487143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574.123016851398</v>
      </c>
      <c r="C89" s="92" t="n">
        <f aca="false">(B88/B87)</f>
        <v>574.123016851398</v>
      </c>
      <c r="D89" s="92"/>
      <c r="E89" s="112"/>
      <c r="F89" s="30" t="s">
        <v>114</v>
      </c>
      <c r="G89" s="32" t="n">
        <f aca="false">(G88/G87)</f>
        <v>486.005136521857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18371.9365392447</v>
      </c>
      <c r="C90" s="92"/>
      <c r="D90" s="92"/>
      <c r="E90" s="112"/>
      <c r="F90" s="30" t="s">
        <v>115</v>
      </c>
      <c r="G90" s="32" t="n">
        <f aca="false">((G89*(G85))+G77)</f>
        <v>15552.1643686994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18371.9365392447</v>
      </c>
      <c r="C92" s="92"/>
      <c r="D92" s="92"/>
      <c r="E92" s="112"/>
      <c r="F92" s="55" t="s">
        <v>117</v>
      </c>
      <c r="G92" s="64" t="n">
        <f aca="false">(G90+G91)</f>
        <v>15552.1643686994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n">
        <f aca="false">IF(B38="YES",((H36/B85)*(1+A108)*1.2),"0")</f>
        <v>14.175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574.123016851398</v>
      </c>
      <c r="C95" s="92"/>
      <c r="D95" s="92"/>
      <c r="E95" s="112"/>
      <c r="F95" s="94" t="s">
        <v>119</v>
      </c>
      <c r="G95" s="95" t="n">
        <f aca="false">G92/(G85)</f>
        <v>486.005136521857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588.298016851398</v>
      </c>
      <c r="C96" s="92"/>
      <c r="D96" s="92"/>
      <c r="E96" s="112"/>
      <c r="F96" s="96" t="s">
        <v>120</v>
      </c>
      <c r="G96" s="97" t="n">
        <f aca="false">G94+G95</f>
        <v>486.005136521857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18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0.137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16745</v>
      </c>
      <c r="C121" s="120" t="n">
        <f aca="false">B121</f>
        <v>16745</v>
      </c>
      <c r="D121" s="119" t="n">
        <f aca="false">D3</f>
        <v>0</v>
      </c>
      <c r="E121" s="120" t="n">
        <f aca="false">D121</f>
        <v>0</v>
      </c>
      <c r="F121" s="119" t="n">
        <f aca="false">F3</f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f aca="false">B122</f>
        <v>0</v>
      </c>
      <c r="D122" s="122" t="n">
        <f aca="false">D4</f>
        <v>0</v>
      </c>
      <c r="E122" s="123" t="n">
        <f aca="false">D122</f>
        <v>0</v>
      </c>
      <c r="F122" s="122" t="n">
        <f aca="false">F4</f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f aca="false">B123</f>
        <v>0</v>
      </c>
      <c r="D123" s="129" t="n">
        <f aca="false">D5</f>
        <v>0</v>
      </c>
      <c r="E123" s="120" t="n">
        <f aca="false">D123</f>
        <v>0</v>
      </c>
      <c r="F123" s="129" t="n">
        <f aca="false">F5</f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16745</v>
      </c>
      <c r="C125" s="132" t="n">
        <f aca="false">C121-C124</f>
        <v>16745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16745</v>
      </c>
      <c r="H135" s="152" t="n">
        <f aca="false">C125+E125+G125+H128</f>
        <v>16745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695</v>
      </c>
      <c r="H136" s="32" t="n">
        <f aca="false">G136</f>
        <v>695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3488</v>
      </c>
      <c r="H137" s="32" t="n">
        <f aca="false">(H135+H136)*20%</f>
        <v>3488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275</v>
      </c>
      <c r="H139" s="32" t="n">
        <f aca="false">G139</f>
        <v>275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21268</v>
      </c>
      <c r="H141" s="156" t="n">
        <f aca="false">(H135+H136+H139+H140+H137)-H138</f>
        <v>21268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21268</v>
      </c>
      <c r="H147" s="163" t="n">
        <f aca="false">H141-((H144*1.2)+(H145*1.2)+(H146*1.2)+(H142*1.2))</f>
        <v>21268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0</v>
      </c>
      <c r="I148" s="1" t="n">
        <f aca="false">(H148-G81)/1.2</f>
        <v>-16890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21268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574.123016851398</v>
      </c>
      <c r="B167" s="176" t="n">
        <f aca="false">B94</f>
        <v>14.175</v>
      </c>
      <c r="C167" s="173"/>
      <c r="D167" s="173"/>
      <c r="E167" s="176" t="n">
        <f aca="false">B96</f>
        <v>588.298016851398</v>
      </c>
      <c r="F167" s="22"/>
      <c r="G167" s="22" t="n">
        <f aca="false">ROUND(G95,2)</f>
        <v>486.01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n">
        <f aca="false">B29</f>
        <v>12345</v>
      </c>
      <c r="B170" s="179" t="n">
        <f aca="false">B30</f>
        <v>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17440</v>
      </c>
      <c r="B173" s="102" t="n">
        <f aca="false">H137</f>
        <v>3488</v>
      </c>
      <c r="C173" s="185"/>
      <c r="D173" s="22"/>
      <c r="E173" s="181" t="n">
        <f aca="false">H139+H140</f>
        <v>340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21268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21268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4303.93653924474</v>
      </c>
      <c r="B182" s="102" t="str">
        <f aca="false">B114</f>
        <v>239.99</v>
      </c>
      <c r="C182" s="102"/>
      <c r="D182" s="22"/>
      <c r="E182" s="102" t="n">
        <f aca="false">E179+A182+B182+A185</f>
        <v>25821.9265392447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5.02272</v>
      </c>
      <c r="B188" s="102" t="n">
        <f aca="false">(G158*B67)/1.2</f>
        <v>166.15625</v>
      </c>
      <c r="C188" s="92"/>
      <c r="D188" s="92"/>
      <c r="E188" s="102" t="n">
        <f aca="false">IF(E105="YES",(H36*A108)*0.1,0)</f>
        <v>6.3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272.447916666667</v>
      </c>
      <c r="C191" s="92"/>
      <c r="D191" s="92"/>
      <c r="E191" s="102" t="n">
        <f aca="false">H148</f>
        <v>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588.298016851398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IF(A40=0,((G167*(B59+1))-E179),((G167*B59)+E185-E179-A185))</f>
        <v>1484.32</v>
      </c>
      <c r="B201" s="185" t="n">
        <f aca="false">E179+A201+B182+A185</f>
        <v>23002.31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574.123016851398</v>
      </c>
      <c r="B212" s="176" t="n">
        <f aca="false">B167</f>
        <v>14.175</v>
      </c>
      <c r="C212" s="173"/>
      <c r="D212" s="173"/>
      <c r="E212" s="176" t="n">
        <f aca="false">E167</f>
        <v>588.298016851398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17440</v>
      </c>
      <c r="B215" s="102" t="n">
        <f aca="false">B173</f>
        <v>3488</v>
      </c>
      <c r="C215" s="185"/>
      <c r="D215" s="112"/>
      <c r="E215" s="181" t="n">
        <f aca="false">E173</f>
        <v>340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21268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21268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4303.93653924474</v>
      </c>
      <c r="B224" s="102" t="str">
        <f aca="false">B182</f>
        <v>239.99</v>
      </c>
      <c r="C224" s="102"/>
      <c r="D224" s="112"/>
      <c r="E224" s="102" t="n">
        <f aca="false">E182</f>
        <v>25821.9265392447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574.123016851398</v>
      </c>
      <c r="B230" s="102" t="n">
        <f aca="false">B167</f>
        <v>14.175</v>
      </c>
      <c r="C230" s="185"/>
      <c r="D230" s="185"/>
      <c r="E230" s="102" t="n">
        <f aca="false">E167</f>
        <v>588.298016851398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J18*0.000006*100*1.2</f>
        <v>15.06816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5.02272</v>
      </c>
      <c r="B236" s="102" t="n">
        <f aca="false">E233+A236</f>
        <v>20.09088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0</v>
      </c>
      <c r="B240" s="102" t="n">
        <f aca="false">B188</f>
        <v>166.15625</v>
      </c>
      <c r="C240" s="92"/>
      <c r="D240" s="92"/>
      <c r="E240" s="102" t="n">
        <f aca="false">IF(E105="YES",(H36*A108)*0.1,0)</f>
        <v>6.3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272.447916666667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0.137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2829.61653924474</v>
      </c>
      <c r="C254" s="196"/>
      <c r="D254" s="197" t="s">
        <v>217</v>
      </c>
      <c r="E254" s="197"/>
      <c r="F254" s="199" t="n">
        <f aca="false">F261+F267+F269+B270+B271</f>
        <v>199.3875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162.991666666667</v>
      </c>
      <c r="C255" s="196"/>
      <c r="D255" s="197" t="s">
        <v>219</v>
      </c>
      <c r="E255" s="197"/>
      <c r="F255" s="199" t="n">
        <f aca="false">(B254-F254)+B255</f>
        <v>2793.2207059114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0.072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0.137</v>
      </c>
      <c r="C260" s="42"/>
      <c r="D260" s="165" t="s">
        <v>216</v>
      </c>
      <c r="E260" s="165"/>
      <c r="F260" s="145" t="n">
        <f aca="false">B254</f>
        <v>2829.61653924474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199.3875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63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2793.2207059114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70" colorId="64" zoomScale="85" zoomScaleNormal="85" zoomScalePageLayoutView="100" workbookViewId="0">
      <selection pane="topLeft" activeCell="A182" activeCellId="1" sqref="A191 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16745</v>
      </c>
      <c r="C3" s="437" t="n">
        <v>0</v>
      </c>
      <c r="D3" s="437" t="n">
        <v>0</v>
      </c>
      <c r="E3" s="437"/>
      <c r="F3" s="437" t="n">
        <v>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</v>
      </c>
      <c r="C4" s="123" t="n">
        <v>0</v>
      </c>
      <c r="D4" s="123" t="n">
        <v>0</v>
      </c>
      <c r="E4" s="123"/>
      <c r="F4" s="123" t="n">
        <v>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16745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16745</v>
      </c>
      <c r="F9" s="151"/>
      <c r="G9" s="135"/>
      <c r="H9" s="439" t="n">
        <f aca="false">B7+D7+F7+H3</f>
        <v>16745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695</v>
      </c>
      <c r="I10" s="2"/>
      <c r="J10" s="2"/>
      <c r="L10" s="15" t="s">
        <v>1</v>
      </c>
      <c r="M10" s="9" t="n">
        <f aca="false">H15-H11-M8</f>
        <v>17440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3488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275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21268</v>
      </c>
      <c r="I15" s="2"/>
      <c r="J15" s="16" t="n">
        <f aca="false">H15</f>
        <v>21268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20928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21268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45400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385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248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20268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500.363636363636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500.363636363636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20928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17002.4078787606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199.3875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20268</v>
      </c>
      <c r="C81" s="92"/>
      <c r="D81" s="92"/>
      <c r="E81" s="112"/>
      <c r="F81" s="24" t="s">
        <v>106</v>
      </c>
      <c r="G81" s="26" t="n">
        <f aca="false">B81</f>
        <v>20268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5255.82391109543</v>
      </c>
      <c r="C86" s="92" t="n">
        <f aca="false">(B82/((1+B84)^(B85+1)))</f>
        <v>5255.82391109543</v>
      </c>
      <c r="D86" s="92"/>
      <c r="E86" s="112"/>
      <c r="F86" s="30" t="s">
        <v>111</v>
      </c>
      <c r="G86" s="32" t="n">
        <f aca="false">(G82/((1+G84)^(G85+1)))</f>
        <v>6024.37295128565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15012.1760889046</v>
      </c>
      <c r="C88" s="92" t="n">
        <f aca="false">B81-B86</f>
        <v>15012.1760889046</v>
      </c>
      <c r="D88" s="92"/>
      <c r="E88" s="112"/>
      <c r="F88" s="30" t="s">
        <v>113</v>
      </c>
      <c r="G88" s="32" t="n">
        <f aca="false">G81-G86</f>
        <v>14243.6270487143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546.961609847631</v>
      </c>
      <c r="C89" s="92" t="n">
        <f aca="false">(B88/B87)</f>
        <v>546.961609847631</v>
      </c>
      <c r="D89" s="92"/>
      <c r="E89" s="112"/>
      <c r="F89" s="30" t="s">
        <v>114</v>
      </c>
      <c r="G89" s="32" t="n">
        <f aca="false">(G88/G87)</f>
        <v>486.005136521857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17502.7715151242</v>
      </c>
      <c r="C90" s="92"/>
      <c r="D90" s="92"/>
      <c r="E90" s="112"/>
      <c r="F90" s="30" t="s">
        <v>115</v>
      </c>
      <c r="G90" s="32" t="n">
        <f aca="false">((G89*(G85))+G77)</f>
        <v>15552.1643686994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17502.7715151242</v>
      </c>
      <c r="C92" s="92"/>
      <c r="D92" s="92"/>
      <c r="E92" s="112"/>
      <c r="F92" s="55" t="s">
        <v>117</v>
      </c>
      <c r="G92" s="64" t="n">
        <f aca="false">(G90+G91)</f>
        <v>15552.1643686994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546.961609847631</v>
      </c>
      <c r="C95" s="92"/>
      <c r="D95" s="92"/>
      <c r="E95" s="112"/>
      <c r="F95" s="94" t="s">
        <v>119</v>
      </c>
      <c r="G95" s="95" t="n">
        <f aca="false">G92/(G85)</f>
        <v>486.005136521857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546.961609847631</v>
      </c>
      <c r="C96" s="92"/>
      <c r="D96" s="92"/>
      <c r="E96" s="112"/>
      <c r="F96" s="96" t="s">
        <v>120</v>
      </c>
      <c r="G96" s="97" t="n">
        <f aca="false">G94+G95</f>
        <v>486.005136521857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/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s">
        <v>18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 t="s">
        <v>18</v>
      </c>
      <c r="B120" s="115" t="n">
        <v>0</v>
      </c>
      <c r="C120" s="116" t="s">
        <v>149</v>
      </c>
      <c r="D120" s="115" t="s">
        <v>148</v>
      </c>
      <c r="E120" s="117" t="n">
        <v>0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16745</v>
      </c>
      <c r="C121" s="120" t="n">
        <f aca="false">B121</f>
        <v>16745</v>
      </c>
      <c r="D121" s="119" t="n">
        <f aca="false">D3</f>
        <v>0</v>
      </c>
      <c r="E121" s="120" t="n">
        <f aca="false">D121</f>
        <v>0</v>
      </c>
      <c r="F121" s="119" t="n">
        <f aca="false">F3</f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f aca="false">B122</f>
        <v>0</v>
      </c>
      <c r="D122" s="122" t="n">
        <f aca="false">D4</f>
        <v>0</v>
      </c>
      <c r="E122" s="123" t="n">
        <f aca="false">D122</f>
        <v>0</v>
      </c>
      <c r="F122" s="122" t="n">
        <f aca="false">F4</f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f aca="false">B123</f>
        <v>0</v>
      </c>
      <c r="D123" s="129" t="n">
        <f aca="false">D5</f>
        <v>0</v>
      </c>
      <c r="E123" s="120" t="n">
        <f aca="false">D123</f>
        <v>0</v>
      </c>
      <c r="F123" s="129" t="n">
        <f aca="false">F5</f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16745</v>
      </c>
      <c r="C125" s="132" t="n">
        <f aca="false">C121-C124</f>
        <v>16745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16745</v>
      </c>
      <c r="H135" s="152" t="n">
        <f aca="false">C125+E125+G125+H128</f>
        <v>16745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695</v>
      </c>
      <c r="H136" s="32" t="n">
        <f aca="false">G136</f>
        <v>695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3488</v>
      </c>
      <c r="H137" s="32" t="n">
        <f aca="false">(H135+H136)*20%</f>
        <v>3488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275</v>
      </c>
      <c r="H139" s="32" t="n">
        <f aca="false">G139</f>
        <v>275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21268</v>
      </c>
      <c r="H141" s="156" t="n">
        <f aca="false">(H135+H136+H139+H140+H137)-H138</f>
        <v>21268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21268</v>
      </c>
      <c r="H147" s="163" t="n">
        <f aca="false">H141-((H144*1.2)+(H145*1.2)+(H146*1.2)+(H142*1.2))</f>
        <v>21268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0</v>
      </c>
      <c r="I148" s="1" t="n">
        <f aca="false">(H148-G81)/1.2</f>
        <v>-16890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21268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 t="n">
        <v>0</v>
      </c>
      <c r="F161" s="22"/>
      <c r="G161" s="22" t="n">
        <v>0</v>
      </c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 t="n">
        <v>0</v>
      </c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546.961609847631</v>
      </c>
      <c r="B167" s="176" t="str">
        <f aca="false">B94</f>
        <v>0</v>
      </c>
      <c r="C167" s="173"/>
      <c r="D167" s="173"/>
      <c r="E167" s="176" t="n">
        <f aca="false">B96</f>
        <v>546.961609847631</v>
      </c>
      <c r="F167" s="22"/>
      <c r="G167" s="22" t="n">
        <f aca="false">ROUND(G95,2)</f>
        <v>486.01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33</v>
      </c>
      <c r="B170" s="179" t="str">
        <f aca="false">H30</f>
        <v>5000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17440</v>
      </c>
      <c r="B173" s="102" t="n">
        <f aca="false">H137</f>
        <v>3488</v>
      </c>
      <c r="C173" s="185"/>
      <c r="D173" s="22"/>
      <c r="E173" s="181" t="n">
        <f aca="false">H139+H140</f>
        <v>340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21268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21268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3434.77151512419</v>
      </c>
      <c r="B182" s="102" t="str">
        <f aca="false">B114</f>
        <v>199.99</v>
      </c>
      <c r="C182" s="102"/>
      <c r="D182" s="22"/>
      <c r="E182" s="102" t="n">
        <f aca="false">E179+A182+(B182*1.2)+A185</f>
        <v>24952.7595151242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A179+B182*1.2</f>
        <v>239.988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4.1856</v>
      </c>
      <c r="B188" s="102" t="n">
        <f aca="false">(G158*B67)/1.2</f>
        <v>166.15625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266.14625</v>
      </c>
      <c r="C191" s="92"/>
      <c r="D191" s="92"/>
      <c r="E191" s="102" t="n">
        <f aca="false">H148</f>
        <v>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546.961609847631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IF(A40=0,((G167*(B59+1))-E179),((G167*B59)+E185-E179-A185))</f>
        <v>1484.32</v>
      </c>
      <c r="B201" s="185" t="n">
        <f aca="false">E179+A201+(B182*1.2)+A185</f>
        <v>23002.308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546.961609847631</v>
      </c>
      <c r="B212" s="176" t="str">
        <f aca="false">B167</f>
        <v>0</v>
      </c>
      <c r="C212" s="173"/>
      <c r="D212" s="173"/>
      <c r="E212" s="176" t="n">
        <f aca="false">E167</f>
        <v>546.961609847631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17440</v>
      </c>
      <c r="B215" s="102" t="n">
        <f aca="false">B173</f>
        <v>3488</v>
      </c>
      <c r="C215" s="185"/>
      <c r="D215" s="112"/>
      <c r="E215" s="181" t="n">
        <f aca="false">E173</f>
        <v>340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21268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21268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3434.77151512419</v>
      </c>
      <c r="B224" s="102" t="str">
        <f aca="false">B182</f>
        <v>199.99</v>
      </c>
      <c r="C224" s="102"/>
      <c r="D224" s="112"/>
      <c r="E224" s="102" t="n">
        <f aca="false">E182</f>
        <v>24952.7595151242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546.961609847631</v>
      </c>
      <c r="B230" s="102" t="str">
        <f aca="false">B167</f>
        <v>0</v>
      </c>
      <c r="C230" s="185"/>
      <c r="D230" s="185"/>
      <c r="E230" s="102" t="n">
        <f aca="false">E167</f>
        <v>546.961609847631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J18*0.000006*100</f>
        <v>12.5568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4.1856</v>
      </c>
      <c r="B236" s="102" t="n">
        <f aca="false">E233+A236</f>
        <v>16.7424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0</v>
      </c>
      <c r="B240" s="102" t="n">
        <f aca="false">B188</f>
        <v>166.15625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266.14625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1960.45151512419</v>
      </c>
      <c r="C254" s="196"/>
      <c r="D254" s="197" t="s">
        <v>217</v>
      </c>
      <c r="E254" s="197"/>
      <c r="F254" s="199" t="n">
        <f aca="false">F261+F267+F269+B270+B271</f>
        <v>199.3875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1861.05401512419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B254</f>
        <v>1960.45151512419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199.3875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1861.05401512419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A182" activeCellId="1" sqref="A191 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17895</v>
      </c>
      <c r="C3" s="437" t="n">
        <v>0</v>
      </c>
      <c r="D3" s="437" t="n">
        <v>0</v>
      </c>
      <c r="E3" s="437"/>
      <c r="F3" s="437" t="n">
        <v>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</v>
      </c>
      <c r="C4" s="123" t="n">
        <v>0</v>
      </c>
      <c r="D4" s="123" t="n">
        <v>0</v>
      </c>
      <c r="E4" s="123"/>
      <c r="F4" s="123" t="n">
        <v>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16745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16745</v>
      </c>
      <c r="F9" s="151"/>
      <c r="G9" s="135"/>
      <c r="H9" s="439" t="n">
        <f aca="false">B7+D7+F7+H3</f>
        <v>16745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695</v>
      </c>
      <c r="I10" s="2"/>
      <c r="J10" s="2"/>
      <c r="L10" s="15" t="s">
        <v>1</v>
      </c>
      <c r="M10" s="9" t="n">
        <f aca="false">H15-H11-M8</f>
        <v>17440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3488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290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55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21268</v>
      </c>
      <c r="I15" s="2"/>
      <c r="J15" s="16" t="n">
        <f aca="false">H15</f>
        <v>21268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20928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21268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45400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9.54545454545455</v>
      </c>
      <c r="E32" s="225"/>
      <c r="F32" s="62"/>
      <c r="G32" s="226" t="s">
        <v>243</v>
      </c>
      <c r="H32" s="224" t="n">
        <f aca="false">A41</f>
        <v>9.54545454545455</v>
      </c>
      <c r="J32" s="43" t="s">
        <v>37</v>
      </c>
      <c r="K32" s="44" t="s">
        <v>383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509.545454545455</v>
      </c>
      <c r="B35" s="222" t="s">
        <v>248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s">
        <v>384</v>
      </c>
      <c r="J36" s="43" t="s">
        <v>51</v>
      </c>
      <c r="K36" s="51" t="n">
        <f aca="false">K32-K34</f>
        <v>20268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9.54545454545455</v>
      </c>
      <c r="B41" s="240" t="n">
        <f aca="false">IF(B38="YES",D38+A41,D38)</f>
        <v>509.545454545455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9.54545454545455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509.909090909091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509.909090909091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20928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0.072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16992.8624242151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199.3875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20268</v>
      </c>
      <c r="C81" s="92"/>
      <c r="D81" s="92"/>
      <c r="E81" s="112"/>
      <c r="F81" s="24" t="s">
        <v>106</v>
      </c>
      <c r="G81" s="26" t="n">
        <f aca="false">B81</f>
        <v>20268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5255.82391109543</v>
      </c>
      <c r="C86" s="92" t="n">
        <f aca="false">(B82/((1+B84)^(B85+1)))</f>
        <v>5255.82391109543</v>
      </c>
      <c r="D86" s="92"/>
      <c r="E86" s="112"/>
      <c r="F86" s="30" t="s">
        <v>111</v>
      </c>
      <c r="G86" s="32" t="n">
        <f aca="false">(G82/((1+G84)^(G85+1)))</f>
        <v>6024.37295128565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15012.1760889046</v>
      </c>
      <c r="C88" s="92" t="n">
        <f aca="false">B81-B86</f>
        <v>15012.1760889046</v>
      </c>
      <c r="D88" s="92"/>
      <c r="E88" s="112"/>
      <c r="F88" s="30" t="s">
        <v>113</v>
      </c>
      <c r="G88" s="32" t="n">
        <f aca="false">G81-G86</f>
        <v>14243.6270487143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546.961609847631</v>
      </c>
      <c r="C89" s="92" t="n">
        <f aca="false">(B88/B87)</f>
        <v>546.961609847631</v>
      </c>
      <c r="D89" s="92"/>
      <c r="E89" s="112"/>
      <c r="F89" s="30" t="s">
        <v>114</v>
      </c>
      <c r="G89" s="32" t="n">
        <f aca="false">(G88/G87)</f>
        <v>486.005136521857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17502.7715151242</v>
      </c>
      <c r="C90" s="92"/>
      <c r="D90" s="92"/>
      <c r="E90" s="112"/>
      <c r="F90" s="30" t="s">
        <v>115</v>
      </c>
      <c r="G90" s="32" t="n">
        <f aca="false">((G89*(G85))+G77)</f>
        <v>15552.1643686994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17502.7715151242</v>
      </c>
      <c r="C92" s="92"/>
      <c r="D92" s="92"/>
      <c r="E92" s="112"/>
      <c r="F92" s="55" t="s">
        <v>117</v>
      </c>
      <c r="G92" s="64" t="n">
        <f aca="false">(G90+G91)</f>
        <v>15552.1643686994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n">
        <f aca="false">IF(B38="YES",((H36/B85)*(1+A108)*1.2),"0")</f>
        <v>15.35625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546.961609847631</v>
      </c>
      <c r="C95" s="92"/>
      <c r="D95" s="92"/>
      <c r="E95" s="112"/>
      <c r="F95" s="94" t="s">
        <v>119</v>
      </c>
      <c r="G95" s="95" t="n">
        <f aca="false">G92/(G85)</f>
        <v>486.005136521857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562.317859847631</v>
      </c>
      <c r="C96" s="92"/>
      <c r="D96" s="92"/>
      <c r="E96" s="112"/>
      <c r="F96" s="96" t="s">
        <v>120</v>
      </c>
      <c r="G96" s="97" t="n">
        <f aca="false">G94+G95</f>
        <v>486.005136521857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272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18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/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16745</v>
      </c>
      <c r="C121" s="120" t="n">
        <f aca="false">B121</f>
        <v>16745</v>
      </c>
      <c r="D121" s="119" t="n">
        <f aca="false">D3</f>
        <v>0</v>
      </c>
      <c r="E121" s="120" t="n">
        <f aca="false">D121</f>
        <v>0</v>
      </c>
      <c r="F121" s="119" t="n">
        <f aca="false">F3</f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f aca="false">B122</f>
        <v>0</v>
      </c>
      <c r="D122" s="122" t="n">
        <f aca="false">D4</f>
        <v>0</v>
      </c>
      <c r="E122" s="123" t="n">
        <f aca="false">D122</f>
        <v>0</v>
      </c>
      <c r="F122" s="122" t="n">
        <f aca="false">F4</f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f aca="false">B123</f>
        <v>0</v>
      </c>
      <c r="D123" s="129" t="n">
        <f aca="false">D5</f>
        <v>0</v>
      </c>
      <c r="E123" s="120" t="n">
        <f aca="false">D123</f>
        <v>0</v>
      </c>
      <c r="F123" s="129" t="n">
        <f aca="false">F5</f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16745</v>
      </c>
      <c r="C125" s="132" t="n">
        <f aca="false">C121-C124</f>
        <v>16745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16745</v>
      </c>
      <c r="H135" s="152" t="n">
        <f aca="false">C125+E125+G125+H128</f>
        <v>16745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695</v>
      </c>
      <c r="H136" s="32" t="n">
        <f aca="false">G136</f>
        <v>695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3488</v>
      </c>
      <c r="H137" s="32" t="n">
        <f aca="false">(H135+H136)*20%</f>
        <v>3488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275</v>
      </c>
      <c r="H139" s="32" t="n">
        <f aca="false">G139</f>
        <v>275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21268</v>
      </c>
      <c r="H141" s="156" t="n">
        <f aca="false">(H135+H136+H139+H140+H137)-H138</f>
        <v>21268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21268</v>
      </c>
      <c r="H147" s="163" t="n">
        <f aca="false">H141-((H144*1.2)+(H145*1.2)+(H146*1.2)+(H142*1.2))</f>
        <v>21268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0</v>
      </c>
      <c r="I148" s="1" t="n">
        <f aca="false">(H148-G81)/1.2</f>
        <v>-16890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21268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546.961609847631</v>
      </c>
      <c r="B167" s="176" t="n">
        <f aca="false">B94</f>
        <v>15.35625</v>
      </c>
      <c r="C167" s="173"/>
      <c r="D167" s="173"/>
      <c r="E167" s="176" t="n">
        <f aca="false">B96</f>
        <v>562.317859847631</v>
      </c>
      <c r="F167" s="22"/>
      <c r="G167" s="22" t="n">
        <f aca="false">ROUND(G95,2)</f>
        <v>486.01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33</v>
      </c>
      <c r="B170" s="228" t="str">
        <f aca="false">H30</f>
        <v>5000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17440</v>
      </c>
      <c r="B173" s="102" t="n">
        <f aca="false">H137</f>
        <v>3488</v>
      </c>
      <c r="C173" s="185"/>
      <c r="D173" s="22"/>
      <c r="E173" s="181" t="n">
        <f aca="false">H139+H140</f>
        <v>340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21268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21268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3434.77151512419</v>
      </c>
      <c r="B182" s="102" t="str">
        <f aca="false">B114</f>
        <v>239.99</v>
      </c>
      <c r="C182" s="102"/>
      <c r="D182" s="22"/>
      <c r="E182" s="102" t="n">
        <f aca="false">E179+A182+B182+A185</f>
        <v>24952.7615151242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5.02272</v>
      </c>
      <c r="B188" s="102" t="n">
        <f aca="false">(G158*B67)/1.2</f>
        <v>166.15625</v>
      </c>
      <c r="C188" s="92"/>
      <c r="D188" s="92"/>
      <c r="E188" s="102" t="n">
        <f aca="false">IF(E105="YES",(H36*A108)*0.1,0)</f>
        <v>9.45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275.597916666667</v>
      </c>
      <c r="C191" s="92"/>
      <c r="D191" s="92"/>
      <c r="E191" s="102" t="n">
        <f aca="false">H148</f>
        <v>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562.317859847631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IF(A40=0,((G167*(B59+1))-E179),((G167*B59)+E185-E179-A185))</f>
        <v>1484.32</v>
      </c>
      <c r="B201" s="185" t="n">
        <f aca="false">E179+A201+B182+A185</f>
        <v>23002.31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546.961609847631</v>
      </c>
      <c r="B212" s="176" t="n">
        <f aca="false">B167</f>
        <v>15.35625</v>
      </c>
      <c r="C212" s="173"/>
      <c r="D212" s="173"/>
      <c r="E212" s="176" t="n">
        <f aca="false">E167</f>
        <v>562.317859847631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17440</v>
      </c>
      <c r="B215" s="102" t="n">
        <f aca="false">B173</f>
        <v>3488</v>
      </c>
      <c r="C215" s="185"/>
      <c r="D215" s="112"/>
      <c r="E215" s="181" t="n">
        <f aca="false">E173</f>
        <v>340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21268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21268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3434.77151512419</v>
      </c>
      <c r="B224" s="102" t="str">
        <f aca="false">B182</f>
        <v>239.99</v>
      </c>
      <c r="C224" s="102"/>
      <c r="D224" s="112"/>
      <c r="E224" s="102" t="n">
        <f aca="false">E182</f>
        <v>24952.7615151242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546.961609847631</v>
      </c>
      <c r="B230" s="102" t="n">
        <f aca="false">B167</f>
        <v>15.35625</v>
      </c>
      <c r="C230" s="185"/>
      <c r="D230" s="185"/>
      <c r="E230" s="102" t="n">
        <f aca="false">E167</f>
        <v>562.317859847631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A188</f>
        <v>5.02272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0</v>
      </c>
      <c r="B240" s="102" t="n">
        <f aca="false">B188</f>
        <v>166.15625</v>
      </c>
      <c r="C240" s="92"/>
      <c r="D240" s="92"/>
      <c r="E240" s="102" t="n">
        <f aca="false">E188</f>
        <v>9.45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275.597916666667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1960.45151512419</v>
      </c>
      <c r="C254" s="196"/>
      <c r="D254" s="197" t="s">
        <v>217</v>
      </c>
      <c r="E254" s="197"/>
      <c r="F254" s="199" t="n">
        <f aca="false">F261+F267+F269+B270+B271</f>
        <v>199.3875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194.491666666667</v>
      </c>
      <c r="C255" s="196"/>
      <c r="D255" s="197" t="s">
        <v>219</v>
      </c>
      <c r="E255" s="197"/>
      <c r="F255" s="199" t="n">
        <f aca="false">(B254-F254)+B255</f>
        <v>1955.55568179086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B254</f>
        <v>1960.45151512419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199.3875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0.3</v>
      </c>
      <c r="C262" s="31"/>
      <c r="D262" s="165" t="s">
        <v>223</v>
      </c>
      <c r="E262" s="165"/>
      <c r="F262" s="145" t="n">
        <f aca="false">E240*10</f>
        <v>94.5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1955.55568179086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73" colorId="64" zoomScale="85" zoomScaleNormal="85" zoomScalePageLayoutView="100" workbookViewId="0">
      <selection pane="topLeft" activeCell="B190" activeCellId="1" sqref="A191 B190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17895</v>
      </c>
      <c r="C3" s="495" t="n">
        <v>0</v>
      </c>
      <c r="D3" s="495" t="n">
        <v>0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</v>
      </c>
      <c r="C4" s="497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340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16745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695</v>
      </c>
      <c r="F10" s="62"/>
      <c r="G10" s="62"/>
      <c r="H10" s="62"/>
      <c r="I10" s="15" t="s">
        <v>1</v>
      </c>
      <c r="J10" s="9" t="n">
        <f aca="false">E15-E11-J8</f>
        <v>17440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3488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290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55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21268</v>
      </c>
      <c r="F15" s="62"/>
      <c r="G15" s="273" t="n">
        <f aca="false">E15</f>
        <v>21268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20928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21268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45400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0.00</v>
      </c>
      <c r="E32" s="225"/>
      <c r="F32" s="62"/>
      <c r="G32" s="226" t="s">
        <v>243</v>
      </c>
      <c r="H32" s="224" t="str">
        <f aca="false">A41</f>
        <v>0.00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249</v>
      </c>
      <c r="B41" s="240" t="n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str">
        <f aca="false">H32</f>
        <v>0.00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20928</v>
      </c>
      <c r="C67" s="214"/>
      <c r="D67" s="214"/>
      <c r="E67" s="215"/>
      <c r="F67" s="62"/>
      <c r="G67" s="213" t="s">
        <v>14</v>
      </c>
      <c r="H67" s="290" t="n">
        <f aca="false">G18</f>
        <v>20928</v>
      </c>
      <c r="I67" s="214"/>
      <c r="J67" s="214"/>
      <c r="K67" s="215"/>
      <c r="L67" s="62"/>
      <c r="M67" s="213" t="s">
        <v>14</v>
      </c>
      <c r="N67" s="290" t="n">
        <f aca="false">G18</f>
        <v>20928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1464.96</v>
      </c>
      <c r="C70" s="214" t="n">
        <v>10000</v>
      </c>
      <c r="D70" s="290" t="n">
        <f aca="false">B70-A149</f>
        <v>1464.96</v>
      </c>
      <c r="E70" s="215" t="n">
        <f aca="false">D70/12</f>
        <v>122.08</v>
      </c>
      <c r="F70" s="62"/>
      <c r="G70" s="284" t="s">
        <v>91</v>
      </c>
      <c r="H70" s="132" t="n">
        <f aca="false">H67*H69</f>
        <v>1464.96</v>
      </c>
      <c r="I70" s="214"/>
      <c r="J70" s="290" t="n">
        <f aca="false">H70-G151</f>
        <v>1464.96</v>
      </c>
      <c r="K70" s="215"/>
      <c r="L70" s="62"/>
      <c r="M70" s="284" t="s">
        <v>91</v>
      </c>
      <c r="N70" s="132" t="n">
        <f aca="false">N67*N69</f>
        <v>1464.96</v>
      </c>
      <c r="O70" s="214"/>
      <c r="P70" s="290" t="n">
        <f aca="false">N70-M151</f>
        <v>1464.96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209.28</v>
      </c>
      <c r="C73" s="214"/>
      <c r="D73" s="290"/>
      <c r="E73" s="215"/>
      <c r="F73" s="62"/>
      <c r="G73" s="284" t="s">
        <v>94</v>
      </c>
      <c r="H73" s="132" t="n">
        <f aca="false">H67*H72</f>
        <v>104.64</v>
      </c>
      <c r="I73" s="214"/>
      <c r="J73" s="290"/>
      <c r="K73" s="215"/>
      <c r="L73" s="62"/>
      <c r="M73" s="284" t="s">
        <v>94</v>
      </c>
      <c r="N73" s="132" t="n">
        <f aca="false">N67*N72</f>
        <v>104.64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2791.62666666667</v>
      </c>
      <c r="C87" s="214"/>
      <c r="D87" s="214"/>
      <c r="E87" s="215"/>
      <c r="F87" s="62"/>
      <c r="G87" s="302" t="s">
        <v>103</v>
      </c>
      <c r="H87" s="303" t="n">
        <f aca="false">SUM(J70:J86)</f>
        <v>4591.46</v>
      </c>
      <c r="I87" s="214"/>
      <c r="J87" s="214"/>
      <c r="K87" s="215"/>
      <c r="L87" s="62"/>
      <c r="M87" s="302" t="s">
        <v>103</v>
      </c>
      <c r="N87" s="303" t="n">
        <f aca="false">SUM(P70:P86)</f>
        <v>4578.96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232.635555555556</v>
      </c>
      <c r="C88" s="214"/>
      <c r="D88" s="214"/>
      <c r="E88" s="215"/>
      <c r="F88" s="62"/>
      <c r="G88" s="213" t="s">
        <v>104</v>
      </c>
      <c r="H88" s="299" t="n">
        <f aca="false">H87/H29</f>
        <v>382.621666666667</v>
      </c>
      <c r="I88" s="214"/>
      <c r="J88" s="214"/>
      <c r="K88" s="215"/>
      <c r="L88" s="62"/>
      <c r="M88" s="213" t="s">
        <v>104</v>
      </c>
      <c r="N88" s="299" t="n">
        <f aca="false">N87/H29</f>
        <v>381.58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8803.62666666667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12724.152</v>
      </c>
      <c r="I91" s="214"/>
      <c r="J91" s="214"/>
      <c r="K91" s="215"/>
      <c r="L91" s="62"/>
      <c r="M91" s="287" t="s">
        <v>115</v>
      </c>
      <c r="N91" s="130" t="n">
        <f aca="false">((N89*H29)+N87)</f>
        <v>10590.96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74.5769100443727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89.8235820895522</v>
      </c>
      <c r="I92" s="214"/>
      <c r="J92" s="214"/>
      <c r="K92" s="215"/>
      <c r="L92" s="62"/>
      <c r="M92" s="213" t="s">
        <v>116</v>
      </c>
      <c r="N92" s="299" t="n">
        <f aca="false">(N91/(1-N76))*N76</f>
        <v>89.7176926179911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8878.20357671104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14813.9755820896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12680.677692618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739.850298059253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739.850298059253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 t="s">
        <v>129</v>
      </c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342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n">
        <v>199.99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 t="s">
        <v>18</v>
      </c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0</v>
      </c>
      <c r="C108" s="106"/>
      <c r="D108" s="106" t="n">
        <v>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19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20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 t="n">
        <v>0</v>
      </c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739.850298059253</v>
      </c>
      <c r="B134" s="320" t="n">
        <f aca="false">IF(A111="YES",B95,0)</f>
        <v>0</v>
      </c>
      <c r="C134" s="325"/>
      <c r="D134" s="320" t="n">
        <f aca="false">B97</f>
        <v>739.850298059253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Monthly in advance</v>
      </c>
      <c r="B137" s="37" t="n">
        <f aca="false">B96*B63</f>
        <v>739.850298059253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739.850298059253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0.127608</v>
      </c>
      <c r="H142" s="102" t="n">
        <f aca="false">IF(G111="YES",E15*0.000002,0)</f>
        <v>0.042536</v>
      </c>
      <c r="I142" s="102"/>
      <c r="J142" s="102" t="n">
        <f aca="false">G142+H142</f>
        <v>0.170144</v>
      </c>
      <c r="K142" s="104"/>
      <c r="L142" s="62"/>
      <c r="M142" s="110" t="n">
        <f aca="false">E15*0.000006</f>
        <v>0.127608</v>
      </c>
      <c r="N142" s="102" t="n">
        <f aca="false">IF(M111="YES",E15*0.000002,0)</f>
        <v>0.042536</v>
      </c>
      <c r="O142" s="102"/>
      <c r="P142" s="102" t="n">
        <f aca="false">M142+N142</f>
        <v>0.170144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739.850298059253</v>
      </c>
      <c r="B143" s="37" t="n">
        <f aca="false">IF(A111="YES",B95,0)</f>
        <v>0</v>
      </c>
      <c r="C143" s="316"/>
      <c r="D143" s="37" t="n">
        <f aca="false">B97</f>
        <v>739.850298059253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87.2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87.2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12.5568</v>
      </c>
      <c r="B146" s="342" t="n">
        <f aca="false">G18*0.000002*100</f>
        <v>4.1856</v>
      </c>
      <c r="C146" s="316"/>
      <c r="D146" s="342" t="n">
        <f aca="false">A146+B146</f>
        <v>16.7424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1307.188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1267.19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209.28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709.27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739.850298059253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739.850298059253</v>
      </c>
      <c r="B177" s="354" t="n">
        <f aca="false">IF(A111="YES",B95,0)</f>
        <v>0</v>
      </c>
      <c r="C177" s="357"/>
      <c r="D177" s="354" t="n">
        <f aca="false">B91</f>
        <v>8803.62666666667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Monthly in advance</v>
      </c>
      <c r="B180" s="102" t="n">
        <f aca="false">B96*B63</f>
        <v>739.850298059253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739.850298059253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739.850298059253</v>
      </c>
      <c r="B186" s="102" t="n">
        <f aca="false">IF(A111="YES",B95,0)</f>
        <v>0</v>
      </c>
      <c r="C186" s="352"/>
      <c r="D186" s="102" t="n">
        <f aca="false">B97</f>
        <v>739.850298059253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12.5568</v>
      </c>
      <c r="B189" s="364" t="n">
        <f aca="false">G18*0.000002*100</f>
        <v>4.1856</v>
      </c>
      <c r="C189" s="352"/>
      <c r="D189" s="364" t="n">
        <f aca="false">A189+B189</f>
        <v>16.7424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209.28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709.27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1464.96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209.28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1595.67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1464.96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209.28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1595.67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74.5769100443727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9" colorId="64" zoomScale="85" zoomScaleNormal="85" zoomScalePageLayoutView="100" workbookViewId="0">
      <selection pane="topLeft" activeCell="E125" activeCellId="1" sqref="A191 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17895</v>
      </c>
      <c r="C3" s="495" t="n">
        <v>0</v>
      </c>
      <c r="D3" s="495" t="n">
        <v>0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</v>
      </c>
      <c r="C4" s="497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340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16745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695</v>
      </c>
      <c r="F10" s="62"/>
      <c r="G10" s="62"/>
      <c r="H10" s="62"/>
      <c r="I10" s="15" t="s">
        <v>1</v>
      </c>
      <c r="J10" s="9" t="n">
        <f aca="false">E15-E11-J8</f>
        <v>17440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3488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290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55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21268</v>
      </c>
      <c r="F15" s="62"/>
      <c r="G15" s="273" t="n">
        <f aca="false">E15</f>
        <v>21268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20928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21268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45400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20928</v>
      </c>
      <c r="C67" s="214"/>
      <c r="D67" s="214"/>
      <c r="E67" s="215"/>
      <c r="F67" s="62"/>
      <c r="G67" s="213" t="s">
        <v>14</v>
      </c>
      <c r="H67" s="290" t="n">
        <f aca="false">G18</f>
        <v>20928</v>
      </c>
      <c r="I67" s="214"/>
      <c r="J67" s="214"/>
      <c r="K67" s="215"/>
      <c r="L67" s="62"/>
      <c r="M67" s="213" t="s">
        <v>14</v>
      </c>
      <c r="N67" s="290" t="n">
        <f aca="false">G18</f>
        <v>20928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1464.96</v>
      </c>
      <c r="C70" s="214" t="n">
        <v>10000</v>
      </c>
      <c r="D70" s="290" t="n">
        <f aca="false">B70-A149</f>
        <v>1464.96</v>
      </c>
      <c r="E70" s="215" t="n">
        <f aca="false">D70/12</f>
        <v>122.08</v>
      </c>
      <c r="F70" s="62"/>
      <c r="G70" s="284" t="s">
        <v>91</v>
      </c>
      <c r="H70" s="132" t="n">
        <f aca="false">H67*H69</f>
        <v>1464.96</v>
      </c>
      <c r="I70" s="214"/>
      <c r="J70" s="290" t="n">
        <f aca="false">H70-G151</f>
        <v>1464.96</v>
      </c>
      <c r="K70" s="215"/>
      <c r="L70" s="62"/>
      <c r="M70" s="284" t="s">
        <v>91</v>
      </c>
      <c r="N70" s="132" t="n">
        <f aca="false">N67*N69</f>
        <v>1464.96</v>
      </c>
      <c r="O70" s="214"/>
      <c r="P70" s="290" t="n">
        <f aca="false">N70-M151</f>
        <v>1464.96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209.28</v>
      </c>
      <c r="C73" s="214"/>
      <c r="D73" s="290"/>
      <c r="E73" s="215"/>
      <c r="F73" s="62"/>
      <c r="G73" s="284" t="s">
        <v>94</v>
      </c>
      <c r="H73" s="132" t="n">
        <f aca="false">H67*H72</f>
        <v>104.64</v>
      </c>
      <c r="I73" s="214"/>
      <c r="J73" s="290"/>
      <c r="K73" s="215"/>
      <c r="L73" s="62"/>
      <c r="M73" s="284" t="s">
        <v>94</v>
      </c>
      <c r="N73" s="132" t="n">
        <f aca="false">N67*N72</f>
        <v>104.64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2791.62666666667</v>
      </c>
      <c r="C87" s="214"/>
      <c r="D87" s="214"/>
      <c r="E87" s="215"/>
      <c r="F87" s="62"/>
      <c r="G87" s="302" t="s">
        <v>103</v>
      </c>
      <c r="H87" s="303" t="n">
        <f aca="false">SUM(J70:J86)</f>
        <v>4591.46</v>
      </c>
      <c r="I87" s="214"/>
      <c r="J87" s="214"/>
      <c r="K87" s="215"/>
      <c r="L87" s="62"/>
      <c r="M87" s="302" t="s">
        <v>103</v>
      </c>
      <c r="N87" s="303" t="n">
        <f aca="false">SUM(P70:P86)</f>
        <v>4578.96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232.635555555556</v>
      </c>
      <c r="C88" s="214"/>
      <c r="D88" s="214"/>
      <c r="E88" s="215"/>
      <c r="F88" s="62"/>
      <c r="G88" s="213" t="s">
        <v>104</v>
      </c>
      <c r="H88" s="299" t="n">
        <f aca="false">H87/H29</f>
        <v>382.621666666667</v>
      </c>
      <c r="I88" s="214"/>
      <c r="J88" s="214"/>
      <c r="K88" s="215"/>
      <c r="L88" s="62"/>
      <c r="M88" s="213" t="s">
        <v>104</v>
      </c>
      <c r="N88" s="299" t="n">
        <f aca="false">N87/H29</f>
        <v>381.58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10564.352</v>
      </c>
      <c r="C91" s="214"/>
      <c r="D91" s="214"/>
      <c r="E91" s="215"/>
      <c r="F91" s="62"/>
      <c r="G91" s="287" t="s">
        <v>115</v>
      </c>
      <c r="H91" s="130" t="n">
        <f aca="false">((H89*H29)+H87)*1.2</f>
        <v>12724.152</v>
      </c>
      <c r="I91" s="214"/>
      <c r="J91" s="214"/>
      <c r="K91" s="215"/>
      <c r="L91" s="62"/>
      <c r="M91" s="287" t="s">
        <v>115</v>
      </c>
      <c r="N91" s="130" t="n">
        <f aca="false">((N89*H29)+N87)</f>
        <v>10590.96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74.5769100443727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89.8235820895522</v>
      </c>
      <c r="I92" s="214"/>
      <c r="J92" s="214"/>
      <c r="K92" s="215"/>
      <c r="L92" s="62"/>
      <c r="M92" s="213" t="s">
        <v>116</v>
      </c>
      <c r="N92" s="299" t="n">
        <f aca="false">(N91/(1-N76))*N76</f>
        <v>89.7176926179911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10638.9289100444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14813.9755820896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12680.677692618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886.577409170364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886.577409170364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 t="s">
        <v>129</v>
      </c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n">
        <v>239.99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 t="s">
        <v>18</v>
      </c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0</v>
      </c>
      <c r="C108" s="106"/>
      <c r="D108" s="106" t="n">
        <v>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19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 t="n">
        <v>0</v>
      </c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886.577409170364</v>
      </c>
      <c r="B134" s="320" t="n">
        <f aca="false">IF(A111="YES",B95,0)</f>
        <v>0</v>
      </c>
      <c r="C134" s="325"/>
      <c r="D134" s="320" t="n">
        <f aca="false">B97</f>
        <v>886.577409170364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Monthly in advance</v>
      </c>
      <c r="B137" s="37" t="n">
        <f aca="false">B96*B63</f>
        <v>886.577409170364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886.577409170364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0.127608</v>
      </c>
      <c r="H142" s="102" t="n">
        <f aca="false">IF(G111="YES",E15*0.000002,0)</f>
        <v>0.042536</v>
      </c>
      <c r="I142" s="102"/>
      <c r="J142" s="102" t="n">
        <f aca="false">G142+H142</f>
        <v>0.170144</v>
      </c>
      <c r="K142" s="104"/>
      <c r="L142" s="62"/>
      <c r="M142" s="110" t="n">
        <f aca="false">E15*0.000006</f>
        <v>0.127608</v>
      </c>
      <c r="N142" s="102" t="n">
        <f aca="false">IF(M111="YES",E15*0.000002,0)</f>
        <v>0.042536</v>
      </c>
      <c r="O142" s="102"/>
      <c r="P142" s="102" t="n">
        <f aca="false">M142+N142</f>
        <v>0.170144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886.577409170364</v>
      </c>
      <c r="B143" s="37" t="n">
        <f aca="false">IF(A111="YES",B95,0)</f>
        <v>0</v>
      </c>
      <c r="C143" s="316"/>
      <c r="D143" s="37" t="n">
        <f aca="false">B97</f>
        <v>886.577409170364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87.2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87.2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15.06816</v>
      </c>
      <c r="B146" s="342" t="n">
        <f aca="false">G18*0.000002*1.2*100</f>
        <v>5.02272</v>
      </c>
      <c r="C146" s="316"/>
      <c r="D146" s="342" t="n">
        <f aca="false">A146+B146</f>
        <v>20.09088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1307.188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1267.19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209.28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709.271666666667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886.577409170364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886.577409170364</v>
      </c>
      <c r="B177" s="354" t="n">
        <f aca="false">IF(A111="YES",B95,0)</f>
        <v>0</v>
      </c>
      <c r="C177" s="357"/>
      <c r="D177" s="354" t="n">
        <f aca="false">B91</f>
        <v>10564.352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Monthly in advance</v>
      </c>
      <c r="B180" s="102" t="n">
        <f aca="false">B96*B63</f>
        <v>886.577409170364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886.577409170364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886.577409170364</v>
      </c>
      <c r="B186" s="102" t="n">
        <f aca="false">IF(A111="YES",B95,0)</f>
        <v>0</v>
      </c>
      <c r="C186" s="352"/>
      <c r="D186" s="102" t="n">
        <f aca="false">B97</f>
        <v>886.577409170364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15.06816</v>
      </c>
      <c r="B189" s="364" t="n">
        <f aca="false">G18*0.000002*1.2*100</f>
        <v>5.02272</v>
      </c>
      <c r="C189" s="352"/>
      <c r="D189" s="364" t="n">
        <f aca="false">A189+B189</f>
        <v>20.09088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209.28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709.271666666667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1464.96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209.28</v>
      </c>
      <c r="C211" s="319" t="s">
        <v>218</v>
      </c>
      <c r="D211" s="369" t="n">
        <f aca="false">B225+E221+B221+B223</f>
        <v>339.991666666667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1595.67166666667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1464.96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209.28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1595.67166666667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74.5769100443727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72" colorId="64" zoomScale="85" zoomScaleNormal="85" zoomScalePageLayoutView="100" workbookViewId="0">
      <selection pane="topLeft" activeCell="B190" activeCellId="1" sqref="A191 B190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17895</v>
      </c>
      <c r="C3" s="495" t="n">
        <v>0</v>
      </c>
      <c r="D3" s="495" t="n">
        <v>0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</v>
      </c>
      <c r="C4" s="497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340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 t="n">
        <v>23125</v>
      </c>
      <c r="C9" s="482"/>
      <c r="D9" s="482"/>
      <c r="E9" s="498" t="n">
        <f aca="false">B7+C7+D7+E3</f>
        <v>16745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695</v>
      </c>
      <c r="F10" s="62"/>
      <c r="G10" s="62"/>
      <c r="H10" s="62"/>
      <c r="I10" s="15" t="s">
        <v>1</v>
      </c>
      <c r="J10" s="9" t="n">
        <f aca="false">E15-E11-J8</f>
        <v>17440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 t="n">
        <v>0</v>
      </c>
      <c r="C11" s="484"/>
      <c r="D11" s="484"/>
      <c r="E11" s="299" t="n">
        <f aca="false">(E9+E10)*20%</f>
        <v>3488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 t="n">
        <v>0</v>
      </c>
      <c r="C13" s="484"/>
      <c r="D13" s="484"/>
      <c r="E13" s="496" t="n">
        <v>290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55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21268</v>
      </c>
      <c r="F15" s="62"/>
      <c r="G15" s="273" t="n">
        <f aca="false">E15</f>
        <v>21268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20928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21268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45400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0.00</v>
      </c>
      <c r="E32" s="225"/>
      <c r="F32" s="62"/>
      <c r="G32" s="226" t="s">
        <v>243</v>
      </c>
      <c r="H32" s="224" t="str">
        <f aca="false">A41</f>
        <v>0.00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249</v>
      </c>
      <c r="B41" s="240" t="n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str">
        <f aca="false">H32</f>
        <v>0.00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20928</v>
      </c>
      <c r="C67" s="214"/>
      <c r="D67" s="214"/>
      <c r="E67" s="215"/>
      <c r="F67" s="62"/>
      <c r="G67" s="213" t="s">
        <v>14</v>
      </c>
      <c r="H67" s="290" t="n">
        <f aca="false">G18</f>
        <v>20928</v>
      </c>
      <c r="I67" s="214"/>
      <c r="J67" s="214"/>
      <c r="K67" s="215"/>
      <c r="L67" s="62"/>
      <c r="M67" s="213" t="s">
        <v>14</v>
      </c>
      <c r="N67" s="290" t="n">
        <f aca="false">G18</f>
        <v>20928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1464.96</v>
      </c>
      <c r="C70" s="214" t="n">
        <v>10000</v>
      </c>
      <c r="D70" s="290" t="n">
        <f aca="false">B70-A149</f>
        <v>1464.96</v>
      </c>
      <c r="E70" s="215" t="n">
        <f aca="false">D70/12</f>
        <v>122.08</v>
      </c>
      <c r="F70" s="62"/>
      <c r="G70" s="284" t="s">
        <v>91</v>
      </c>
      <c r="H70" s="132" t="n">
        <f aca="false">H67*H69</f>
        <v>1464.96</v>
      </c>
      <c r="I70" s="214"/>
      <c r="J70" s="290" t="n">
        <f aca="false">H70-G151</f>
        <v>1464.96</v>
      </c>
      <c r="K70" s="215"/>
      <c r="L70" s="62"/>
      <c r="M70" s="284" t="s">
        <v>91</v>
      </c>
      <c r="N70" s="132" t="n">
        <f aca="false">N67*N69</f>
        <v>1464.96</v>
      </c>
      <c r="O70" s="214"/>
      <c r="P70" s="290" t="n">
        <f aca="false">N70-M151</f>
        <v>1464.96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209.28</v>
      </c>
      <c r="C73" s="214"/>
      <c r="D73" s="290"/>
      <c r="E73" s="215"/>
      <c r="F73" s="62"/>
      <c r="G73" s="284" t="s">
        <v>94</v>
      </c>
      <c r="H73" s="132" t="n">
        <f aca="false">H67*H72</f>
        <v>104.64</v>
      </c>
      <c r="I73" s="214"/>
      <c r="J73" s="290"/>
      <c r="K73" s="215"/>
      <c r="L73" s="62"/>
      <c r="M73" s="284" t="s">
        <v>94</v>
      </c>
      <c r="N73" s="132" t="n">
        <f aca="false">N67*N72</f>
        <v>104.64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2791.62666666667</v>
      </c>
      <c r="C87" s="214"/>
      <c r="D87" s="214"/>
      <c r="E87" s="215"/>
      <c r="F87" s="62"/>
      <c r="G87" s="302" t="s">
        <v>103</v>
      </c>
      <c r="H87" s="303" t="n">
        <f aca="false">SUM(J70:J86)</f>
        <v>4591.46</v>
      </c>
      <c r="I87" s="214"/>
      <c r="J87" s="214"/>
      <c r="K87" s="215"/>
      <c r="L87" s="62"/>
      <c r="M87" s="302" t="s">
        <v>103</v>
      </c>
      <c r="N87" s="303" t="n">
        <f aca="false">SUM(P70:P86)</f>
        <v>4578.96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232.635555555556</v>
      </c>
      <c r="C88" s="214"/>
      <c r="D88" s="214"/>
      <c r="E88" s="215"/>
      <c r="F88" s="62"/>
      <c r="G88" s="213" t="s">
        <v>104</v>
      </c>
      <c r="H88" s="299" t="n">
        <f aca="false">H87/H29</f>
        <v>382.621666666667</v>
      </c>
      <c r="I88" s="214"/>
      <c r="J88" s="214"/>
      <c r="K88" s="215"/>
      <c r="L88" s="62"/>
      <c r="M88" s="213" t="s">
        <v>104</v>
      </c>
      <c r="N88" s="299" t="n">
        <f aca="false">N87/H29</f>
        <v>381.58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8803.62666666667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12724.152</v>
      </c>
      <c r="I91" s="214"/>
      <c r="J91" s="214"/>
      <c r="K91" s="215"/>
      <c r="L91" s="62"/>
      <c r="M91" s="287" t="s">
        <v>115</v>
      </c>
      <c r="N91" s="130" t="n">
        <f aca="false">((N89*H29)+N87)</f>
        <v>10590.96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74.5769100443727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89.8235820895522</v>
      </c>
      <c r="I92" s="214"/>
      <c r="J92" s="214"/>
      <c r="K92" s="215"/>
      <c r="L92" s="62"/>
      <c r="M92" s="213" t="s">
        <v>116</v>
      </c>
      <c r="N92" s="299" t="n">
        <f aca="false">(N91/(1-N76))*N76</f>
        <v>89.7176926179911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8878.20357671104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14813.9755820896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12680.677692618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739.850298059253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739.850298059253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0</v>
      </c>
      <c r="C108" s="106"/>
      <c r="D108" s="106" t="n">
        <v>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20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739.850298059253</v>
      </c>
      <c r="B134" s="320" t="n">
        <f aca="false">IF(A111="YES",B95,0)</f>
        <v>0</v>
      </c>
      <c r="C134" s="325"/>
      <c r="D134" s="320" t="n">
        <f aca="false">B97</f>
        <v>739.850298059253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Monthly in advance</v>
      </c>
      <c r="B137" s="37" t="n">
        <f aca="false">B96*B63</f>
        <v>739.850298059253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739.850298059253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0.127608</v>
      </c>
      <c r="H142" s="102" t="n">
        <f aca="false">IF(G111="YES",E15*0.000002,0)</f>
        <v>0.042536</v>
      </c>
      <c r="I142" s="102"/>
      <c r="J142" s="102" t="n">
        <f aca="false">G142+H142</f>
        <v>0.170144</v>
      </c>
      <c r="K142" s="104"/>
      <c r="L142" s="62"/>
      <c r="M142" s="110" t="n">
        <f aca="false">E15*0.000006</f>
        <v>0.127608</v>
      </c>
      <c r="N142" s="102" t="n">
        <f aca="false">IF(M111="YES",E15*0.000002,0)</f>
        <v>0.042536</v>
      </c>
      <c r="O142" s="102"/>
      <c r="P142" s="102" t="n">
        <f aca="false">M142+N142</f>
        <v>0.170144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739.850298059253</v>
      </c>
      <c r="B143" s="37" t="n">
        <f aca="false">IF(A111="YES",B95,0)</f>
        <v>0</v>
      </c>
      <c r="C143" s="316"/>
      <c r="D143" s="37" t="n">
        <f aca="false">B97</f>
        <v>739.850298059253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87.2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87.2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12.5568</v>
      </c>
      <c r="B146" s="342" t="n">
        <f aca="false">G18*0.000002*100</f>
        <v>4.1856</v>
      </c>
      <c r="C146" s="316"/>
      <c r="D146" s="342" t="n">
        <f aca="false">A146+B146</f>
        <v>16.7424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1307.188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1267.19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209.28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709.27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739.850298059253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739.850298059253</v>
      </c>
      <c r="B177" s="354" t="n">
        <f aca="false">IF(A111="YES",B95,0)</f>
        <v>0</v>
      </c>
      <c r="C177" s="357"/>
      <c r="D177" s="354" t="n">
        <f aca="false">B91</f>
        <v>8803.62666666667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Monthly in advance</v>
      </c>
      <c r="B180" s="102" t="n">
        <f aca="false">B96*B63</f>
        <v>739.850298059253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739.850298059253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739.850298059253</v>
      </c>
      <c r="B186" s="102" t="n">
        <f aca="false">IF(A111="YES",B95,0)</f>
        <v>0</v>
      </c>
      <c r="C186" s="352"/>
      <c r="D186" s="102" t="n">
        <f aca="false">B97</f>
        <v>739.850298059253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12.5568</v>
      </c>
      <c r="B189" s="364" t="n">
        <f aca="false">G18*0.000002*100</f>
        <v>4.1856</v>
      </c>
      <c r="C189" s="352"/>
      <c r="D189" s="364" t="n">
        <f aca="false">A189+B189</f>
        <v>16.7424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209.28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709.27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1464.96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209.28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1595.67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1464.96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209.28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1595.67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74.5769100443727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10" colorId="64" zoomScale="85" zoomScaleNormal="85" zoomScalePageLayoutView="100" workbookViewId="0">
      <selection pane="topLeft" activeCell="B190" activeCellId="1" sqref="A191 B190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17895</v>
      </c>
      <c r="C3" s="495" t="n">
        <v>0</v>
      </c>
      <c r="D3" s="495" t="n">
        <v>0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</v>
      </c>
      <c r="C4" s="497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340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16745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695</v>
      </c>
      <c r="F10" s="62"/>
      <c r="G10" s="62"/>
      <c r="H10" s="62"/>
      <c r="I10" s="15" t="s">
        <v>1</v>
      </c>
      <c r="J10" s="9" t="n">
        <f aca="false">E15-E11-J8</f>
        <v>17440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3488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290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55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21268</v>
      </c>
      <c r="F15" s="62"/>
      <c r="G15" s="273" t="n">
        <f aca="false">E15</f>
        <v>21268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20928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21268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45400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str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349</v>
      </c>
      <c r="B41" s="240" t="str">
        <f aca="false">IF(B38="YES",D38+A41,D38)</f>
        <v>500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349</v>
      </c>
      <c r="E44" s="103"/>
      <c r="F44" s="62"/>
      <c r="G44" s="62" t="s">
        <v>257</v>
      </c>
      <c r="H44" s="237" t="str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339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20928</v>
      </c>
      <c r="C67" s="214"/>
      <c r="D67" s="214"/>
      <c r="E67" s="215"/>
      <c r="F67" s="62"/>
      <c r="G67" s="213" t="s">
        <v>14</v>
      </c>
      <c r="H67" s="290" t="n">
        <f aca="false">G18</f>
        <v>20928</v>
      </c>
      <c r="I67" s="214"/>
      <c r="J67" s="214"/>
      <c r="K67" s="215"/>
      <c r="L67" s="62"/>
      <c r="M67" s="213" t="s">
        <v>14</v>
      </c>
      <c r="N67" s="290" t="n">
        <f aca="false">G18</f>
        <v>20928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1464.96</v>
      </c>
      <c r="C70" s="214" t="n">
        <v>10000</v>
      </c>
      <c r="D70" s="290" t="n">
        <f aca="false">B70-A149</f>
        <v>1464.96</v>
      </c>
      <c r="E70" s="215" t="n">
        <f aca="false">D70/12</f>
        <v>122.08</v>
      </c>
      <c r="F70" s="62"/>
      <c r="G70" s="284" t="s">
        <v>91</v>
      </c>
      <c r="H70" s="132" t="n">
        <f aca="false">H67*H69</f>
        <v>1464.96</v>
      </c>
      <c r="I70" s="214"/>
      <c r="J70" s="290" t="n">
        <f aca="false">H70-G151</f>
        <v>1464.96</v>
      </c>
      <c r="K70" s="215"/>
      <c r="L70" s="62"/>
      <c r="M70" s="284" t="s">
        <v>91</v>
      </c>
      <c r="N70" s="132" t="n">
        <f aca="false">N67*N69</f>
        <v>1464.96</v>
      </c>
      <c r="O70" s="214"/>
      <c r="P70" s="290" t="n">
        <f aca="false">N70-M151</f>
        <v>1464.96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209.28</v>
      </c>
      <c r="C73" s="214"/>
      <c r="D73" s="290"/>
      <c r="E73" s="215"/>
      <c r="F73" s="62"/>
      <c r="G73" s="284" t="s">
        <v>94</v>
      </c>
      <c r="H73" s="132" t="n">
        <f aca="false">H67*H72</f>
        <v>104.64</v>
      </c>
      <c r="I73" s="214"/>
      <c r="J73" s="290"/>
      <c r="K73" s="215"/>
      <c r="L73" s="62"/>
      <c r="M73" s="284" t="s">
        <v>94</v>
      </c>
      <c r="N73" s="132" t="n">
        <f aca="false">N67*N72</f>
        <v>104.64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2791.62666666667</v>
      </c>
      <c r="C87" s="214"/>
      <c r="D87" s="214"/>
      <c r="E87" s="215"/>
      <c r="F87" s="62"/>
      <c r="G87" s="302" t="s">
        <v>103</v>
      </c>
      <c r="H87" s="303" t="n">
        <f aca="false">SUM(J70:J86)</f>
        <v>4591.46</v>
      </c>
      <c r="I87" s="214"/>
      <c r="J87" s="214"/>
      <c r="K87" s="215"/>
      <c r="L87" s="62"/>
      <c r="M87" s="302" t="s">
        <v>103</v>
      </c>
      <c r="N87" s="303" t="n">
        <f aca="false">SUM(P70:P86)</f>
        <v>4578.96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232.635555555556</v>
      </c>
      <c r="C88" s="214"/>
      <c r="D88" s="214"/>
      <c r="E88" s="215"/>
      <c r="F88" s="62"/>
      <c r="G88" s="213" t="s">
        <v>104</v>
      </c>
      <c r="H88" s="299" t="n">
        <f aca="false">H87/H29</f>
        <v>382.621666666667</v>
      </c>
      <c r="I88" s="214"/>
      <c r="J88" s="214"/>
      <c r="K88" s="215"/>
      <c r="L88" s="62"/>
      <c r="M88" s="213" t="s">
        <v>104</v>
      </c>
      <c r="N88" s="299" t="n">
        <f aca="false">N87/H29</f>
        <v>381.58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8803.62666666667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12724.152</v>
      </c>
      <c r="I91" s="214"/>
      <c r="J91" s="214"/>
      <c r="K91" s="215"/>
      <c r="L91" s="62"/>
      <c r="M91" s="287" t="s">
        <v>115</v>
      </c>
      <c r="N91" s="130" t="n">
        <f aca="false">((N89*H29)+N87)</f>
        <v>10590.96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74.5769100443727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89.8235820895522</v>
      </c>
      <c r="I92" s="214"/>
      <c r="J92" s="214"/>
      <c r="K92" s="215"/>
      <c r="L92" s="62"/>
      <c r="M92" s="213" t="s">
        <v>116</v>
      </c>
      <c r="N92" s="299" t="n">
        <f aca="false">(N91/(1-N76))*N76</f>
        <v>89.7176926179911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8878.20357671104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14813.9755820896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12680.677692618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739.850298059253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739.850298059253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351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0</v>
      </c>
      <c r="C108" s="106"/>
      <c r="D108" s="106" t="n">
        <v>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3" t="n">
        <v>0</v>
      </c>
      <c r="C111" s="313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739.850298059253</v>
      </c>
      <c r="B134" s="320" t="n">
        <f aca="false">IF(A111="YES",B95,0)</f>
        <v>0</v>
      </c>
      <c r="C134" s="325"/>
      <c r="D134" s="320" t="n">
        <f aca="false">B97</f>
        <v>739.850298059253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Monthly in advance</v>
      </c>
      <c r="B137" s="37" t="n">
        <f aca="false">B96*B63</f>
        <v>739.850298059253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739.850298059253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0.127608</v>
      </c>
      <c r="H142" s="102" t="n">
        <f aca="false">IF(G111="YES",E15*0.000002,0)</f>
        <v>0.042536</v>
      </c>
      <c r="I142" s="102"/>
      <c r="J142" s="102" t="n">
        <f aca="false">G142+H142</f>
        <v>0.170144</v>
      </c>
      <c r="K142" s="104"/>
      <c r="L142" s="62"/>
      <c r="M142" s="110" t="n">
        <f aca="false">E15*0.000006</f>
        <v>0.127608</v>
      </c>
      <c r="N142" s="102" t="n">
        <f aca="false">IF(M111="YES",E15*0.000002,0)</f>
        <v>0.042536</v>
      </c>
      <c r="O142" s="102"/>
      <c r="P142" s="102" t="n">
        <f aca="false">M142+N142</f>
        <v>0.170144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739.850298059253</v>
      </c>
      <c r="B143" s="37" t="n">
        <f aca="false">IF(A111="YES",B95,0)</f>
        <v>0</v>
      </c>
      <c r="C143" s="316"/>
      <c r="D143" s="37" t="n">
        <f aca="false">B97</f>
        <v>739.850298059253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87.2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87.2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12.5568</v>
      </c>
      <c r="B146" s="342" t="n">
        <f aca="false">G18*0.000002*100</f>
        <v>4.1856</v>
      </c>
      <c r="C146" s="316"/>
      <c r="D146" s="342" t="n">
        <f aca="false">A146+B146</f>
        <v>16.7424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1307.188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1267.19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209.28</v>
      </c>
      <c r="B154" s="102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709.27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739.850298059253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739.850298059253</v>
      </c>
      <c r="B177" s="354" t="n">
        <f aca="false">IF(A111="YES",B95,0)</f>
        <v>0</v>
      </c>
      <c r="C177" s="357"/>
      <c r="D177" s="354" t="n">
        <f aca="false">B91</f>
        <v>8803.62666666667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Monthly in advance</v>
      </c>
      <c r="B180" s="102" t="n">
        <f aca="false">B96*B63</f>
        <v>739.850298059253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739.850298059253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739.850298059253</v>
      </c>
      <c r="B186" s="102" t="n">
        <f aca="false">IF(A111="YES",B95,0)</f>
        <v>0</v>
      </c>
      <c r="C186" s="352"/>
      <c r="D186" s="102" t="n">
        <f aca="false">B97</f>
        <v>739.850298059253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12.5568</v>
      </c>
      <c r="B189" s="364" t="n">
        <f aca="false">G18*0.000002*100</f>
        <v>4.1856</v>
      </c>
      <c r="C189" s="352"/>
      <c r="D189" s="364" t="n">
        <f aca="false">A189+B189</f>
        <v>16.7424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209.28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709.27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1464.96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209.28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1595.67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1464.96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209.28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1595.67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74.5769100443727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B221" activeCellId="1" sqref="A191 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16745</v>
      </c>
      <c r="C3" s="495" t="n">
        <v>0</v>
      </c>
      <c r="D3" s="495" t="n">
        <v>0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</v>
      </c>
      <c r="C4" s="497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340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16745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695</v>
      </c>
      <c r="F10" s="62"/>
      <c r="G10" s="62"/>
      <c r="H10" s="62"/>
      <c r="I10" s="15" t="s">
        <v>1</v>
      </c>
      <c r="J10" s="9" t="n">
        <f aca="false">E15-E11-J8</f>
        <v>17440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3488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275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21268</v>
      </c>
      <c r="F15" s="62"/>
      <c r="G15" s="273" t="n">
        <f aca="false">E15</f>
        <v>21268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20928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21268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45400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str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70</v>
      </c>
      <c r="B41" s="240" t="n">
        <f aca="false">IF(B38="YES",D38+A41,D38)</f>
        <v>550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350</v>
      </c>
      <c r="E44" s="103"/>
      <c r="F44" s="62"/>
      <c r="G44" s="62" t="s">
        <v>257</v>
      </c>
      <c r="H44" s="237" t="str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20928</v>
      </c>
      <c r="C67" s="214"/>
      <c r="D67" s="214"/>
      <c r="E67" s="215"/>
      <c r="F67" s="62"/>
      <c r="G67" s="213" t="s">
        <v>14</v>
      </c>
      <c r="H67" s="290" t="n">
        <f aca="false">G18</f>
        <v>20928</v>
      </c>
      <c r="I67" s="214"/>
      <c r="J67" s="214"/>
      <c r="K67" s="215"/>
      <c r="L67" s="62"/>
      <c r="M67" s="213" t="s">
        <v>14</v>
      </c>
      <c r="N67" s="290" t="n">
        <f aca="false">G18</f>
        <v>20928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1464.96</v>
      </c>
      <c r="C70" s="214" t="n">
        <v>10000</v>
      </c>
      <c r="D70" s="290" t="n">
        <f aca="false">B70-A149</f>
        <v>1464.96</v>
      </c>
      <c r="E70" s="215" t="n">
        <f aca="false">D70/12</f>
        <v>122.08</v>
      </c>
      <c r="F70" s="62"/>
      <c r="G70" s="284" t="s">
        <v>91</v>
      </c>
      <c r="H70" s="132" t="n">
        <f aca="false">H67*H69</f>
        <v>1464.96</v>
      </c>
      <c r="I70" s="214"/>
      <c r="J70" s="290" t="n">
        <f aca="false">H70-G151</f>
        <v>1464.96</v>
      </c>
      <c r="K70" s="215"/>
      <c r="L70" s="62"/>
      <c r="M70" s="284" t="s">
        <v>91</v>
      </c>
      <c r="N70" s="132" t="n">
        <f aca="false">N67*N69</f>
        <v>1464.96</v>
      </c>
      <c r="O70" s="214"/>
      <c r="P70" s="290" t="n">
        <f aca="false">N70-M151</f>
        <v>1464.96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209.28</v>
      </c>
      <c r="C73" s="214"/>
      <c r="D73" s="290"/>
      <c r="E73" s="215"/>
      <c r="F73" s="62"/>
      <c r="G73" s="284" t="s">
        <v>94</v>
      </c>
      <c r="H73" s="132" t="n">
        <f aca="false">H67*H72</f>
        <v>104.64</v>
      </c>
      <c r="I73" s="214"/>
      <c r="J73" s="290"/>
      <c r="K73" s="215"/>
      <c r="L73" s="62"/>
      <c r="M73" s="284" t="s">
        <v>94</v>
      </c>
      <c r="N73" s="132" t="n">
        <f aca="false">N67*N72</f>
        <v>104.64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0</v>
      </c>
      <c r="C83" s="214"/>
      <c r="D83" s="290" t="n">
        <f aca="false">B83</f>
        <v>0</v>
      </c>
      <c r="E83" s="215" t="n">
        <f aca="false">D83/12</f>
        <v>0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0</v>
      </c>
      <c r="C84" s="214"/>
      <c r="D84" s="290" t="n">
        <f aca="false">B84</f>
        <v>0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2124.96</v>
      </c>
      <c r="C87" s="214"/>
      <c r="D87" s="214"/>
      <c r="E87" s="215"/>
      <c r="F87" s="62"/>
      <c r="G87" s="302" t="s">
        <v>103</v>
      </c>
      <c r="H87" s="303" t="n">
        <f aca="false">SUM(J70:J86)</f>
        <v>4591.46</v>
      </c>
      <c r="I87" s="214"/>
      <c r="J87" s="214"/>
      <c r="K87" s="215"/>
      <c r="L87" s="62"/>
      <c r="M87" s="302" t="s">
        <v>103</v>
      </c>
      <c r="N87" s="303" t="n">
        <f aca="false">SUM(P70:P86)</f>
        <v>4578.96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177.08</v>
      </c>
      <c r="C88" s="214"/>
      <c r="D88" s="214"/>
      <c r="E88" s="215"/>
      <c r="F88" s="62"/>
      <c r="G88" s="213" t="s">
        <v>104</v>
      </c>
      <c r="H88" s="299" t="n">
        <f aca="false">H87/H29</f>
        <v>382.621666666667</v>
      </c>
      <c r="I88" s="214"/>
      <c r="J88" s="214"/>
      <c r="K88" s="215"/>
      <c r="L88" s="62"/>
      <c r="M88" s="213" t="s">
        <v>104</v>
      </c>
      <c r="N88" s="299" t="n">
        <f aca="false">N87/H29</f>
        <v>381.58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9764.352</v>
      </c>
      <c r="C91" s="214"/>
      <c r="D91" s="214"/>
      <c r="E91" s="215"/>
      <c r="F91" s="62"/>
      <c r="G91" s="287" t="s">
        <v>115</v>
      </c>
      <c r="H91" s="130" t="n">
        <f aca="false">((H89*H29)+H87)*1.2</f>
        <v>12724.152</v>
      </c>
      <c r="I91" s="214"/>
      <c r="J91" s="214"/>
      <c r="K91" s="215"/>
      <c r="L91" s="62"/>
      <c r="M91" s="287" t="s">
        <v>115</v>
      </c>
      <c r="N91" s="130" t="n">
        <f aca="false">((N89*H29)+N87)</f>
        <v>10590.96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68.9294715611134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89.8235820895522</v>
      </c>
      <c r="I92" s="214"/>
      <c r="J92" s="214"/>
      <c r="K92" s="215"/>
      <c r="L92" s="62"/>
      <c r="M92" s="213" t="s">
        <v>116</v>
      </c>
      <c r="N92" s="299" t="n">
        <f aca="false">(N91/(1-N76))*N76</f>
        <v>89.7176926179911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9833.28147156111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14813.9755820896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12680.677692618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60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819.440122630093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819.440122630093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0</v>
      </c>
      <c r="C108" s="106"/>
      <c r="D108" s="106" t="n">
        <v>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819.440122630093</v>
      </c>
      <c r="B134" s="320" t="n">
        <f aca="false">IF(A111="YES",B95,0)</f>
        <v>0</v>
      </c>
      <c r="C134" s="325"/>
      <c r="D134" s="320" t="n">
        <f aca="false">B97</f>
        <v>819.440122630093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Monthly in advance</v>
      </c>
      <c r="B137" s="37" t="n">
        <f aca="false">B96*B63</f>
        <v>819.440122630093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819.440122630093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0.127608</v>
      </c>
      <c r="H142" s="102" t="n">
        <f aca="false">IF(G111="YES",E15*0.000002,0)</f>
        <v>0.042536</v>
      </c>
      <c r="I142" s="102"/>
      <c r="J142" s="102" t="n">
        <f aca="false">G142+H142</f>
        <v>0.170144</v>
      </c>
      <c r="K142" s="104"/>
      <c r="L142" s="62"/>
      <c r="M142" s="110" t="n">
        <f aca="false">E15*0.000006</f>
        <v>0.127608</v>
      </c>
      <c r="N142" s="102" t="n">
        <f aca="false">IF(M111="YES",E15*0.000002,0)</f>
        <v>0.042536</v>
      </c>
      <c r="O142" s="102"/>
      <c r="P142" s="102" t="n">
        <f aca="false">M142+N142</f>
        <v>0.170144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819.440122630093</v>
      </c>
      <c r="B143" s="37" t="n">
        <f aca="false">IF(A111="YES",B95,0)</f>
        <v>0</v>
      </c>
      <c r="C143" s="316"/>
      <c r="D143" s="37" t="n">
        <f aca="false">B97</f>
        <v>819.440122630093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87.2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87.2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15.06816</v>
      </c>
      <c r="B146" s="342" t="n">
        <f aca="false">G18*0.000002*1.2*100</f>
        <v>5.02272</v>
      </c>
      <c r="C146" s="316"/>
      <c r="D146" s="342" t="n">
        <f aca="false">A146+B146</f>
        <v>20.09088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1319.188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1279.19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209.28</v>
      </c>
      <c r="B154" s="37" t="n">
        <f aca="false">B108</f>
        <v>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309.271666666667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819.440122630093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819.440122630093</v>
      </c>
      <c r="B177" s="354" t="n">
        <f aca="false">IF(A111="YES",B95,0)</f>
        <v>0</v>
      </c>
      <c r="C177" s="357"/>
      <c r="D177" s="354" t="n">
        <f aca="false">B97</f>
        <v>819.440122630093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Monthly in advance</v>
      </c>
      <c r="B180" s="102" t="n">
        <f aca="false">B96*B63</f>
        <v>819.440122630093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819.440122630093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819.440122630093</v>
      </c>
      <c r="B186" s="102" t="n">
        <f aca="false">IF(A111="YES",B95,0)</f>
        <v>0</v>
      </c>
      <c r="C186" s="352"/>
      <c r="D186" s="102" t="n">
        <f aca="false">B97</f>
        <v>819.440122630093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15.06816</v>
      </c>
      <c r="B189" s="364" t="n">
        <f aca="false">G18*0.000002*1.2*100</f>
        <v>5.02272</v>
      </c>
      <c r="C189" s="352"/>
      <c r="D189" s="364" t="n">
        <f aca="false">A189+B189</f>
        <v>20.09088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209.28</v>
      </c>
      <c r="B197" s="102" t="n">
        <f aca="false">B108</f>
        <v>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309.271666666667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1464.96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209.28</v>
      </c>
      <c r="C211" s="319" t="s">
        <v>218</v>
      </c>
      <c r="D211" s="369" t="n">
        <f aca="false">B225+E221+B221+B223</f>
        <v>99.9916666666667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1355.67166666667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1464.96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209.28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0</v>
      </c>
      <c r="C223" s="335" t="s">
        <v>219</v>
      </c>
      <c r="D223" s="316"/>
      <c r="E223" s="32" t="n">
        <f aca="false">(B217-B211+D211)</f>
        <v>1355.67166666667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68.9294715611134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72" colorId="64" zoomScale="85" zoomScaleNormal="85" zoomScalePageLayoutView="100" workbookViewId="0">
      <selection pane="topLeft" activeCell="B190" activeCellId="1" sqref="A191 B190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16745</v>
      </c>
      <c r="C3" s="495" t="n">
        <v>0</v>
      </c>
      <c r="D3" s="495" t="n">
        <v>0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</v>
      </c>
      <c r="C4" s="497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340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16745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695</v>
      </c>
      <c r="F10" s="62"/>
      <c r="G10" s="62"/>
      <c r="H10" s="62"/>
      <c r="I10" s="15" t="s">
        <v>1</v>
      </c>
      <c r="J10" s="9" t="n">
        <f aca="false">E15-E11-J8</f>
        <v>17440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3488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275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21268</v>
      </c>
      <c r="F15" s="62"/>
      <c r="G15" s="273" t="n">
        <f aca="false">E15</f>
        <v>21268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20928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21268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45400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str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70</v>
      </c>
      <c r="B41" s="240" t="n">
        <f aca="false">IF(B38="YES",D38+A41,D38)</f>
        <v>550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350</v>
      </c>
      <c r="E44" s="103"/>
      <c r="F44" s="62"/>
      <c r="G44" s="62" t="s">
        <v>257</v>
      </c>
      <c r="H44" s="237" t="str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20928</v>
      </c>
      <c r="C67" s="214"/>
      <c r="D67" s="214"/>
      <c r="E67" s="215"/>
      <c r="F67" s="62"/>
      <c r="G67" s="213" t="s">
        <v>14</v>
      </c>
      <c r="H67" s="290" t="n">
        <f aca="false">G18</f>
        <v>20928</v>
      </c>
      <c r="I67" s="214"/>
      <c r="J67" s="214"/>
      <c r="K67" s="215"/>
      <c r="L67" s="62"/>
      <c r="M67" s="213" t="s">
        <v>14</v>
      </c>
      <c r="N67" s="290" t="n">
        <f aca="false">G18</f>
        <v>20928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1464.96</v>
      </c>
      <c r="C70" s="214" t="n">
        <v>10000</v>
      </c>
      <c r="D70" s="290" t="n">
        <f aca="false">B70-A149</f>
        <v>1464.96</v>
      </c>
      <c r="E70" s="215" t="n">
        <f aca="false">D70/12</f>
        <v>122.08</v>
      </c>
      <c r="F70" s="62"/>
      <c r="G70" s="284" t="s">
        <v>91</v>
      </c>
      <c r="H70" s="132" t="n">
        <f aca="false">H67*H69</f>
        <v>1464.96</v>
      </c>
      <c r="I70" s="214"/>
      <c r="J70" s="290" t="n">
        <f aca="false">H70-G151</f>
        <v>1464.96</v>
      </c>
      <c r="K70" s="215"/>
      <c r="L70" s="62"/>
      <c r="M70" s="284" t="s">
        <v>91</v>
      </c>
      <c r="N70" s="132" t="n">
        <f aca="false">N67*N69</f>
        <v>1464.96</v>
      </c>
      <c r="O70" s="214"/>
      <c r="P70" s="290" t="n">
        <f aca="false">N70-M151</f>
        <v>1464.96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209.28</v>
      </c>
      <c r="C73" s="214"/>
      <c r="D73" s="290"/>
      <c r="E73" s="215"/>
      <c r="F73" s="62"/>
      <c r="G73" s="284" t="s">
        <v>94</v>
      </c>
      <c r="H73" s="132" t="n">
        <f aca="false">H67*H72</f>
        <v>104.64</v>
      </c>
      <c r="I73" s="214"/>
      <c r="J73" s="290"/>
      <c r="K73" s="215"/>
      <c r="L73" s="62"/>
      <c r="M73" s="284" t="s">
        <v>94</v>
      </c>
      <c r="N73" s="132" t="n">
        <f aca="false">N67*N72</f>
        <v>104.64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0</v>
      </c>
      <c r="C83" s="214"/>
      <c r="D83" s="290" t="n">
        <f aca="false">B83</f>
        <v>0</v>
      </c>
      <c r="E83" s="215" t="n">
        <f aca="false">D83/12</f>
        <v>0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0</v>
      </c>
      <c r="C84" s="214"/>
      <c r="D84" s="290" t="n">
        <f aca="false">B84</f>
        <v>0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2124.96</v>
      </c>
      <c r="C87" s="214"/>
      <c r="D87" s="214"/>
      <c r="E87" s="215"/>
      <c r="F87" s="62"/>
      <c r="G87" s="302" t="s">
        <v>103</v>
      </c>
      <c r="H87" s="303" t="n">
        <f aca="false">SUM(J70:J86)</f>
        <v>4591.46</v>
      </c>
      <c r="I87" s="214"/>
      <c r="J87" s="214"/>
      <c r="K87" s="215"/>
      <c r="L87" s="62"/>
      <c r="M87" s="302" t="s">
        <v>103</v>
      </c>
      <c r="N87" s="303" t="n">
        <f aca="false">SUM(P70:P86)</f>
        <v>4578.96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177.08</v>
      </c>
      <c r="C88" s="214"/>
      <c r="D88" s="214"/>
      <c r="E88" s="215"/>
      <c r="F88" s="62"/>
      <c r="G88" s="213" t="s">
        <v>104</v>
      </c>
      <c r="H88" s="299" t="n">
        <f aca="false">H87/H29</f>
        <v>382.621666666667</v>
      </c>
      <c r="I88" s="214"/>
      <c r="J88" s="214"/>
      <c r="K88" s="215"/>
      <c r="L88" s="62"/>
      <c r="M88" s="213" t="s">
        <v>104</v>
      </c>
      <c r="N88" s="299" t="n">
        <f aca="false">N87/H29</f>
        <v>381.58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8136.96</v>
      </c>
      <c r="C91" s="214"/>
      <c r="D91" s="214"/>
      <c r="E91" s="215"/>
      <c r="F91" s="62"/>
      <c r="G91" s="287" t="s">
        <v>115</v>
      </c>
      <c r="H91" s="130" t="n">
        <f aca="false">((H89*H29)+H87)*1.2</f>
        <v>12724.152</v>
      </c>
      <c r="I91" s="214"/>
      <c r="J91" s="214"/>
      <c r="K91" s="215"/>
      <c r="L91" s="62"/>
      <c r="M91" s="287" t="s">
        <v>115</v>
      </c>
      <c r="N91" s="130" t="n">
        <f aca="false">((N89*H29)+N87)</f>
        <v>10590.96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68.9294715611134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89.8235820895522</v>
      </c>
      <c r="I92" s="214"/>
      <c r="J92" s="214"/>
      <c r="K92" s="215"/>
      <c r="L92" s="62"/>
      <c r="M92" s="213" t="s">
        <v>116</v>
      </c>
      <c r="N92" s="299" t="n">
        <f aca="false">(N91/(1-N76))*N76</f>
        <v>89.7176926179911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8205.88947156111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14813.9755820896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12680.677692618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50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683.824122630093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683.824122630093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0</v>
      </c>
      <c r="C108" s="106"/>
      <c r="D108" s="106" t="n">
        <v>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683.824122630093</v>
      </c>
      <c r="B134" s="320" t="n">
        <f aca="false">IF(A111="YES",B95,0)</f>
        <v>0</v>
      </c>
      <c r="C134" s="325"/>
      <c r="D134" s="320" t="n">
        <f aca="false">B97</f>
        <v>683.824122630093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Monthly in advance</v>
      </c>
      <c r="B137" s="37" t="n">
        <f aca="false">B96*B63</f>
        <v>683.824122630093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683.824122630093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0.127608</v>
      </c>
      <c r="H142" s="102" t="n">
        <f aca="false">IF(G111="YES",E15*0.000002,0)</f>
        <v>0.042536</v>
      </c>
      <c r="I142" s="102"/>
      <c r="J142" s="102" t="n">
        <f aca="false">G142+H142</f>
        <v>0.170144</v>
      </c>
      <c r="K142" s="104"/>
      <c r="L142" s="62"/>
      <c r="M142" s="110" t="n">
        <f aca="false">E15*0.000006</f>
        <v>0.127608</v>
      </c>
      <c r="N142" s="102" t="n">
        <f aca="false">IF(M111="YES",E15*0.000002,0)</f>
        <v>0.042536</v>
      </c>
      <c r="O142" s="102"/>
      <c r="P142" s="102" t="n">
        <f aca="false">M142+N142</f>
        <v>0.170144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683.824122630093</v>
      </c>
      <c r="B143" s="37" t="n">
        <f aca="false">IF(A111="YES",B95,0)</f>
        <v>0</v>
      </c>
      <c r="C143" s="316"/>
      <c r="D143" s="37" t="n">
        <f aca="false">B97</f>
        <v>683.824122630093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87.2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87.2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12.5568</v>
      </c>
      <c r="B146" s="342" t="n">
        <f aca="false">G18*0.000002*100</f>
        <v>4.1856</v>
      </c>
      <c r="C146" s="316"/>
      <c r="D146" s="342" t="n">
        <f aca="false">A146+B146</f>
        <v>16.7424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1319.188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1279.19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209.28</v>
      </c>
      <c r="B154" s="37" t="n">
        <f aca="false">B108</f>
        <v>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309.27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683.824122630093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683.824122630093</v>
      </c>
      <c r="B177" s="354" t="n">
        <f aca="false">IF(A111="YES",B95,0)</f>
        <v>0</v>
      </c>
      <c r="C177" s="357"/>
      <c r="D177" s="354" t="n">
        <f aca="false">B91</f>
        <v>8136.96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Monthly in advance</v>
      </c>
      <c r="B180" s="102" t="n">
        <f aca="false">B96*B63</f>
        <v>683.824122630093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683.824122630093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683.824122630093</v>
      </c>
      <c r="B186" s="102" t="n">
        <f aca="false">IF(A111="YES",B95,0)</f>
        <v>0</v>
      </c>
      <c r="C186" s="352"/>
      <c r="D186" s="102" t="n">
        <f aca="false">B97</f>
        <v>683.824122630093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12.5568</v>
      </c>
      <c r="B189" s="364" t="n">
        <f aca="false">G18*0.000002*100</f>
        <v>4.1856</v>
      </c>
      <c r="C189" s="352"/>
      <c r="D189" s="364" t="n">
        <f aca="false">A189+B189</f>
        <v>16.7424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209.28</v>
      </c>
      <c r="B197" s="102" t="n">
        <f aca="false">B154</f>
        <v>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309.27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1464.96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209.28</v>
      </c>
      <c r="C211" s="319" t="s">
        <v>218</v>
      </c>
      <c r="D211" s="369" t="n">
        <f aca="false">B225+E221+B221+B223</f>
        <v>99.99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1355.67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1464.96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209.28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0</v>
      </c>
      <c r="C223" s="335" t="s">
        <v>219</v>
      </c>
      <c r="D223" s="316"/>
      <c r="E223" s="32" t="n">
        <f aca="false">(B217-B211+D211)</f>
        <v>1355.67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68.9294715611134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A182" activeCellId="1" sqref="A191 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17895</v>
      </c>
      <c r="C3" s="437" t="n">
        <v>0</v>
      </c>
      <c r="D3" s="437" t="n">
        <v>0</v>
      </c>
      <c r="E3" s="437"/>
      <c r="F3" s="437" t="n">
        <v>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</v>
      </c>
      <c r="C4" s="123" t="n">
        <v>0</v>
      </c>
      <c r="D4" s="123" t="n">
        <v>0</v>
      </c>
      <c r="E4" s="123"/>
      <c r="F4" s="123" t="n">
        <v>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19575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19575</v>
      </c>
      <c r="F9" s="151"/>
      <c r="G9" s="135"/>
      <c r="H9" s="439" t="n">
        <f aca="false">B7+D7+F7+H3</f>
        <v>19575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695</v>
      </c>
      <c r="I10" s="2"/>
      <c r="J10" s="2"/>
      <c r="L10" s="15" t="s">
        <v>1</v>
      </c>
      <c r="M10" s="9" t="n">
        <f aca="false">H15-H11-M8</f>
        <v>20270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4054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290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55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24664</v>
      </c>
      <c r="I15" s="2"/>
      <c r="J15" s="16" t="n">
        <f aca="false">H15</f>
        <v>24664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24324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24664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45400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262" t="s">
        <v>383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248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23664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500.363636363636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500.363636363636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A54" s="263" t="s">
        <v>4</v>
      </c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24324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0.024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20961.8213384317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231.225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23664</v>
      </c>
      <c r="C81" s="92"/>
      <c r="D81" s="92"/>
      <c r="E81" s="112"/>
      <c r="F81" s="24" t="s">
        <v>106</v>
      </c>
      <c r="G81" s="26" t="n">
        <f aca="false">B81</f>
        <v>23664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5255.82391109543</v>
      </c>
      <c r="C86" s="92" t="n">
        <f aca="false">(B82/((1+B84)^(B85+1)))</f>
        <v>5255.82391109543</v>
      </c>
      <c r="D86" s="92"/>
      <c r="E86" s="112"/>
      <c r="F86" s="30" t="s">
        <v>111</v>
      </c>
      <c r="G86" s="32" t="n">
        <f aca="false">(G82/((1+G84)^(G85+1)))</f>
        <v>6024.37295128565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18408.1760889046</v>
      </c>
      <c r="C88" s="92" t="n">
        <f aca="false">B81-B86</f>
        <v>18408.1760889046</v>
      </c>
      <c r="D88" s="92"/>
      <c r="E88" s="112"/>
      <c r="F88" s="30" t="s">
        <v>113</v>
      </c>
      <c r="G88" s="32" t="n">
        <f aca="false">G81-G86</f>
        <v>17639.6270487143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670.693280462354</v>
      </c>
      <c r="C89" s="92" t="n">
        <f aca="false">(B88/B87)</f>
        <v>670.693280462354</v>
      </c>
      <c r="D89" s="92"/>
      <c r="E89" s="112"/>
      <c r="F89" s="30" t="s">
        <v>114</v>
      </c>
      <c r="G89" s="32" t="n">
        <f aca="false">(G88/G87)</f>
        <v>601.879656262052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21462.1849747953</v>
      </c>
      <c r="C90" s="92"/>
      <c r="D90" s="92"/>
      <c r="E90" s="112"/>
      <c r="F90" s="30" t="s">
        <v>115</v>
      </c>
      <c r="G90" s="32" t="n">
        <f aca="false">((G89*(G85))+G77)</f>
        <v>19260.1490003857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21462.1849747953</v>
      </c>
      <c r="C92" s="92"/>
      <c r="D92" s="92"/>
      <c r="E92" s="112"/>
      <c r="F92" s="55" t="s">
        <v>117</v>
      </c>
      <c r="G92" s="64" t="n">
        <f aca="false">(G90+G91)</f>
        <v>19260.1490003857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670.693280462354</v>
      </c>
      <c r="C95" s="92"/>
      <c r="D95" s="92"/>
      <c r="E95" s="112"/>
      <c r="F95" s="94" t="s">
        <v>119</v>
      </c>
      <c r="G95" s="95" t="n">
        <f aca="false">G92/(G85)</f>
        <v>601.879656262052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670.693280462354</v>
      </c>
      <c r="C96" s="92"/>
      <c r="D96" s="92"/>
      <c r="E96" s="112"/>
      <c r="F96" s="96" t="s">
        <v>120</v>
      </c>
      <c r="G96" s="97" t="n">
        <f aca="false">G94+G95</f>
        <v>601.879656262052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273</v>
      </c>
      <c r="C108" s="106"/>
      <c r="D108" s="106"/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19575</v>
      </c>
      <c r="C121" s="120" t="n">
        <f aca="false">B121</f>
        <v>19575</v>
      </c>
      <c r="D121" s="119" t="n">
        <f aca="false">D3</f>
        <v>0</v>
      </c>
      <c r="E121" s="120" t="n">
        <f aca="false">D121</f>
        <v>0</v>
      </c>
      <c r="F121" s="119" t="n">
        <f aca="false">F3</f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f aca="false">B122</f>
        <v>0</v>
      </c>
      <c r="D122" s="122" t="n">
        <f aca="false">D4</f>
        <v>0</v>
      </c>
      <c r="E122" s="123" t="n">
        <f aca="false">D122</f>
        <v>0</v>
      </c>
      <c r="F122" s="122" t="n">
        <f aca="false">F4</f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f aca="false">B123</f>
        <v>0</v>
      </c>
      <c r="D123" s="129" t="n">
        <f aca="false">D5</f>
        <v>0</v>
      </c>
      <c r="E123" s="120" t="n">
        <f aca="false">D123</f>
        <v>0</v>
      </c>
      <c r="F123" s="129" t="n">
        <f aca="false">F5</f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19575</v>
      </c>
      <c r="C125" s="132" t="n">
        <f aca="false">C121-C124</f>
        <v>19575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19575</v>
      </c>
      <c r="H135" s="152" t="n">
        <f aca="false">C125+E125+G125+H128</f>
        <v>19575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695</v>
      </c>
      <c r="H136" s="32" t="n">
        <f aca="false">G136</f>
        <v>695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4054</v>
      </c>
      <c r="H137" s="32" t="n">
        <f aca="false">(H135+H136)*20%</f>
        <v>4054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275</v>
      </c>
      <c r="H139" s="32" t="n">
        <f aca="false">G139</f>
        <v>275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24664</v>
      </c>
      <c r="H141" s="156" t="n">
        <f aca="false">(H135+H136+H139+H140+H137)-H138</f>
        <v>24664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24664</v>
      </c>
      <c r="H147" s="163" t="n">
        <f aca="false">H141-((H144*1.2)+(H145*1.2)+(H146*1.2)+(H142*1.2))</f>
        <v>24664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0</v>
      </c>
      <c r="I148" s="1" t="n">
        <f aca="false">(H148-G81)/1.2</f>
        <v>-19720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24664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670.693280462354</v>
      </c>
      <c r="B167" s="176" t="str">
        <f aca="false">B94</f>
        <v>0</v>
      </c>
      <c r="C167" s="173"/>
      <c r="D167" s="173"/>
      <c r="E167" s="176" t="n">
        <f aca="false">B96</f>
        <v>670.693280462354</v>
      </c>
      <c r="F167" s="22"/>
      <c r="G167" s="22" t="n">
        <f aca="false">ROUND(G95,2)</f>
        <v>601.88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33</v>
      </c>
      <c r="B170" s="228" t="str">
        <f aca="false">H30</f>
        <v>5000</v>
      </c>
      <c r="C170" s="180"/>
      <c r="D170" s="22"/>
      <c r="E170" s="181" t="n">
        <v>6000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20270</v>
      </c>
      <c r="B173" s="102" t="n">
        <f aca="false">H137</f>
        <v>4054</v>
      </c>
      <c r="C173" s="185"/>
      <c r="D173" s="22"/>
      <c r="E173" s="181" t="n">
        <f aca="false">H139+H140</f>
        <v>340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24664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24664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3998.18497479533</v>
      </c>
      <c r="B182" s="102" t="str">
        <f aca="false">B114</f>
        <v>199.99</v>
      </c>
      <c r="C182" s="102"/>
      <c r="D182" s="22"/>
      <c r="E182" s="102" t="n">
        <f aca="false">E179+A182+(B182*1.2)+A185</f>
        <v>28912.1729747953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A179+(B182*1.2)</f>
        <v>239.988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4.8648</v>
      </c>
      <c r="B188" s="102" t="n">
        <f aca="false">(G158*B67)/1.2</f>
        <v>192.6875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292.6775</v>
      </c>
      <c r="C191" s="92"/>
      <c r="D191" s="92"/>
      <c r="E191" s="102" t="n">
        <f aca="false">H148</f>
        <v>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670.693280462354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IF(A40=0,((G167*(B59+1))-E179),((G167*B59)+E185-E179-A185))</f>
        <v>1796.16</v>
      </c>
      <c r="B201" s="185" t="n">
        <f aca="false">E179+A201+(B182*1.2)+A185</f>
        <v>26710.148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670.693280462354</v>
      </c>
      <c r="B212" s="176" t="str">
        <f aca="false">B167</f>
        <v>0</v>
      </c>
      <c r="C212" s="173"/>
      <c r="D212" s="173"/>
      <c r="E212" s="176" t="n">
        <f aca="false">E167</f>
        <v>670.693280462354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20270</v>
      </c>
      <c r="B215" s="102" t="n">
        <f aca="false">B173</f>
        <v>4054</v>
      </c>
      <c r="C215" s="185"/>
      <c r="D215" s="112"/>
      <c r="E215" s="181" t="n">
        <f aca="false">E173</f>
        <v>340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24664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24664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3998.18497479533</v>
      </c>
      <c r="B224" s="102" t="str">
        <f aca="false">B182</f>
        <v>199.99</v>
      </c>
      <c r="C224" s="102"/>
      <c r="D224" s="112"/>
      <c r="E224" s="102" t="n">
        <f aca="false">E182</f>
        <v>28912.1729747953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670.693280462354</v>
      </c>
      <c r="B230" s="102" t="str">
        <f aca="false">B167</f>
        <v>0</v>
      </c>
      <c r="C230" s="185"/>
      <c r="D230" s="185"/>
      <c r="E230" s="102" t="n">
        <f aca="false">E167</f>
        <v>670.693280462354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A188</f>
        <v>4.8648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0</v>
      </c>
      <c r="B240" s="102" t="n">
        <f aca="false">B188</f>
        <v>192.6875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292.6775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2212.02497479533</v>
      </c>
      <c r="C254" s="196"/>
      <c r="D254" s="197" t="s">
        <v>217</v>
      </c>
      <c r="E254" s="197"/>
      <c r="F254" s="199" t="n">
        <f aca="false">F261+F267+F269+B270+B271</f>
        <v>231.225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2080.78997479533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B254</f>
        <v>2212.02497479533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231.225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2080.78997479533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4" colorId="64" zoomScale="85" zoomScaleNormal="85" zoomScalePageLayoutView="100" workbookViewId="0">
      <selection pane="topLeft" activeCell="A182" activeCellId="1" sqref="A191 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17895</v>
      </c>
      <c r="C3" s="437" t="n">
        <v>0</v>
      </c>
      <c r="D3" s="437" t="n">
        <v>0</v>
      </c>
      <c r="E3" s="437"/>
      <c r="F3" s="437" t="n">
        <v>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</v>
      </c>
      <c r="C4" s="123" t="n">
        <v>0</v>
      </c>
      <c r="D4" s="123" t="n">
        <v>0</v>
      </c>
      <c r="E4" s="123"/>
      <c r="F4" s="123" t="n">
        <v>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46854.17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833.33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650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46854.17</v>
      </c>
      <c r="F9" s="151"/>
      <c r="G9" s="135"/>
      <c r="H9" s="439" t="n">
        <f aca="false">B7+D7+F7+H3</f>
        <v>47687.5</v>
      </c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550</v>
      </c>
      <c r="F10" s="153"/>
      <c r="G10" s="154"/>
      <c r="H10" s="438" t="n">
        <v>695</v>
      </c>
      <c r="I10" s="2"/>
      <c r="J10" s="2"/>
      <c r="K10" s="1" t="s">
        <v>19</v>
      </c>
      <c r="L10" s="15" t="s">
        <v>1</v>
      </c>
      <c r="M10" s="9" t="n">
        <f aca="false">H15-H11-M8</f>
        <v>48237.5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9647.5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290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55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58535</v>
      </c>
      <c r="I15" s="2"/>
      <c r="J15" s="16" t="n">
        <f aca="false">H15</f>
        <v>58535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0</v>
      </c>
      <c r="F16" s="153"/>
      <c r="G16" s="154"/>
      <c r="H16" s="438" t="n">
        <v>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57885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 t="n">
        <v>0</v>
      </c>
      <c r="F20" s="160"/>
      <c r="G20" s="165"/>
      <c r="H20" s="441" t="n">
        <v>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58535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28</v>
      </c>
      <c r="K29" s="444" t="n">
        <v>36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6990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1498.35312812538</v>
      </c>
      <c r="F33" s="231"/>
      <c r="G33" s="231"/>
      <c r="H33" s="46"/>
      <c r="I33" s="2"/>
      <c r="J33" s="33" t="s">
        <v>356</v>
      </c>
      <c r="K33" s="47" t="n">
        <f aca="false">H21-H11+(H16*20%)</f>
        <v>48887.5</v>
      </c>
      <c r="L33" s="1" t="n">
        <f aca="false">H21-H11+(H16*20%)</f>
        <v>48887.5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0.065</v>
      </c>
      <c r="P35" s="211"/>
    </row>
    <row r="36" customFormat="false" ht="18.75" hidden="false" customHeight="false" outlineLevel="0" collapsed="false">
      <c r="A36" s="184" t="n">
        <f aca="false">K47</f>
        <v>1498.35312812538</v>
      </c>
      <c r="B36" s="231" t="str">
        <f aca="false">IF(B26="YES",K42,"0.00")</f>
        <v>0.00</v>
      </c>
      <c r="C36" s="231"/>
      <c r="D36" s="231"/>
      <c r="E36" s="231" t="n">
        <f aca="false">K31</f>
        <v>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48887.5</v>
      </c>
      <c r="L39" s="2" t="n">
        <f aca="false">(L47*K46)+K44</f>
        <v>26101.9910899984</v>
      </c>
      <c r="N39" s="1" t="n">
        <f aca="false">K39-L39</f>
        <v>22785.5089100016</v>
      </c>
      <c r="P39" s="211"/>
    </row>
    <row r="40" customFormat="false" ht="19.5" hidden="false" customHeight="false" outlineLevel="0" collapsed="false">
      <c r="A40" s="106" t="n">
        <f aca="false">E36*A45/100</f>
        <v>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0</v>
      </c>
      <c r="L40" s="2" t="n">
        <f aca="false">K39-L39</f>
        <v>22785.5089100016</v>
      </c>
      <c r="N40" s="1" t="n">
        <f aca="false">N38-N39</f>
        <v>-19873.8289100016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0.00541666666666667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0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48887.5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32.627488862498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1498.35312812538</v>
      </c>
      <c r="L47" s="2" t="n">
        <f aca="false">L49-K42</f>
        <v>800</v>
      </c>
      <c r="M47" s="1" t="n">
        <f aca="false">K47-L47</f>
        <v>698.353128125383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1498.35312812538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1498.35312812538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57885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57885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57885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57885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0.065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21345.1955679173</v>
      </c>
      <c r="C65" s="92"/>
      <c r="D65" s="92"/>
      <c r="E65" s="112"/>
      <c r="F65" s="112"/>
      <c r="G65" s="112"/>
      <c r="H65" s="32"/>
      <c r="J65" s="55" t="s">
        <v>91</v>
      </c>
      <c r="K65" s="64" t="n">
        <f aca="false">(K89*K59)-(K47*K29)</f>
        <v>-2234.75535256069</v>
      </c>
      <c r="L65" s="92"/>
      <c r="M65" s="92"/>
      <c r="N65" s="112"/>
      <c r="O65" s="112"/>
      <c r="P65" s="112"/>
      <c r="Q65" s="32"/>
      <c r="S65" s="55" t="s">
        <v>91</v>
      </c>
      <c r="T65" s="64" t="n">
        <f aca="false">(T89*T59)-(K47*K29)</f>
        <v>1011.0357462498</v>
      </c>
      <c r="U65" s="92"/>
      <c r="V65" s="92"/>
      <c r="W65" s="112"/>
      <c r="X65" s="112"/>
      <c r="Y65" s="112"/>
      <c r="Z65" s="32"/>
      <c r="AB65" s="55" t="s">
        <v>91</v>
      </c>
      <c r="AC65" s="64" t="n">
        <f aca="false">(AC89*AC59)-(K47*K29)</f>
        <v>1011.0357462498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564.516633333333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4341.375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578.85</v>
      </c>
      <c r="U68" s="92"/>
      <c r="V68" s="92"/>
      <c r="W68" s="112"/>
      <c r="X68" s="112"/>
      <c r="Y68" s="112"/>
      <c r="Z68" s="32"/>
      <c r="AB68" s="55" t="s">
        <v>94</v>
      </c>
      <c r="AC68" s="64" t="n">
        <f aca="false">AH158*AC67</f>
        <v>454.68749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1498.35312812538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1498.35312812538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1498.35312812538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1498.35312812538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67741.996</v>
      </c>
      <c r="C81" s="92"/>
      <c r="D81" s="92"/>
      <c r="E81" s="112"/>
      <c r="F81" s="24" t="s">
        <v>106</v>
      </c>
      <c r="G81" s="26" t="n">
        <f aca="false">G158</f>
        <v>67741.996</v>
      </c>
      <c r="H81" s="32"/>
      <c r="J81" s="24" t="s">
        <v>106</v>
      </c>
      <c r="K81" s="26" t="n">
        <f aca="false">P158</f>
        <v>37655</v>
      </c>
      <c r="L81" s="92"/>
      <c r="M81" s="92"/>
      <c r="N81" s="112"/>
      <c r="O81" s="112"/>
      <c r="P81" s="112"/>
      <c r="Q81" s="32"/>
      <c r="S81" s="24" t="s">
        <v>106</v>
      </c>
      <c r="T81" s="26" t="n">
        <f aca="false">Y158</f>
        <v>45468.749</v>
      </c>
      <c r="U81" s="92"/>
      <c r="V81" s="92"/>
      <c r="W81" s="112"/>
      <c r="X81" s="112"/>
      <c r="Y81" s="112"/>
      <c r="Z81" s="32"/>
      <c r="AB81" s="24" t="s">
        <v>106</v>
      </c>
      <c r="AC81" s="26" t="n">
        <f aca="false">AH158</f>
        <v>45468.749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0</v>
      </c>
      <c r="C82" s="92"/>
      <c r="D82" s="92"/>
      <c r="E82" s="112"/>
      <c r="F82" s="30" t="s">
        <v>107</v>
      </c>
      <c r="G82" s="32" t="n">
        <f aca="false">IF(A111="YES",A40,0)</f>
        <v>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0.089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0.00741666666666667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36</v>
      </c>
      <c r="C85" s="92"/>
      <c r="D85" s="92"/>
      <c r="E85" s="112"/>
      <c r="F85" s="30" t="s">
        <v>110</v>
      </c>
      <c r="G85" s="32" t="n">
        <f aca="false">IF(G82=0,(B59+B58),(B59))</f>
        <v>36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0</v>
      </c>
      <c r="C86" s="92"/>
      <c r="D86" s="92"/>
      <c r="E86" s="112"/>
      <c r="F86" s="30" t="s">
        <v>111</v>
      </c>
      <c r="G86" s="32" t="n">
        <f aca="false">(G82/((1+G84)^(G85+1)))</f>
        <v>0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0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0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31.4928771838377</v>
      </c>
      <c r="C87" s="92"/>
      <c r="D87" s="92"/>
      <c r="E87" s="112"/>
      <c r="F87" s="30" t="s">
        <v>112</v>
      </c>
      <c r="G87" s="32" t="n">
        <f aca="false">((1-(1/((1+G84)^G85)))/G84)</f>
        <v>32.627488862498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67741.996</v>
      </c>
      <c r="C88" s="92"/>
      <c r="D88" s="92"/>
      <c r="E88" s="112"/>
      <c r="F88" s="30" t="s">
        <v>113</v>
      </c>
      <c r="G88" s="32" t="n">
        <f aca="false">G81-G86</f>
        <v>67741.996</v>
      </c>
      <c r="H88" s="32"/>
      <c r="J88" s="30" t="s">
        <v>113</v>
      </c>
      <c r="K88" s="32" t="n">
        <f aca="false">K81-K86</f>
        <v>37655</v>
      </c>
      <c r="L88" s="92"/>
      <c r="M88" s="92"/>
      <c r="N88" s="112"/>
      <c r="O88" s="112"/>
      <c r="P88" s="112"/>
      <c r="Q88" s="32"/>
      <c r="S88" s="30" t="s">
        <v>113</v>
      </c>
      <c r="T88" s="32" t="n">
        <f aca="false">T81-T86</f>
        <v>45468.749</v>
      </c>
      <c r="U88" s="92"/>
      <c r="V88" s="92"/>
      <c r="W88" s="112"/>
      <c r="X88" s="112"/>
      <c r="Y88" s="112"/>
      <c r="Z88" s="32"/>
      <c r="AB88" s="30" t="s">
        <v>113</v>
      </c>
      <c r="AC88" s="32" t="n">
        <f aca="false">AC81-AC86</f>
        <v>45468.749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2151.02594801231</v>
      </c>
      <c r="C89" s="92"/>
      <c r="D89" s="92"/>
      <c r="E89" s="112"/>
      <c r="F89" s="30" t="s">
        <v>114</v>
      </c>
      <c r="G89" s="32" t="n">
        <f aca="false">(G88/G87)</f>
        <v>2076.22463026453</v>
      </c>
      <c r="H89" s="32"/>
      <c r="J89" s="30" t="s">
        <v>114</v>
      </c>
      <c r="K89" s="32" t="n">
        <f aca="false">(K88/K87)</f>
        <v>1477.31306457009</v>
      </c>
      <c r="L89" s="92"/>
      <c r="M89" s="92"/>
      <c r="N89" s="112"/>
      <c r="O89" s="112"/>
      <c r="P89" s="112"/>
      <c r="Q89" s="32"/>
      <c r="S89" s="30" t="s">
        <v>114</v>
      </c>
      <c r="T89" s="32" t="n">
        <f aca="false">(T88/T87)</f>
        <v>1570.04995310753</v>
      </c>
      <c r="U89" s="92"/>
      <c r="V89" s="92"/>
      <c r="W89" s="112"/>
      <c r="X89" s="112"/>
      <c r="Y89" s="112"/>
      <c r="Z89" s="32"/>
      <c r="AB89" s="30" t="s">
        <v>114</v>
      </c>
      <c r="AC89" s="32" t="n">
        <f aca="false">(AC88/AC87)</f>
        <v>1570.04995310753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77436.9341284433</v>
      </c>
      <c r="C90" s="92"/>
      <c r="D90" s="92"/>
      <c r="E90" s="112"/>
      <c r="F90" s="30" t="s">
        <v>115</v>
      </c>
      <c r="G90" s="32" t="n">
        <f aca="false">((G89*(G85))+G77)</f>
        <v>74744.086689523</v>
      </c>
      <c r="H90" s="32"/>
      <c r="J90" s="30" t="s">
        <v>115</v>
      </c>
      <c r="K90" s="32" t="n">
        <f aca="false">((K89*(K85))+K77)</f>
        <v>53183.2703245232</v>
      </c>
      <c r="L90" s="92"/>
      <c r="M90" s="92"/>
      <c r="N90" s="112"/>
      <c r="O90" s="112"/>
      <c r="P90" s="112"/>
      <c r="Q90" s="32"/>
      <c r="S90" s="30" t="s">
        <v>115</v>
      </c>
      <c r="T90" s="32" t="n">
        <f aca="false">(T89*(T85))+T77</f>
        <v>54951.7483587636</v>
      </c>
      <c r="U90" s="92"/>
      <c r="V90" s="92"/>
      <c r="W90" s="112"/>
      <c r="X90" s="112"/>
      <c r="Y90" s="112"/>
      <c r="Z90" s="32"/>
      <c r="AB90" s="30" t="s">
        <v>115</v>
      </c>
      <c r="AC90" s="32" t="n">
        <f aca="false">(AC89*(AC59))+AC77</f>
        <v>54951.7483587636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n">
        <f aca="false">(K90/(1-K71))*K71</f>
        <v>0</v>
      </c>
      <c r="L91" s="92"/>
      <c r="M91" s="92"/>
      <c r="N91" s="112"/>
      <c r="O91" s="112"/>
      <c r="P91" s="112"/>
      <c r="Q91" s="32"/>
      <c r="S91" s="30" t="s">
        <v>116</v>
      </c>
      <c r="T91" s="32" t="n">
        <f aca="false">(T90/(1-T71))*T71</f>
        <v>0</v>
      </c>
      <c r="U91" s="92"/>
      <c r="V91" s="92"/>
      <c r="W91" s="112"/>
      <c r="X91" s="112"/>
      <c r="Y91" s="112"/>
      <c r="Z91" s="32"/>
      <c r="AB91" s="30" t="s">
        <v>116</v>
      </c>
      <c r="AC91" s="32" t="n">
        <f aca="false">(AC90/(1-AC71))*AC71</f>
        <v>0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77436.9341284433</v>
      </c>
      <c r="C92" s="92"/>
      <c r="D92" s="92"/>
      <c r="E92" s="112"/>
      <c r="F92" s="55" t="s">
        <v>117</v>
      </c>
      <c r="G92" s="64" t="n">
        <f aca="false">(G90+G91)</f>
        <v>74744.086689523</v>
      </c>
      <c r="H92" s="32"/>
      <c r="J92" s="55" t="s">
        <v>117</v>
      </c>
      <c r="K92" s="64" t="n">
        <f aca="false">(K90+K91)</f>
        <v>53183.2703245232</v>
      </c>
      <c r="L92" s="92"/>
      <c r="M92" s="92"/>
      <c r="N92" s="112"/>
      <c r="O92" s="112"/>
      <c r="P92" s="112"/>
      <c r="Q92" s="32"/>
      <c r="S92" s="55" t="s">
        <v>117</v>
      </c>
      <c r="T92" s="64" t="n">
        <f aca="false">(T90+T91)</f>
        <v>54951.7483587636</v>
      </c>
      <c r="U92" s="92"/>
      <c r="V92" s="92"/>
      <c r="W92" s="112"/>
      <c r="X92" s="112"/>
      <c r="Y92" s="112"/>
      <c r="Z92" s="32"/>
      <c r="AB92" s="55" t="s">
        <v>117</v>
      </c>
      <c r="AC92" s="64" t="n">
        <f aca="false">(AC90+AC91)</f>
        <v>54951.7483587636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2151.02594801231</v>
      </c>
      <c r="C95" s="92"/>
      <c r="D95" s="92"/>
      <c r="E95" s="112"/>
      <c r="F95" s="94" t="s">
        <v>119</v>
      </c>
      <c r="G95" s="95" t="n">
        <f aca="false">G92/(G85)</f>
        <v>2076.22463026453</v>
      </c>
      <c r="H95" s="32"/>
      <c r="J95" s="94" t="s">
        <v>119</v>
      </c>
      <c r="K95" s="95" t="n">
        <f aca="false">K92/(K85)</f>
        <v>1477.31306457009</v>
      </c>
      <c r="L95" s="92"/>
      <c r="M95" s="92"/>
      <c r="N95" s="112"/>
      <c r="O95" s="112"/>
      <c r="P95" s="112"/>
      <c r="Q95" s="32"/>
      <c r="S95" s="94" t="s">
        <v>119</v>
      </c>
      <c r="T95" s="95" t="n">
        <f aca="false">T92/(T85)</f>
        <v>1570.04995310753</v>
      </c>
      <c r="U95" s="92"/>
      <c r="V95" s="92"/>
      <c r="W95" s="112"/>
      <c r="X95" s="112"/>
      <c r="Y95" s="112"/>
      <c r="Z95" s="32"/>
      <c r="AB95" s="94" t="s">
        <v>119</v>
      </c>
      <c r="AC95" s="95" t="n">
        <f aca="false">AC92/(AC59)</f>
        <v>1570.04995310753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2151.02594801231</v>
      </c>
      <c r="C96" s="92"/>
      <c r="D96" s="92"/>
      <c r="E96" s="112"/>
      <c r="F96" s="96" t="s">
        <v>120</v>
      </c>
      <c r="G96" s="97" t="n">
        <f aca="false">G94+G95</f>
        <v>2076.22463026453</v>
      </c>
      <c r="H96" s="32"/>
      <c r="J96" s="96" t="s">
        <v>120</v>
      </c>
      <c r="K96" s="97" t="n">
        <f aca="false">(K94+K95)</f>
        <v>1477.31306457009</v>
      </c>
      <c r="L96" s="92"/>
      <c r="M96" s="92"/>
      <c r="N96" s="112"/>
      <c r="O96" s="112"/>
      <c r="P96" s="112"/>
      <c r="Q96" s="32"/>
      <c r="S96" s="96" t="s">
        <v>120</v>
      </c>
      <c r="T96" s="97" t="n">
        <f aca="false">T94+T95</f>
        <v>1570.04995310753</v>
      </c>
      <c r="U96" s="92"/>
      <c r="V96" s="92"/>
      <c r="W96" s="112"/>
      <c r="X96" s="112"/>
      <c r="Y96" s="112"/>
      <c r="Z96" s="32"/>
      <c r="AB96" s="96" t="s">
        <v>120</v>
      </c>
      <c r="AC96" s="97" t="n">
        <f aca="false">AC94+AC95</f>
        <v>1570.04995310753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18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0.3</v>
      </c>
      <c r="B108" s="106" t="s">
        <v>273</v>
      </c>
      <c r="C108" s="106"/>
      <c r="D108" s="106" t="n">
        <v>0</v>
      </c>
      <c r="E108" s="107" t="n">
        <f aca="false">B83</f>
        <v>0.089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46854.17</v>
      </c>
      <c r="C121" s="120" t="n">
        <f aca="false">B121</f>
        <v>46854.17</v>
      </c>
      <c r="D121" s="119" t="n">
        <f aca="false">D3</f>
        <v>0</v>
      </c>
      <c r="E121" s="120" t="n">
        <f aca="false">D121</f>
        <v>0</v>
      </c>
      <c r="F121" s="119" t="n">
        <f aca="false">F3</f>
        <v>833.33</v>
      </c>
      <c r="G121" s="120" t="n">
        <f aca="false">F121</f>
        <v>833.33</v>
      </c>
      <c r="H121" s="121" t="n">
        <f aca="false">H3</f>
        <v>0</v>
      </c>
      <c r="J121" s="24" t="s">
        <v>150</v>
      </c>
      <c r="K121" s="119" t="n">
        <f aca="false">B3</f>
        <v>46854.17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n">
        <f aca="false">F3</f>
        <v>833.33</v>
      </c>
      <c r="P121" s="120" t="n">
        <f aca="false">O121</f>
        <v>833.33</v>
      </c>
      <c r="Q121" s="121" t="n">
        <f aca="false">H3</f>
        <v>0</v>
      </c>
      <c r="S121" s="24" t="s">
        <v>150</v>
      </c>
      <c r="T121" s="119" t="n">
        <f aca="false">B3</f>
        <v>46854.17</v>
      </c>
      <c r="U121" s="120" t="n">
        <f aca="false">T121</f>
        <v>46854.17</v>
      </c>
      <c r="V121" s="119" t="n">
        <f aca="false">D3</f>
        <v>0</v>
      </c>
      <c r="W121" s="120" t="n">
        <f aca="false">V121</f>
        <v>0</v>
      </c>
      <c r="X121" s="119" t="n">
        <f aca="false">F3</f>
        <v>833.33</v>
      </c>
      <c r="Y121" s="120" t="n">
        <f aca="false">X121</f>
        <v>833.33</v>
      </c>
      <c r="Z121" s="121" t="n">
        <f aca="false">H3</f>
        <v>0</v>
      </c>
      <c r="AB121" s="24" t="s">
        <v>150</v>
      </c>
      <c r="AC121" s="119" t="n">
        <f aca="false">B3</f>
        <v>46854.17</v>
      </c>
      <c r="AD121" s="120" t="n">
        <f aca="false">AC121</f>
        <v>46854.17</v>
      </c>
      <c r="AE121" s="119" t="n">
        <f aca="false">D3</f>
        <v>0</v>
      </c>
      <c r="AF121" s="120" t="n">
        <f aca="false">AE121</f>
        <v>0</v>
      </c>
      <c r="AG121" s="119" t="n">
        <f aca="false">F3</f>
        <v>833.33</v>
      </c>
      <c r="AH121" s="120" t="n">
        <f aca="false">AG121</f>
        <v>833.33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v>0</v>
      </c>
      <c r="D122" s="122" t="n">
        <f aca="false">D4</f>
        <v>0</v>
      </c>
      <c r="E122" s="123" t="n">
        <v>0</v>
      </c>
      <c r="F122" s="122" t="n">
        <f aca="false">F4</f>
        <v>0</v>
      </c>
      <c r="G122" s="448" t="n">
        <v>0</v>
      </c>
      <c r="H122" s="125"/>
      <c r="J122" s="30" t="s">
        <v>151</v>
      </c>
      <c r="K122" s="122" t="n">
        <f aca="false">B4</f>
        <v>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n">
        <f aca="false">F4</f>
        <v>0</v>
      </c>
      <c r="P122" s="448" t="n">
        <f aca="false">O122</f>
        <v>0</v>
      </c>
      <c r="Q122" s="125"/>
      <c r="S122" s="30" t="s">
        <v>151</v>
      </c>
      <c r="T122" s="122" t="n">
        <f aca="false">B4</f>
        <v>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n">
        <f aca="false">F4</f>
        <v>0</v>
      </c>
      <c r="Y122" s="448" t="n">
        <f aca="false">X122</f>
        <v>0</v>
      </c>
      <c r="Z122" s="125"/>
      <c r="AB122" s="30" t="s">
        <v>151</v>
      </c>
      <c r="AC122" s="122" t="n">
        <f aca="false">B4</f>
        <v>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n">
        <f aca="false">F4</f>
        <v>0</v>
      </c>
      <c r="AH122" s="448" t="n">
        <f aca="false">AG122</f>
        <v>0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v>-3544.67</v>
      </c>
      <c r="D123" s="129" t="n">
        <f aca="false">D5</f>
        <v>0</v>
      </c>
      <c r="E123" s="120" t="n">
        <v>0</v>
      </c>
      <c r="F123" s="129" t="n">
        <f aca="false">F5</f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n">
        <f aca="false">F5</f>
        <v>0</v>
      </c>
      <c r="P123" s="120" t="n">
        <f aca="false">O123</f>
        <v>0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n">
        <f aca="false">F5</f>
        <v>0</v>
      </c>
      <c r="Y123" s="120" t="n">
        <f aca="false">X123</f>
        <v>0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n">
        <f aca="false">F5</f>
        <v>0</v>
      </c>
      <c r="AH123" s="120" t="n">
        <f aca="false">AG123</f>
        <v>0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-9755.83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n">
        <f aca="false">(O121*O122)+O123</f>
        <v>0</v>
      </c>
      <c r="P124" s="130" t="n">
        <f aca="false">(P121*P122)+P123</f>
        <v>0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11713.5425</v>
      </c>
      <c r="V124" s="129" t="n">
        <f aca="false">(V121*V122)+V123</f>
        <v>0</v>
      </c>
      <c r="W124" s="130" t="n">
        <f aca="false">(W121*W122)+W123</f>
        <v>0</v>
      </c>
      <c r="X124" s="129" t="n">
        <f aca="false">(X121*X122)+X123</f>
        <v>0</v>
      </c>
      <c r="Y124" s="130" t="n">
        <f aca="false">(Y121*Y122)+Y123</f>
        <v>0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11713.5425</v>
      </c>
      <c r="AE124" s="129" t="n">
        <f aca="false">(AE121*AE122)+AE123</f>
        <v>0</v>
      </c>
      <c r="AF124" s="130" t="n">
        <f aca="false">(AF121*AF122)+AF123</f>
        <v>0</v>
      </c>
      <c r="AG124" s="129" t="n">
        <f aca="false">(AG121*AG122)+AG123</f>
        <v>0</v>
      </c>
      <c r="AH124" s="130" t="n">
        <f aca="false">(AH121*AH122)+AH123</f>
        <v>0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46854.17</v>
      </c>
      <c r="C125" s="132" t="n">
        <f aca="false">C121-C124</f>
        <v>56610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833.33</v>
      </c>
      <c r="G125" s="132" t="n">
        <f aca="false">G121-G124</f>
        <v>833.33</v>
      </c>
      <c r="H125" s="64"/>
      <c r="J125" s="55" t="s">
        <v>154</v>
      </c>
      <c r="K125" s="131" t="n">
        <f aca="false">K121-K124</f>
        <v>46854.17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n">
        <f aca="false">O121-O124</f>
        <v>833.33</v>
      </c>
      <c r="P125" s="132" t="n">
        <f aca="false">P121-P124</f>
        <v>833.33</v>
      </c>
      <c r="Q125" s="64"/>
      <c r="S125" s="55" t="s">
        <v>154</v>
      </c>
      <c r="T125" s="131" t="n">
        <f aca="false">T121-T124</f>
        <v>46854.17</v>
      </c>
      <c r="U125" s="132" t="n">
        <f aca="false">U121-U124</f>
        <v>35140.6275</v>
      </c>
      <c r="V125" s="131" t="n">
        <f aca="false">V121-V124</f>
        <v>0</v>
      </c>
      <c r="W125" s="132" t="n">
        <f aca="false">W121-W124</f>
        <v>0</v>
      </c>
      <c r="X125" s="131" t="n">
        <f aca="false">X121-X124</f>
        <v>833.33</v>
      </c>
      <c r="Y125" s="132" t="n">
        <f aca="false">Y121-Y124</f>
        <v>833.33</v>
      </c>
      <c r="Z125" s="64"/>
      <c r="AB125" s="55" t="s">
        <v>154</v>
      </c>
      <c r="AC125" s="131" t="n">
        <f aca="false">AC121-AC124</f>
        <v>46854.17</v>
      </c>
      <c r="AD125" s="132" t="n">
        <f aca="false">AD121-AD124</f>
        <v>35140.6275</v>
      </c>
      <c r="AE125" s="131" t="n">
        <f aca="false">AE121-AE124</f>
        <v>0</v>
      </c>
      <c r="AF125" s="132" t="n">
        <f aca="false">AF121-AF124</f>
        <v>0</v>
      </c>
      <c r="AG125" s="131" t="n">
        <f aca="false">AG121-AG124</f>
        <v>833.33</v>
      </c>
      <c r="AH125" s="132" t="n">
        <f aca="false">AH121-AH124</f>
        <v>833.33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47687.5</v>
      </c>
      <c r="H135" s="152" t="n">
        <f aca="false">C125+E125+G125+H128</f>
        <v>57443.33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47687.5</v>
      </c>
      <c r="Q135" s="152" t="n">
        <f aca="false">L125+N125+P125+Q128</f>
        <v>29462.5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47687.5</v>
      </c>
      <c r="Z135" s="152" t="n">
        <f aca="false">U125+W125+Y125+Z128</f>
        <v>35973.9575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47687.5</v>
      </c>
      <c r="AI135" s="152" t="n">
        <f aca="false">AD125+AF125+AH125+AI128</f>
        <v>35973.9575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550</v>
      </c>
      <c r="H136" s="32" t="n">
        <f aca="false">G136</f>
        <v>550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550</v>
      </c>
      <c r="Q136" s="32" t="n">
        <f aca="false">P136</f>
        <v>550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550</v>
      </c>
      <c r="Z136" s="32" t="n">
        <f aca="false">Y136</f>
        <v>550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550</v>
      </c>
      <c r="AI136" s="32" t="n">
        <f aca="false">AH136</f>
        <v>550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9647.5</v>
      </c>
      <c r="H137" s="32" t="n">
        <f aca="false">(H135+H136)*20%</f>
        <v>11598.666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9647.5</v>
      </c>
      <c r="Q137" s="32" t="n">
        <f aca="false">(Q135+Q136)*20%</f>
        <v>6002.5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9647.5</v>
      </c>
      <c r="Z137" s="32" t="n">
        <f aca="false">(Z135+Z136)*20%</f>
        <v>7304.7915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9647.5</v>
      </c>
      <c r="AI137" s="32" t="n">
        <f aca="false">(AI135+AI136)*20%</f>
        <v>7304.7915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585</v>
      </c>
      <c r="H139" s="32" t="n">
        <f aca="false">G139</f>
        <v>585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585</v>
      </c>
      <c r="Q139" s="32" t="n">
        <f aca="false">P139</f>
        <v>585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585</v>
      </c>
      <c r="Z139" s="32" t="n">
        <f aca="false">Y139</f>
        <v>585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585</v>
      </c>
      <c r="AI139" s="32" t="n">
        <f aca="false">AH139</f>
        <v>585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65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65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65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58535</v>
      </c>
      <c r="H141" s="156" t="n">
        <f aca="false">(H135+H136+H139+H140+H137)-H138</f>
        <v>70241.996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58535</v>
      </c>
      <c r="Q141" s="156" t="n">
        <f aca="false">(Q135+Q136+Q139+Q140+Q137)-Q138</f>
        <v>36655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58535</v>
      </c>
      <c r="Z141" s="156" t="n">
        <f aca="false">(Z135+Z136+Z139+Z140+Z137)-Z138</f>
        <v>44468.749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58535</v>
      </c>
      <c r="AI141" s="156" t="n">
        <f aca="false">(AI135+AI136+AI139+AI140+AI137)-AI138</f>
        <v>44468.749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58535</v>
      </c>
      <c r="H147" s="163" t="n">
        <f aca="false">H141-((H144*1.2)+(H145*1.2)+(H146*1.2)+(H142*1.2))</f>
        <v>70241.996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58535</v>
      </c>
      <c r="Q147" s="163" t="n">
        <f aca="false">Q141-((Q144*1.2)+(Q145*1.2)+(Q146*1.2)+(Q142*1.2))</f>
        <v>36655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58535</v>
      </c>
      <c r="Z147" s="163" t="n">
        <f aca="false">Z141-((Z144*1.2)+(Z145*1.2)+(Z146*1.2)+(Z142*1.2))</f>
        <v>44468.749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58535</v>
      </c>
      <c r="AI147" s="163" t="n">
        <f aca="false">AI141-((AI144*1.2)+(AI145*1.2)+(AI146*1.2)+(AI142*1.2))</f>
        <v>44468.749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9755.83</v>
      </c>
      <c r="I148" s="1" t="n">
        <f aca="false">(H148-G81)/1.2</f>
        <v>-48321.805</v>
      </c>
      <c r="J148" s="153" t="s">
        <v>173</v>
      </c>
      <c r="K148" s="153"/>
      <c r="L148" s="153"/>
      <c r="M148" s="153"/>
      <c r="N148" s="153"/>
      <c r="O148" s="153"/>
      <c r="P148" s="154"/>
      <c r="Q148" s="39" t="n">
        <f aca="false">Q147-P147</f>
        <v>-21880</v>
      </c>
      <c r="S148" s="153" t="s">
        <v>173</v>
      </c>
      <c r="T148" s="153"/>
      <c r="U148" s="153"/>
      <c r="V148" s="153"/>
      <c r="W148" s="153"/>
      <c r="X148" s="153"/>
      <c r="Y148" s="154"/>
      <c r="Z148" s="39" t="n">
        <f aca="false">Z147-Y147</f>
        <v>-14066.251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n">
        <f aca="false">AI147-AH147</f>
        <v>-14066.251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67741.996</v>
      </c>
      <c r="H158" s="169"/>
      <c r="J158" s="168" t="s">
        <v>180</v>
      </c>
      <c r="K158" s="92"/>
      <c r="L158" s="92"/>
      <c r="M158" s="112"/>
      <c r="N158" s="92"/>
      <c r="O158" s="112"/>
      <c r="P158" s="169" t="n">
        <f aca="false">Q147-P154-P157</f>
        <v>37655</v>
      </c>
      <c r="Q158" s="169"/>
      <c r="S158" s="168" t="s">
        <v>180</v>
      </c>
      <c r="T158" s="92"/>
      <c r="U158" s="92"/>
      <c r="V158" s="112"/>
      <c r="W158" s="92"/>
      <c r="X158" s="112"/>
      <c r="Y158" s="169" t="n">
        <f aca="false">Z147-Y154-Y157</f>
        <v>45468.749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n">
        <f aca="false">AI147-AH154-AH157</f>
        <v>45468.749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2151.02594801231</v>
      </c>
      <c r="B167" s="176" t="str">
        <f aca="false">B94</f>
        <v>0</v>
      </c>
      <c r="C167" s="173"/>
      <c r="D167" s="173"/>
      <c r="E167" s="176" t="n">
        <f aca="false">B96</f>
        <v>2151.02594801231</v>
      </c>
      <c r="F167" s="22"/>
      <c r="G167" s="22" t="n">
        <f aca="false">ROUND(G95,2)</f>
        <v>2076.22</v>
      </c>
      <c r="H167" s="32"/>
      <c r="J167" s="175" t="n">
        <f aca="false">K95</f>
        <v>1477.31306457009</v>
      </c>
      <c r="K167" s="176" t="n">
        <f aca="false">K94</f>
        <v>0</v>
      </c>
      <c r="L167" s="173"/>
      <c r="M167" s="173"/>
      <c r="N167" s="176" t="n">
        <f aca="false">K96</f>
        <v>1477.31306457009</v>
      </c>
      <c r="O167" s="22"/>
      <c r="P167" s="22"/>
      <c r="Q167" s="32"/>
      <c r="S167" s="175" t="n">
        <f aca="false">T95</f>
        <v>1570.04995310753</v>
      </c>
      <c r="T167" s="176" t="n">
        <f aca="false">T94</f>
        <v>0</v>
      </c>
      <c r="U167" s="173"/>
      <c r="V167" s="173"/>
      <c r="W167" s="176" t="n">
        <f aca="false">T96</f>
        <v>1570.04995310753</v>
      </c>
      <c r="X167" s="22"/>
      <c r="Y167" s="22"/>
      <c r="Z167" s="32"/>
      <c r="AB167" s="175" t="n">
        <f aca="false">AC95</f>
        <v>1570.04995310753</v>
      </c>
      <c r="AC167" s="176" t="n">
        <f aca="false">AC94</f>
        <v>0</v>
      </c>
      <c r="AD167" s="173"/>
      <c r="AE167" s="173"/>
      <c r="AF167" s="176" t="n">
        <f aca="false">AC96</f>
        <v>1570.04995310753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57993.33</v>
      </c>
      <c r="B173" s="102" t="n">
        <f aca="false">H137</f>
        <v>11598.666</v>
      </c>
      <c r="C173" s="185"/>
      <c r="D173" s="22"/>
      <c r="E173" s="181" t="n">
        <f aca="false">H139+H140</f>
        <v>650</v>
      </c>
      <c r="F173" s="22"/>
      <c r="G173" s="22"/>
      <c r="H173" s="32"/>
      <c r="J173" s="184" t="n">
        <f aca="false">Q141-Q137-Q139-Q140</f>
        <v>30012.5</v>
      </c>
      <c r="K173" s="102" t="n">
        <f aca="false">Q137</f>
        <v>6002.5</v>
      </c>
      <c r="L173" s="185"/>
      <c r="M173" s="22"/>
      <c r="N173" s="181" t="n">
        <f aca="false">Q139+Q140</f>
        <v>640</v>
      </c>
      <c r="O173" s="22"/>
      <c r="P173" s="22"/>
      <c r="Q173" s="32"/>
      <c r="S173" s="184" t="n">
        <f aca="false">Z141-Z137-Z139-Z140</f>
        <v>36523.9575</v>
      </c>
      <c r="T173" s="102" t="n">
        <f aca="false">Z137</f>
        <v>7304.7915</v>
      </c>
      <c r="U173" s="185"/>
      <c r="V173" s="22"/>
      <c r="W173" s="181" t="n">
        <f aca="false">Z139+Z140</f>
        <v>640</v>
      </c>
      <c r="X173" s="22"/>
      <c r="Y173" s="22"/>
      <c r="Z173" s="32"/>
      <c r="AB173" s="184" t="n">
        <f aca="false">AI141-AI137-AI139-AI140</f>
        <v>36523.9575</v>
      </c>
      <c r="AC173" s="102" t="n">
        <f aca="false">AI137</f>
        <v>7304.7915</v>
      </c>
      <c r="AD173" s="185"/>
      <c r="AE173" s="22"/>
      <c r="AF173" s="181" t="n">
        <f aca="false">AI139+AI140</f>
        <v>640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70241.996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n">
        <f aca="false">Q141</f>
        <v>36655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n">
        <f aca="false">Z141</f>
        <v>44468.749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n">
        <f aca="false">AI141</f>
        <v>44468.749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67741.996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n">
        <f aca="false">J176-J179-K179</f>
        <v>37655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n">
        <f aca="false">S176-S179-T179</f>
        <v>45468.749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n">
        <f aca="false">AB176-AB179-AC179</f>
        <v>45468.749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9694.93812844316</v>
      </c>
      <c r="B182" s="102" t="str">
        <f aca="false">B114</f>
        <v>199.99</v>
      </c>
      <c r="C182" s="102"/>
      <c r="D182" s="22"/>
      <c r="E182" s="102" t="n">
        <f aca="false">E179+A182+(B182*1.2)+A185</f>
        <v>77686.9221284432</v>
      </c>
      <c r="F182" s="22"/>
      <c r="G182" s="22"/>
      <c r="H182" s="104"/>
      <c r="J182" s="110" t="n">
        <f aca="false">(J167*K59)+N185-N179-J185</f>
        <v>14050.9572599531</v>
      </c>
      <c r="K182" s="102" t="n">
        <f aca="false">K114</f>
        <v>239.99</v>
      </c>
      <c r="L182" s="102"/>
      <c r="M182" s="22"/>
      <c r="N182" s="102" t="n">
        <f aca="false">N179+J182+K182+J185</f>
        <v>51965.9472599531</v>
      </c>
      <c r="O182" s="22"/>
      <c r="P182" s="22"/>
      <c r="Q182" s="104"/>
      <c r="S182" s="110" t="n">
        <f aca="false">(S167*T59)+W185-W179-S185</f>
        <v>9482.99935876357</v>
      </c>
      <c r="T182" s="102" t="n">
        <f aca="false">T114</f>
        <v>199.99</v>
      </c>
      <c r="U182" s="102"/>
      <c r="V182" s="22"/>
      <c r="W182" s="102" t="n">
        <f aca="false">W179+S182+T182+S185</f>
        <v>55161.7383587636</v>
      </c>
      <c r="X182" s="22"/>
      <c r="Y182" s="22"/>
      <c r="Z182" s="104"/>
      <c r="AB182" s="110" t="n">
        <f aca="false">(AB167*AC59)+AF185-AF179-AB185</f>
        <v>9482.99935876357</v>
      </c>
      <c r="AC182" s="102" t="n">
        <f aca="false">AC114</f>
        <v>239.99</v>
      </c>
      <c r="AD182" s="102"/>
      <c r="AE182" s="22"/>
      <c r="AF182" s="102" t="n">
        <f aca="false">AF179+AB182+AC182+AB185</f>
        <v>55201.7383587636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A179+(B182*1.2)</f>
        <v>2239.988</v>
      </c>
      <c r="C185" s="102"/>
      <c r="D185" s="22"/>
      <c r="E185" s="102" t="n">
        <f aca="false">IF( E170=0 , A185+E167, E170+A185)</f>
        <v>2161.02594801231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20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</f>
        <v>0</v>
      </c>
      <c r="B188" s="102" t="n">
        <f aca="false">(G158*B67)/1.2</f>
        <v>564.516633333333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0.11707</v>
      </c>
      <c r="K188" s="102" t="n">
        <f aca="false">(P158*K67)/1.2</f>
        <v>2353.4375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n">
        <f aca="false">(Y158*T67)/1.2</f>
        <v>378.906241666667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n">
        <f aca="false">(AH158*AC67)/1.2</f>
        <v>378.906241666667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664.506633333333</v>
      </c>
      <c r="C191" s="92"/>
      <c r="D191" s="92"/>
      <c r="E191" s="102" t="n">
        <f aca="false">H148</f>
        <v>9755.83</v>
      </c>
      <c r="F191" s="22"/>
      <c r="G191" s="22"/>
      <c r="H191" s="32"/>
      <c r="J191" s="110" t="n">
        <f aca="false">K185-100</f>
        <v>1139.99</v>
      </c>
      <c r="K191" s="102" t="n">
        <f aca="false">K188+N188+J191</f>
        <v>3493.4275</v>
      </c>
      <c r="L191" s="92"/>
      <c r="M191" s="92"/>
      <c r="N191" s="102" t="n">
        <f aca="false">Q148</f>
        <v>-21880</v>
      </c>
      <c r="O191" s="22"/>
      <c r="P191" s="22"/>
      <c r="Q191" s="32"/>
      <c r="S191" s="110" t="n">
        <f aca="false">T185-100</f>
        <v>1099.99</v>
      </c>
      <c r="T191" s="102" t="n">
        <f aca="false">T188+W188+S191</f>
        <v>1478.89624166667</v>
      </c>
      <c r="U191" s="92"/>
      <c r="V191" s="92"/>
      <c r="W191" s="102" t="n">
        <f aca="false">Z148</f>
        <v>-14066.251</v>
      </c>
      <c r="X191" s="31"/>
      <c r="Y191" s="31"/>
      <c r="Z191" s="32"/>
      <c r="AB191" s="110" t="n">
        <f aca="false">AC185-100</f>
        <v>1139.99</v>
      </c>
      <c r="AC191" s="102" t="n">
        <f aca="false">AC188+AF188+AB191</f>
        <v>1518.89624166667</v>
      </c>
      <c r="AD191" s="92"/>
      <c r="AE191" s="92"/>
      <c r="AF191" s="102" t="n">
        <f aca="false">AI148</f>
        <v>-14066.251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2151.02594801231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n">
        <f aca="false">K96</f>
        <v>1477.31306457009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n">
        <f aca="false">T96</f>
        <v>1570.04995310753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n">
        <f aca="false">AC96</f>
        <v>1570.04995310753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7001.924</v>
      </c>
      <c r="B201" s="185" t="n">
        <f aca="false">E179+A201+(B182*1.2)+A185</f>
        <v>74993.908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2151.02594801231</v>
      </c>
      <c r="B212" s="176" t="str">
        <f aca="false">B167</f>
        <v>0</v>
      </c>
      <c r="C212" s="173"/>
      <c r="D212" s="173"/>
      <c r="E212" s="176" t="n">
        <f aca="false">E167</f>
        <v>2151.02594801231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57993.33</v>
      </c>
      <c r="B215" s="102" t="n">
        <f aca="false">B173</f>
        <v>11598.666</v>
      </c>
      <c r="C215" s="185"/>
      <c r="D215" s="112"/>
      <c r="E215" s="181" t="n">
        <f aca="false">E173</f>
        <v>650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70241.996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67741.996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9694.93812844316</v>
      </c>
      <c r="B224" s="102" t="str">
        <f aca="false">B182</f>
        <v>199.99</v>
      </c>
      <c r="C224" s="102"/>
      <c r="D224" s="112"/>
      <c r="E224" s="102" t="n">
        <f aca="false">E182</f>
        <v>77686.9221284432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2151.02594801231</v>
      </c>
      <c r="B230" s="102" t="str">
        <f aca="false">B167</f>
        <v>0</v>
      </c>
      <c r="C230" s="185"/>
      <c r="D230" s="185"/>
      <c r="E230" s="102" t="n">
        <f aca="false">E167</f>
        <v>2151.02594801231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0</v>
      </c>
      <c r="B233" s="102" t="n">
        <f aca="false">E185</f>
        <v>2161.02594801231</v>
      </c>
      <c r="C233" s="92"/>
      <c r="D233" s="92"/>
      <c r="E233" s="102" t="n">
        <f aca="false">A188</f>
        <v>0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9755.83</v>
      </c>
      <c r="B240" s="102" t="n">
        <f aca="false">B68</f>
        <v>564.516633333333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10420.3366333333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0.065</v>
      </c>
      <c r="C253" s="196"/>
      <c r="D253" s="197" t="s">
        <v>215</v>
      </c>
      <c r="E253" s="197"/>
      <c r="F253" s="195" t="n">
        <f aca="false">B83</f>
        <v>0.089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2703.01412844316</v>
      </c>
      <c r="C254" s="196"/>
      <c r="D254" s="197" t="s">
        <v>217</v>
      </c>
      <c r="E254" s="197"/>
      <c r="F254" s="199" t="n">
        <f aca="false">F261+F267+F269+B270+B271</f>
        <v>677.41996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2125.58416844316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0.024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0.089</v>
      </c>
      <c r="C260" s="42"/>
      <c r="D260" s="165" t="s">
        <v>216</v>
      </c>
      <c r="E260" s="165"/>
      <c r="F260" s="145" t="n">
        <f aca="false">B254</f>
        <v>2703.01412844316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0.01</v>
      </c>
      <c r="C261" s="31"/>
      <c r="D261" s="165" t="s">
        <v>222</v>
      </c>
      <c r="E261" s="165"/>
      <c r="F261" s="150" t="n">
        <f aca="false">B68*1.2</f>
        <v>677.41996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2125.58416844316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A18:A20 B105 K105 N105 T105 W105 AC105 AF105 B108:D108 K108:M108 T108:V108 AC108:AE108 J111 S111 AB111 A144:A146 J144:J146 S144:S146 AB144:AB146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A182" activeCellId="1" sqref="A191 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17895</v>
      </c>
      <c r="C3" s="437" t="n">
        <v>0</v>
      </c>
      <c r="D3" s="437" t="n">
        <v>0</v>
      </c>
      <c r="E3" s="437"/>
      <c r="F3" s="437" t="n">
        <v>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</v>
      </c>
      <c r="C4" s="123" t="n">
        <v>0</v>
      </c>
      <c r="D4" s="123" t="n">
        <v>0</v>
      </c>
      <c r="E4" s="123"/>
      <c r="F4" s="123" t="n">
        <v>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16745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16745</v>
      </c>
      <c r="F9" s="151"/>
      <c r="G9" s="135"/>
      <c r="H9" s="439" t="n">
        <f aca="false">B7+D7+F7+H3</f>
        <v>16745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695</v>
      </c>
      <c r="I10" s="2"/>
      <c r="J10" s="2"/>
      <c r="L10" s="15" t="s">
        <v>1</v>
      </c>
      <c r="M10" s="9" t="n">
        <f aca="false">H15-H11-M8</f>
        <v>17440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3488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290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55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21268</v>
      </c>
      <c r="I15" s="2"/>
      <c r="J15" s="16" t="n">
        <f aca="false">H15</f>
        <v>21268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20928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21268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18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28</v>
      </c>
      <c r="K29" s="444" t="n">
        <v>36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6990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 t="n">
        <v>0</v>
      </c>
      <c r="J32" s="28" t="s">
        <v>36</v>
      </c>
      <c r="K32" s="445" t="n">
        <v>780</v>
      </c>
      <c r="P32" s="211"/>
    </row>
    <row r="33" customFormat="false" ht="36.75" hidden="false" customHeight="false" outlineLevel="0" collapsed="false">
      <c r="A33" s="178" t="n">
        <f aca="false">A52</f>
        <v>35</v>
      </c>
      <c r="B33" s="231" t="n">
        <f aca="false">B51</f>
        <v>35000</v>
      </c>
      <c r="C33" s="92"/>
      <c r="D33" s="92"/>
      <c r="E33" s="231" t="n">
        <f aca="false">K48</f>
        <v>561.865099818497</v>
      </c>
      <c r="F33" s="231"/>
      <c r="G33" s="231"/>
      <c r="H33" s="46"/>
      <c r="I33" s="2"/>
      <c r="J33" s="33" t="s">
        <v>356</v>
      </c>
      <c r="K33" s="47" t="n">
        <f aca="false">H21-H11+(H16*20%)</f>
        <v>17780</v>
      </c>
      <c r="L33" s="1" t="n">
        <f aca="false">H21-H11+(H16*20%)</f>
        <v>17780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0.065</v>
      </c>
      <c r="P35" s="211"/>
    </row>
    <row r="36" customFormat="false" ht="18.75" hidden="false" customHeight="false" outlineLevel="0" collapsed="false">
      <c r="A36" s="184" t="n">
        <f aca="false">K47</f>
        <v>509.475099818497</v>
      </c>
      <c r="B36" s="231" t="n">
        <f aca="false">IF(B26="YES",K42,"0.00")</f>
        <v>52.39</v>
      </c>
      <c r="C36" s="231"/>
      <c r="D36" s="231"/>
      <c r="E36" s="231" t="n">
        <f aca="false">K31</f>
        <v>2505</v>
      </c>
      <c r="F36" s="231"/>
      <c r="G36" s="231"/>
      <c r="H36" s="46"/>
      <c r="I36" s="2"/>
      <c r="J36" s="2" t="s">
        <v>50</v>
      </c>
      <c r="K36" s="2" t="n">
        <f aca="false">K29</f>
        <v>35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17780</v>
      </c>
      <c r="L39" s="2" t="n">
        <f aca="false">(L47*K46)+K44</f>
        <v>25299.2012728699</v>
      </c>
      <c r="N39" s="1" t="n">
        <f aca="false">K39-L39</f>
        <v>-7519.20127286992</v>
      </c>
      <c r="P39" s="211"/>
    </row>
    <row r="40" customFormat="false" ht="19.5" hidden="false" customHeight="false" outlineLevel="0" collapsed="false">
      <c r="A40" s="106" t="n">
        <f aca="false">E36*A45/100</f>
        <v>5850</v>
      </c>
      <c r="B40" s="106" t="n">
        <f aca="false">IF(B26="YES",K42,"0.00")</f>
        <v>52.39</v>
      </c>
      <c r="C40" s="106"/>
      <c r="D40" s="106"/>
      <c r="E40" s="181" t="n">
        <f aca="false">K32</f>
        <v>1833.65</v>
      </c>
      <c r="F40" s="185"/>
      <c r="G40" s="185"/>
      <c r="H40" s="46"/>
      <c r="J40" s="2" t="s">
        <v>107</v>
      </c>
      <c r="K40" s="2" t="n">
        <f aca="false">(A40)/1.2</f>
        <v>2087.5</v>
      </c>
      <c r="L40" s="2" t="n">
        <f aca="false">K39-L39</f>
        <v>-7519.20127286992</v>
      </c>
      <c r="N40" s="1" t="n">
        <f aca="false">N38-N39</f>
        <v>10430.8812728699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(K32/K36/100)*C45</f>
        <v>52.39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1693.12732350043</v>
      </c>
      <c r="L44" s="2"/>
      <c r="P44" s="211"/>
    </row>
    <row r="45" customFormat="false" ht="19.5" hidden="false" customHeight="false" outlineLevel="0" collapsed="false">
      <c r="A45" s="502" t="n">
        <v>100</v>
      </c>
      <c r="B45" s="92"/>
      <c r="C45" s="503" t="n">
        <v>100</v>
      </c>
      <c r="D45" s="503"/>
      <c r="E45" s="503"/>
      <c r="F45" s="92"/>
      <c r="G45" s="92"/>
      <c r="H45" s="32"/>
      <c r="J45" s="2" t="s">
        <v>367</v>
      </c>
      <c r="K45" s="2" t="n">
        <f aca="false">(K39-K44)</f>
        <v>16086.8726764996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31.5753854942677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509.475099818497</v>
      </c>
      <c r="L47" s="2" t="n">
        <f aca="false">L49-K42</f>
        <v>747.61</v>
      </c>
      <c r="M47" s="1" t="n">
        <f aca="false">K47-L47</f>
        <v>-238.134900181503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561.865099818497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35000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35</v>
      </c>
      <c r="B52" s="73" t="n">
        <f aca="false">K48</f>
        <v>561.865099818497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34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34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34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34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20928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20928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20928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20928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0.065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7344.14529918286</v>
      </c>
      <c r="C65" s="92"/>
      <c r="D65" s="92"/>
      <c r="E65" s="112"/>
      <c r="F65" s="112"/>
      <c r="G65" s="112"/>
      <c r="H65" s="32"/>
      <c r="J65" s="55" t="s">
        <v>91</v>
      </c>
      <c r="K65" s="64" t="n">
        <f aca="false">(K89*K59)-(K47*K29)</f>
        <v>31836.9599795112</v>
      </c>
      <c r="L65" s="92"/>
      <c r="M65" s="92"/>
      <c r="N65" s="112"/>
      <c r="O65" s="112"/>
      <c r="P65" s="112"/>
      <c r="Q65" s="32"/>
      <c r="S65" s="55" t="s">
        <v>91</v>
      </c>
      <c r="T65" s="64" t="n">
        <f aca="false">(T89*T59)-(K47*K29)</f>
        <v>6811.71015821829</v>
      </c>
      <c r="U65" s="92"/>
      <c r="V65" s="92"/>
      <c r="W65" s="112"/>
      <c r="X65" s="112"/>
      <c r="Y65" s="112"/>
      <c r="Z65" s="32"/>
      <c r="AB65" s="55" t="s">
        <v>91</v>
      </c>
      <c r="AC65" s="64" t="n">
        <f aca="false">(AC89*AC59)-(K47*K29)</f>
        <v>831.736370477425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0.00979166666666667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0.0739583333333333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0.00979166666666667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0.00979166666666667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187.84989375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1547.8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204.92</v>
      </c>
      <c r="U68" s="92"/>
      <c r="V68" s="92"/>
      <c r="W68" s="112"/>
      <c r="X68" s="112"/>
      <c r="Y68" s="112"/>
      <c r="Z68" s="32"/>
      <c r="AB68" s="55" t="s">
        <v>94</v>
      </c>
      <c r="AC68" s="64" t="n">
        <f aca="false">AH158*AC67</f>
        <v>168.754479166667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B73*B29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11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112"/>
      <c r="G77" s="11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B77/H29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509.475099818497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509.475099818497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561.865099818497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561.865099818497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23021.604</v>
      </c>
      <c r="C81" s="92"/>
      <c r="D81" s="92"/>
      <c r="E81" s="112"/>
      <c r="F81" s="24" t="s">
        <v>106</v>
      </c>
      <c r="G81" s="26" t="n">
        <f aca="false">G158</f>
        <v>23021.604</v>
      </c>
      <c r="H81" s="32"/>
      <c r="J81" s="24" t="s">
        <v>106</v>
      </c>
      <c r="K81" s="26" t="n">
        <f aca="false">P158</f>
        <v>36519.004</v>
      </c>
      <c r="L81" s="92"/>
      <c r="M81" s="92"/>
      <c r="N81" s="112"/>
      <c r="O81" s="112"/>
      <c r="P81" s="112"/>
      <c r="Q81" s="32"/>
      <c r="S81" s="24" t="s">
        <v>106</v>
      </c>
      <c r="T81" s="26" t="n">
        <f aca="false">Y158</f>
        <v>22207.765</v>
      </c>
      <c r="U81" s="92"/>
      <c r="V81" s="92"/>
      <c r="W81" s="112"/>
      <c r="X81" s="112"/>
      <c r="Y81" s="112"/>
      <c r="Z81" s="32"/>
      <c r="AB81" s="24" t="s">
        <v>106</v>
      </c>
      <c r="AC81" s="26" t="n">
        <f aca="false">AH158</f>
        <v>17234.5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2505</v>
      </c>
      <c r="C82" s="92"/>
      <c r="D82" s="92"/>
      <c r="E82" s="112"/>
      <c r="F82" s="30" t="s">
        <v>107</v>
      </c>
      <c r="G82" s="32" t="n">
        <f aca="false">IF(A111="YES",A40,0)</f>
        <v>2505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2505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2505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1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34</v>
      </c>
      <c r="C85" s="92"/>
      <c r="D85" s="92"/>
      <c r="E85" s="112"/>
      <c r="F85" s="30" t="s">
        <v>110</v>
      </c>
      <c r="G85" s="32" t="n">
        <f aca="false">IF(G82=0,(B59+B58),(B59))</f>
        <v>34</v>
      </c>
      <c r="H85" s="32"/>
      <c r="J85" s="30" t="s">
        <v>110</v>
      </c>
      <c r="K85" s="32" t="n">
        <f aca="false">IF(K82=0,(K59+K58),(K59))</f>
        <v>35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34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34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1768.31506880445</v>
      </c>
      <c r="C86" s="92"/>
      <c r="D86" s="92"/>
      <c r="E86" s="112"/>
      <c r="F86" s="30" t="s">
        <v>111</v>
      </c>
      <c r="G86" s="32" t="n">
        <f aca="false">(G82/((1+G84)^(G85+1)))</f>
        <v>2043.60467946501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1713.05081718563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1713.05081718563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28.7026658885233</v>
      </c>
      <c r="C87" s="92"/>
      <c r="D87" s="92"/>
      <c r="E87" s="112"/>
      <c r="F87" s="30" t="s">
        <v>112</v>
      </c>
      <c r="G87" s="32" t="n">
        <f aca="false">((1-(1/((1+G84)^G85)))/G84)</f>
        <v>30.7595752429843</v>
      </c>
      <c r="H87" s="32"/>
      <c r="J87" s="30" t="s">
        <v>112</v>
      </c>
      <c r="K87" s="32" t="n">
        <f aca="false">((1-(1/((1+K84)^K85)))/K84)</f>
        <v>24.9986193320352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28.2762125724768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28.2762125724768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21253.2889311956</v>
      </c>
      <c r="C88" s="92"/>
      <c r="D88" s="92"/>
      <c r="E88" s="112"/>
      <c r="F88" s="30" t="s">
        <v>113</v>
      </c>
      <c r="G88" s="32" t="n">
        <f aca="false">G81-G86</f>
        <v>20977.999320535</v>
      </c>
      <c r="H88" s="32"/>
      <c r="J88" s="30" t="s">
        <v>113</v>
      </c>
      <c r="K88" s="32" t="n">
        <f aca="false">K81-K86</f>
        <v>36519.004</v>
      </c>
      <c r="L88" s="92"/>
      <c r="M88" s="92"/>
      <c r="N88" s="112"/>
      <c r="O88" s="112"/>
      <c r="P88" s="112"/>
      <c r="Q88" s="32"/>
      <c r="S88" s="30" t="s">
        <v>113</v>
      </c>
      <c r="T88" s="32" t="n">
        <f aca="false">T81-T86</f>
        <v>20494.7141828144</v>
      </c>
      <c r="U88" s="92"/>
      <c r="V88" s="92"/>
      <c r="W88" s="112"/>
      <c r="X88" s="112"/>
      <c r="Y88" s="112"/>
      <c r="Z88" s="32"/>
      <c r="AB88" s="30" t="s">
        <v>113</v>
      </c>
      <c r="AC88" s="32" t="n">
        <f aca="false">AC81-AC86</f>
        <v>15521.4491828144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740.463935083243</v>
      </c>
      <c r="C89" s="92"/>
      <c r="D89" s="92"/>
      <c r="E89" s="112"/>
      <c r="F89" s="30" t="s">
        <v>114</v>
      </c>
      <c r="G89" s="32" t="n">
        <f aca="false">(G88/G87)</f>
        <v>681.998992340432</v>
      </c>
      <c r="H89" s="32"/>
      <c r="J89" s="30" t="s">
        <v>114</v>
      </c>
      <c r="K89" s="32" t="n">
        <f aca="false">(K88/K87)</f>
        <v>1460.84083744584</v>
      </c>
      <c r="L89" s="92"/>
      <c r="M89" s="92"/>
      <c r="N89" s="112"/>
      <c r="O89" s="112"/>
      <c r="P89" s="112"/>
      <c r="Q89" s="32"/>
      <c r="S89" s="30" t="s">
        <v>114</v>
      </c>
      <c r="T89" s="32" t="n">
        <f aca="false">(T88/T87)</f>
        <v>724.80407799605</v>
      </c>
      <c r="U89" s="92"/>
      <c r="V89" s="92"/>
      <c r="W89" s="112"/>
      <c r="X89" s="112"/>
      <c r="Y89" s="112"/>
      <c r="Z89" s="32"/>
      <c r="AB89" s="30" t="s">
        <v>114</v>
      </c>
      <c r="AC89" s="32" t="n">
        <f aca="false">(AC88/AC87)</f>
        <v>548.922496003671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25175.7737928303</v>
      </c>
      <c r="C90" s="92"/>
      <c r="D90" s="92"/>
      <c r="E90" s="112"/>
      <c r="F90" s="30" t="s">
        <v>115</v>
      </c>
      <c r="G90" s="32" t="n">
        <f aca="false">((G89*(G85))+G77)</f>
        <v>23187.9657395747</v>
      </c>
      <c r="H90" s="32"/>
      <c r="J90" s="30" t="s">
        <v>115</v>
      </c>
      <c r="K90" s="32" t="n">
        <f aca="false">((K89*(K85))+K77)</f>
        <v>51129.4293106044</v>
      </c>
      <c r="L90" s="92"/>
      <c r="M90" s="92"/>
      <c r="N90" s="112"/>
      <c r="O90" s="112"/>
      <c r="P90" s="112"/>
      <c r="Q90" s="32"/>
      <c r="S90" s="30" t="s">
        <v>115</v>
      </c>
      <c r="T90" s="32" t="n">
        <f aca="false">(T89*(T85))+T77</f>
        <v>24643.3386518657</v>
      </c>
      <c r="U90" s="92"/>
      <c r="V90" s="92"/>
      <c r="W90" s="112"/>
      <c r="X90" s="112"/>
      <c r="Y90" s="112"/>
      <c r="Z90" s="32"/>
      <c r="AB90" s="30" t="s">
        <v>115</v>
      </c>
      <c r="AC90" s="32" t="n">
        <f aca="false">(AC89*(AC59))+AC77</f>
        <v>18663.3648641248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(B90/(1-B71))*B71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n">
        <f aca="false">(K90/(1-K71))*K71</f>
        <v>0</v>
      </c>
      <c r="L91" s="92"/>
      <c r="M91" s="92"/>
      <c r="N91" s="112"/>
      <c r="O91" s="112"/>
      <c r="P91" s="112"/>
      <c r="Q91" s="32"/>
      <c r="S91" s="30" t="s">
        <v>116</v>
      </c>
      <c r="T91" s="32" t="n">
        <f aca="false">(T90/(1-T71))*T71</f>
        <v>0</v>
      </c>
      <c r="U91" s="92"/>
      <c r="V91" s="92"/>
      <c r="W91" s="112"/>
      <c r="X91" s="112"/>
      <c r="Y91" s="112"/>
      <c r="Z91" s="32"/>
      <c r="AB91" s="30" t="s">
        <v>116</v>
      </c>
      <c r="AC91" s="32" t="n">
        <f aca="false">(AC90/(1-AC71))*AC71</f>
        <v>0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25175.7737928303</v>
      </c>
      <c r="C92" s="92"/>
      <c r="D92" s="92"/>
      <c r="E92" s="112"/>
      <c r="F92" s="55" t="s">
        <v>117</v>
      </c>
      <c r="G92" s="64" t="n">
        <f aca="false">(G90+G91)</f>
        <v>23187.9657395747</v>
      </c>
      <c r="H92" s="32"/>
      <c r="J92" s="55" t="s">
        <v>117</v>
      </c>
      <c r="K92" s="64" t="n">
        <f aca="false">(K90+K91)</f>
        <v>51129.4293106044</v>
      </c>
      <c r="L92" s="92"/>
      <c r="M92" s="92"/>
      <c r="N92" s="112"/>
      <c r="O92" s="112"/>
      <c r="P92" s="112"/>
      <c r="Q92" s="32"/>
      <c r="S92" s="55" t="s">
        <v>117</v>
      </c>
      <c r="T92" s="64" t="n">
        <f aca="false">(T90+T91)</f>
        <v>24643.3386518657</v>
      </c>
      <c r="U92" s="92"/>
      <c r="V92" s="92"/>
      <c r="W92" s="112"/>
      <c r="X92" s="112"/>
      <c r="Y92" s="112"/>
      <c r="Z92" s="32"/>
      <c r="AB92" s="55" t="s">
        <v>117</v>
      </c>
      <c r="AC92" s="64" t="n">
        <f aca="false">(AC90+AC91)</f>
        <v>18663.3648641248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88" t="n">
        <f aca="false">IF(B26="YES",((E40/B85)*(1+A108)*1.2*(C45/100)),"0")</f>
        <v>84.1321764705883</v>
      </c>
      <c r="C94" s="92"/>
      <c r="D94" s="92"/>
      <c r="E94" s="112"/>
      <c r="F94" s="87" t="s">
        <v>118</v>
      </c>
      <c r="G94" s="93" t="n">
        <f aca="false">IF(B26="YES",((E40/B85)*(1+A108)*(C45/100)),"0")</f>
        <v>70.1101470588235</v>
      </c>
      <c r="H94" s="32"/>
      <c r="J94" s="87" t="s">
        <v>118</v>
      </c>
      <c r="K94" s="88" t="n">
        <f aca="false">((E40/K85)*(1+J108))*1.2</f>
        <v>81.7284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64.7170588235294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77.6604705882353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740.463935083243</v>
      </c>
      <c r="C95" s="92"/>
      <c r="D95" s="92"/>
      <c r="E95" s="112"/>
      <c r="F95" s="94" t="s">
        <v>119</v>
      </c>
      <c r="G95" s="95" t="n">
        <f aca="false">G92/(G85)</f>
        <v>681.998992340432</v>
      </c>
      <c r="H95" s="32"/>
      <c r="J95" s="94" t="s">
        <v>119</v>
      </c>
      <c r="K95" s="95" t="n">
        <f aca="false">K92/(K85)</f>
        <v>1460.84083744584</v>
      </c>
      <c r="L95" s="92"/>
      <c r="M95" s="92"/>
      <c r="N95" s="112"/>
      <c r="O95" s="112"/>
      <c r="P95" s="112"/>
      <c r="Q95" s="32"/>
      <c r="S95" s="94" t="s">
        <v>119</v>
      </c>
      <c r="T95" s="95" t="n">
        <f aca="false">T92/(T85)</f>
        <v>724.80407799605</v>
      </c>
      <c r="U95" s="92"/>
      <c r="V95" s="92"/>
      <c r="W95" s="112"/>
      <c r="X95" s="112"/>
      <c r="Y95" s="112"/>
      <c r="Z95" s="32"/>
      <c r="AB95" s="94" t="s">
        <v>119</v>
      </c>
      <c r="AC95" s="95" t="n">
        <f aca="false">AC92/(AC59)</f>
        <v>548.922496003671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(B94+B95)</f>
        <v>824.596111553831</v>
      </c>
      <c r="C96" s="92"/>
      <c r="D96" s="92"/>
      <c r="E96" s="112"/>
      <c r="F96" s="96" t="s">
        <v>120</v>
      </c>
      <c r="G96" s="97" t="n">
        <f aca="false">G94+G95</f>
        <v>752.109139399256</v>
      </c>
      <c r="H96" s="32"/>
      <c r="J96" s="96" t="s">
        <v>120</v>
      </c>
      <c r="K96" s="97" t="n">
        <f aca="false">(K94+K95)</f>
        <v>1542.56923744584</v>
      </c>
      <c r="L96" s="92"/>
      <c r="M96" s="92"/>
      <c r="N96" s="112"/>
      <c r="O96" s="112"/>
      <c r="P96" s="112"/>
      <c r="Q96" s="32"/>
      <c r="S96" s="96" t="s">
        <v>120</v>
      </c>
      <c r="T96" s="97" t="n">
        <f aca="false">T94+T95</f>
        <v>789.521136819579</v>
      </c>
      <c r="U96" s="92"/>
      <c r="V96" s="92"/>
      <c r="W96" s="112"/>
      <c r="X96" s="112"/>
      <c r="Y96" s="112"/>
      <c r="Z96" s="32"/>
      <c r="AB96" s="96" t="s">
        <v>120</v>
      </c>
      <c r="AC96" s="97" t="n">
        <f aca="false">AC94+AC95</f>
        <v>626.582966591907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122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s">
        <v>267</v>
      </c>
      <c r="C108" s="106"/>
      <c r="D108" s="106"/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16745</v>
      </c>
      <c r="C121" s="120" t="n">
        <f aca="false">B121</f>
        <v>16745</v>
      </c>
      <c r="D121" s="119" t="n">
        <f aca="false">D3</f>
        <v>0</v>
      </c>
      <c r="E121" s="120" t="n">
        <f aca="false">D121</f>
        <v>0</v>
      </c>
      <c r="F121" s="119" t="n">
        <f aca="false">F3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16745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n">
        <f aca="false">F3</f>
        <v>0</v>
      </c>
      <c r="P121" s="120" t="n">
        <f aca="false">O121</f>
        <v>0</v>
      </c>
      <c r="Q121" s="121" t="n">
        <f aca="false">H3</f>
        <v>0</v>
      </c>
      <c r="S121" s="24" t="s">
        <v>150</v>
      </c>
      <c r="T121" s="119" t="n">
        <f aca="false">B3</f>
        <v>16745</v>
      </c>
      <c r="U121" s="120" t="n">
        <f aca="false">T121</f>
        <v>16745</v>
      </c>
      <c r="V121" s="119" t="n">
        <f aca="false">D3</f>
        <v>0</v>
      </c>
      <c r="W121" s="120" t="n">
        <f aca="false">V121</f>
        <v>0</v>
      </c>
      <c r="X121" s="119" t="n">
        <f aca="false">F3</f>
        <v>0</v>
      </c>
      <c r="Y121" s="120" t="n">
        <f aca="false">X121</f>
        <v>0</v>
      </c>
      <c r="Z121" s="121" t="n">
        <f aca="false">H3</f>
        <v>0</v>
      </c>
      <c r="AB121" s="24" t="s">
        <v>150</v>
      </c>
      <c r="AC121" s="119" t="n">
        <f aca="false">B3</f>
        <v>16745</v>
      </c>
      <c r="AD121" s="120" t="n">
        <f aca="false">AC121</f>
        <v>16745</v>
      </c>
      <c r="AE121" s="119" t="n">
        <f aca="false">D3</f>
        <v>0</v>
      </c>
      <c r="AF121" s="120" t="n">
        <f aca="false">AE121</f>
        <v>0</v>
      </c>
      <c r="AG121" s="119" t="n">
        <f aca="false">F3</f>
        <v>0</v>
      </c>
      <c r="AH121" s="120" t="n">
        <f aca="false">AG121</f>
        <v>0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v>0</v>
      </c>
      <c r="D122" s="122" t="n">
        <f aca="false">D4</f>
        <v>0</v>
      </c>
      <c r="E122" s="123" t="n">
        <v>0</v>
      </c>
      <c r="F122" s="122" t="n">
        <f aca="false">F4</f>
        <v>0</v>
      </c>
      <c r="G122" s="448" t="n">
        <v>0</v>
      </c>
      <c r="H122" s="125"/>
      <c r="J122" s="30" t="s">
        <v>151</v>
      </c>
      <c r="K122" s="122" t="n">
        <f aca="false">B4</f>
        <v>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n">
        <f aca="false">F4</f>
        <v>0</v>
      </c>
      <c r="P122" s="448" t="n">
        <f aca="false">O122</f>
        <v>0</v>
      </c>
      <c r="Q122" s="125"/>
      <c r="S122" s="30" t="s">
        <v>151</v>
      </c>
      <c r="T122" s="122" t="n">
        <f aca="false">B4</f>
        <v>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n">
        <f aca="false">F4</f>
        <v>0</v>
      </c>
      <c r="Y122" s="448" t="n">
        <f aca="false">X122</f>
        <v>0</v>
      </c>
      <c r="Z122" s="125"/>
      <c r="AB122" s="30" t="s">
        <v>151</v>
      </c>
      <c r="AC122" s="122" t="n">
        <f aca="false">B4</f>
        <v>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n">
        <f aca="false">F4</f>
        <v>0</v>
      </c>
      <c r="AH122" s="448" t="n">
        <f aca="false">AG122</f>
        <v>0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v>-3544.67</v>
      </c>
      <c r="D123" s="129" t="n">
        <f aca="false">D5</f>
        <v>0</v>
      </c>
      <c r="E123" s="120" t="n">
        <v>0</v>
      </c>
      <c r="F123" s="129" t="n">
        <f aca="false">F5</f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n">
        <f aca="false">F5</f>
        <v>0</v>
      </c>
      <c r="P123" s="120" t="n">
        <f aca="false">O123</f>
        <v>0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n">
        <f aca="false">F5</f>
        <v>0</v>
      </c>
      <c r="Y123" s="120" t="n">
        <f aca="false">X123</f>
        <v>0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n">
        <f aca="false">F5</f>
        <v>0</v>
      </c>
      <c r="AH123" s="120" t="n">
        <f aca="false">AG123</f>
        <v>0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-3544.67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n">
        <f aca="false">(O121*O122)+O123</f>
        <v>0</v>
      </c>
      <c r="P124" s="130" t="n">
        <f aca="false">(P121*P122)+P123</f>
        <v>0</v>
      </c>
      <c r="Q124" s="32"/>
      <c r="S124" s="30" t="s">
        <v>153</v>
      </c>
      <c r="T124" s="129" t="n">
        <f aca="false">(T121*T122)+T123</f>
        <v>0</v>
      </c>
      <c r="U124" s="130" t="n">
        <f aca="false">(U121*U122/100)+U123</f>
        <v>41.8625</v>
      </c>
      <c r="V124" s="129" t="n">
        <f aca="false">(V121*V122)+V123</f>
        <v>0</v>
      </c>
      <c r="W124" s="130" t="n">
        <f aca="false">(W121*W122/100)+W123</f>
        <v>0</v>
      </c>
      <c r="X124" s="129" t="n">
        <f aca="false">(X121*X122)+X123</f>
        <v>0</v>
      </c>
      <c r="Y124" s="130" t="n">
        <f aca="false">(Y121*Y122/100)+Y123</f>
        <v>0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4186.25</v>
      </c>
      <c r="AE124" s="129" t="n">
        <f aca="false">(AE121*AE122)+AE123</f>
        <v>0</v>
      </c>
      <c r="AF124" s="130" t="n">
        <f aca="false">(AF121*AF122)+AF123</f>
        <v>0</v>
      </c>
      <c r="AG124" s="129" t="n">
        <f aca="false">(AG121*AG122)+AG123</f>
        <v>0</v>
      </c>
      <c r="AH124" s="130" t="n">
        <f aca="false">(AH121*AH122)+AH123</f>
        <v>0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16745</v>
      </c>
      <c r="C125" s="132" t="n">
        <f aca="false">C121-C124</f>
        <v>20289.67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16745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n">
        <f aca="false">O121-O124</f>
        <v>0</v>
      </c>
      <c r="P125" s="132" t="n">
        <f aca="false">P121-P124</f>
        <v>0</v>
      </c>
      <c r="Q125" s="64"/>
      <c r="S125" s="55" t="s">
        <v>154</v>
      </c>
      <c r="T125" s="131" t="n">
        <f aca="false">T121-T124</f>
        <v>16745</v>
      </c>
      <c r="U125" s="132" t="n">
        <f aca="false">U121-U124</f>
        <v>16703.1375</v>
      </c>
      <c r="V125" s="131" t="n">
        <f aca="false">V121-V124</f>
        <v>0</v>
      </c>
      <c r="W125" s="132" t="n">
        <f aca="false">W121-W124</f>
        <v>0</v>
      </c>
      <c r="X125" s="131" t="n">
        <f aca="false">X121-X124</f>
        <v>0</v>
      </c>
      <c r="Y125" s="132" t="n">
        <f aca="false">Y121-Y124</f>
        <v>0</v>
      </c>
      <c r="Z125" s="64"/>
      <c r="AB125" s="55" t="s">
        <v>154</v>
      </c>
      <c r="AC125" s="131" t="n">
        <f aca="false">AC121-AC124</f>
        <v>16745</v>
      </c>
      <c r="AD125" s="132" t="n">
        <f aca="false">AD121-AD124</f>
        <v>12558.75</v>
      </c>
      <c r="AE125" s="131" t="n">
        <f aca="false">AE121-AE124</f>
        <v>0</v>
      </c>
      <c r="AF125" s="132" t="n">
        <f aca="false">AF121-AF124</f>
        <v>0</v>
      </c>
      <c r="AG125" s="131" t="n">
        <f aca="false">AG121-AG124</f>
        <v>0</v>
      </c>
      <c r="AH125" s="132" t="n">
        <f aca="false">AH121-AH124</f>
        <v>0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16745</v>
      </c>
      <c r="H135" s="152" t="n">
        <f aca="false">C125+E125+G125+H128</f>
        <v>20289.67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16745</v>
      </c>
      <c r="Q135" s="152" t="n">
        <f aca="false">L125+N125+P125+Q128</f>
        <v>28629.17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16745</v>
      </c>
      <c r="Z135" s="152" t="n">
        <f aca="false">U125+W125+Y125+Z128</f>
        <v>16703.1375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16745</v>
      </c>
      <c r="AI135" s="152" t="n">
        <f aca="false">AD125+AF125+AH125+AI128</f>
        <v>12558.75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695</v>
      </c>
      <c r="H136" s="32" t="n">
        <f aca="false">G136</f>
        <v>695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695</v>
      </c>
      <c r="Q136" s="32" t="n">
        <f aca="false">P136</f>
        <v>695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695</v>
      </c>
      <c r="Z136" s="32" t="n">
        <f aca="false">Y136</f>
        <v>695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695</v>
      </c>
      <c r="AI136" s="32" t="n">
        <f aca="false">AH136</f>
        <v>695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3488</v>
      </c>
      <c r="H137" s="32" t="n">
        <f aca="false">(H135+H136)*20%</f>
        <v>4196.934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3488</v>
      </c>
      <c r="Q137" s="32" t="n">
        <f aca="false">(Q135+Q136)*20%</f>
        <v>5864.834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3488</v>
      </c>
      <c r="Z137" s="32" t="n">
        <f aca="false">(Z135+Z136)*20%</f>
        <v>3479.6275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3488</v>
      </c>
      <c r="AI137" s="32" t="n">
        <f aca="false">(AI135+AI136)*20%</f>
        <v>2650.75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f aca="false">G138</f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275</v>
      </c>
      <c r="H139" s="32" t="n">
        <f aca="false">G139</f>
        <v>275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275</v>
      </c>
      <c r="Q139" s="32" t="n">
        <f aca="false">P139</f>
        <v>275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275</v>
      </c>
      <c r="Z139" s="32" t="n">
        <f aca="false">Y139</f>
        <v>275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275</v>
      </c>
      <c r="AI139" s="32" t="n">
        <f aca="false">AH139</f>
        <v>275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65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65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65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21268</v>
      </c>
      <c r="H141" s="156" t="n">
        <f aca="false">(H135+H136+H139+H140+H137)-H138</f>
        <v>25521.604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21268</v>
      </c>
      <c r="Q141" s="156" t="n">
        <f aca="false">(Q135+Q136+Q139+Q140+Q137)-Q138</f>
        <v>35519.004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21268</v>
      </c>
      <c r="Z141" s="156" t="n">
        <f aca="false">(Z135+Z136+Z139+Z140+Z137)-Z138</f>
        <v>21207.765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21268</v>
      </c>
      <c r="AI141" s="156" t="n">
        <f aca="false">(AI135+AI136+AI139+AI140+AI137)-AI138</f>
        <v>16234.5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s">
        <v>171</v>
      </c>
      <c r="C144" s="160"/>
      <c r="D144" s="160"/>
      <c r="E144" s="160"/>
      <c r="F144" s="160"/>
      <c r="G144" s="154" t="n">
        <f aca="false">H18</f>
        <v>0</v>
      </c>
      <c r="H144" s="39" t="n">
        <f aca="false">G144</f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f aca="false">G145</f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f aca="false">G146</f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21268</v>
      </c>
      <c r="H147" s="163" t="n">
        <f aca="false">H141-((H144*1.2)+(H145*1.2)+(H146*1.2)+(H142*1.2))</f>
        <v>25521.604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21268</v>
      </c>
      <c r="Q147" s="163" t="n">
        <f aca="false">Q141-((Q144*1.2)+(Q145*1.2)+(Q146*1.2)+(Q142*1.2))</f>
        <v>35519.004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21268</v>
      </c>
      <c r="Z147" s="163" t="n">
        <f aca="false">Z141-((Z144*1.2)+(Z145*1.2)+(Z146*1.2)+(Z142*1.2))</f>
        <v>21207.765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21268</v>
      </c>
      <c r="AI147" s="163" t="n">
        <f aca="false">AI141-((AI144*1.2)+(AI145*1.2)+(AI146*1.2)+(AI142*1.2))</f>
        <v>16234.5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3544.67</v>
      </c>
      <c r="I148" s="1" t="n">
        <f aca="false">(H148-G81)/1.2</f>
        <v>-16230.7783333333</v>
      </c>
      <c r="J148" s="153" t="s">
        <v>173</v>
      </c>
      <c r="K148" s="153"/>
      <c r="L148" s="153"/>
      <c r="M148" s="153"/>
      <c r="N148" s="153"/>
      <c r="O148" s="153"/>
      <c r="P148" s="154"/>
      <c r="Q148" s="39" t="n">
        <f aca="false">Q147-P147</f>
        <v>14251.004</v>
      </c>
      <c r="S148" s="153" t="s">
        <v>173</v>
      </c>
      <c r="T148" s="153"/>
      <c r="U148" s="153"/>
      <c r="V148" s="153"/>
      <c r="W148" s="153"/>
      <c r="X148" s="153"/>
      <c r="Y148" s="154"/>
      <c r="Z148" s="39" t="n">
        <f aca="false">Z147-Y147</f>
        <v>-60.2350000000006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n">
        <f aca="false">AI147-AH147</f>
        <v>-5033.5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23021.604</v>
      </c>
      <c r="H158" s="169"/>
      <c r="J158" s="168" t="s">
        <v>180</v>
      </c>
      <c r="K158" s="92"/>
      <c r="L158" s="92"/>
      <c r="M158" s="112"/>
      <c r="N158" s="92"/>
      <c r="O158" s="112"/>
      <c r="P158" s="169" t="n">
        <f aca="false">Q147-P154-P157</f>
        <v>36519.004</v>
      </c>
      <c r="Q158" s="169"/>
      <c r="S158" s="168" t="s">
        <v>180</v>
      </c>
      <c r="T158" s="92"/>
      <c r="U158" s="92"/>
      <c r="V158" s="112"/>
      <c r="W158" s="92"/>
      <c r="X158" s="112"/>
      <c r="Y158" s="169" t="n">
        <f aca="false">Z147-Y154-Y157</f>
        <v>22207.765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n">
        <f aca="false">AI147-AH154-AH157</f>
        <v>17234.5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740.463935083243</v>
      </c>
      <c r="B167" s="176" t="n">
        <f aca="false">B94</f>
        <v>84.1321764705883</v>
      </c>
      <c r="C167" s="173"/>
      <c r="D167" s="173"/>
      <c r="E167" s="176" t="n">
        <f aca="false">B96</f>
        <v>824.596111553831</v>
      </c>
      <c r="F167" s="22"/>
      <c r="G167" s="22" t="n">
        <f aca="false">ROUND(G95,2)</f>
        <v>682</v>
      </c>
      <c r="H167" s="32"/>
      <c r="J167" s="175" t="n">
        <f aca="false">K95</f>
        <v>1460.84083744584</v>
      </c>
      <c r="K167" s="176" t="n">
        <f aca="false">K94</f>
        <v>81.7284</v>
      </c>
      <c r="L167" s="173"/>
      <c r="M167" s="173"/>
      <c r="N167" s="176" t="n">
        <f aca="false">K96</f>
        <v>1542.56923744584</v>
      </c>
      <c r="O167" s="22"/>
      <c r="P167" s="22"/>
      <c r="Q167" s="32"/>
      <c r="S167" s="175" t="n">
        <f aca="false">T95</f>
        <v>724.80407799605</v>
      </c>
      <c r="T167" s="176" t="n">
        <f aca="false">T94</f>
        <v>64.7170588235294</v>
      </c>
      <c r="U167" s="173"/>
      <c r="V167" s="173"/>
      <c r="W167" s="176" t="n">
        <f aca="false">T96</f>
        <v>789.521136819579</v>
      </c>
      <c r="X167" s="22"/>
      <c r="Y167" s="22"/>
      <c r="Z167" s="32"/>
      <c r="AB167" s="175" t="n">
        <f aca="false">AC95</f>
        <v>548.922496003671</v>
      </c>
      <c r="AC167" s="176" t="n">
        <f aca="false">AC94</f>
        <v>77.6604705882353</v>
      </c>
      <c r="AD167" s="173"/>
      <c r="AE167" s="173"/>
      <c r="AF167" s="176" t="n">
        <f aca="false">AC96</f>
        <v>626.582966591907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35</v>
      </c>
      <c r="B170" s="228" t="n">
        <f aca="false">K30</f>
        <v>35000</v>
      </c>
      <c r="C170" s="180"/>
      <c r="D170" s="22"/>
      <c r="E170" s="181" t="n">
        <f aca="false">IF(A111="YES",A40,0)</f>
        <v>2505</v>
      </c>
      <c r="F170" s="22"/>
      <c r="G170" s="22"/>
      <c r="H170" s="32"/>
      <c r="J170" s="178" t="n">
        <f aca="false">K29</f>
        <v>35</v>
      </c>
      <c r="K170" s="179" t="n">
        <f aca="false">K30</f>
        <v>35000</v>
      </c>
      <c r="L170" s="180"/>
      <c r="M170" s="22"/>
      <c r="N170" s="181" t="n">
        <f aca="false">IF(A111="YES",A40,0)</f>
        <v>2505</v>
      </c>
      <c r="O170" s="22"/>
      <c r="P170" s="22"/>
      <c r="Q170" s="32"/>
      <c r="S170" s="178" t="n">
        <f aca="false">K29</f>
        <v>35</v>
      </c>
      <c r="T170" s="179" t="n">
        <f aca="false">K30</f>
        <v>35000</v>
      </c>
      <c r="U170" s="180"/>
      <c r="V170" s="22"/>
      <c r="W170" s="181" t="n">
        <f aca="false">IF(A111="YES",A40,0)</f>
        <v>2505</v>
      </c>
      <c r="X170" s="22"/>
      <c r="Y170" s="22"/>
      <c r="Z170" s="32"/>
      <c r="AB170" s="178" t="n">
        <f aca="false">K29</f>
        <v>35</v>
      </c>
      <c r="AC170" s="179" t="n">
        <f aca="false">K30</f>
        <v>35000</v>
      </c>
      <c r="AD170" s="180"/>
      <c r="AE170" s="22"/>
      <c r="AF170" s="181" t="n">
        <f aca="false">IF(A111="YES",A40,0)</f>
        <v>2505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20984.67</v>
      </c>
      <c r="B173" s="102" t="n">
        <f aca="false">H137</f>
        <v>4196.934</v>
      </c>
      <c r="C173" s="185"/>
      <c r="D173" s="22"/>
      <c r="E173" s="181" t="n">
        <f aca="false">H139+H140</f>
        <v>340</v>
      </c>
      <c r="F173" s="22"/>
      <c r="G173" s="22"/>
      <c r="H173" s="32"/>
      <c r="J173" s="184" t="n">
        <f aca="false">Q141-Q137-Q139-Q140</f>
        <v>29324.17</v>
      </c>
      <c r="K173" s="102" t="n">
        <f aca="false">Q137</f>
        <v>5864.834</v>
      </c>
      <c r="L173" s="185"/>
      <c r="M173" s="22"/>
      <c r="N173" s="181" t="n">
        <f aca="false">Q139+Q140</f>
        <v>330</v>
      </c>
      <c r="O173" s="22"/>
      <c r="P173" s="22"/>
      <c r="Q173" s="32"/>
      <c r="S173" s="184" t="n">
        <f aca="false">Z141-Z137-Z139-Z140</f>
        <v>17398.1375</v>
      </c>
      <c r="T173" s="102" t="n">
        <f aca="false">Z137</f>
        <v>3479.6275</v>
      </c>
      <c r="U173" s="185"/>
      <c r="V173" s="22"/>
      <c r="W173" s="181" t="n">
        <f aca="false">Z139+Z140</f>
        <v>330</v>
      </c>
      <c r="X173" s="22"/>
      <c r="Y173" s="22"/>
      <c r="Z173" s="32"/>
      <c r="AB173" s="184" t="n">
        <f aca="false">AI141-AI137-AI139-AI140</f>
        <v>13253.75</v>
      </c>
      <c r="AC173" s="102" t="n">
        <f aca="false">AI137</f>
        <v>2650.75</v>
      </c>
      <c r="AD173" s="185"/>
      <c r="AE173" s="22"/>
      <c r="AF173" s="181" t="n">
        <f aca="false">AI139+AI140</f>
        <v>330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25521.604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n">
        <f aca="false">Q141</f>
        <v>35519.004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n">
        <f aca="false">Z141</f>
        <v>21207.765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n">
        <f aca="false">AI141</f>
        <v>16234.5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23021.604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n">
        <f aca="false">J176-J179-K179</f>
        <v>36519.004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n">
        <f aca="false">S176-S179-T179</f>
        <v>22207.765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n">
        <f aca="false">AB176-AB179-AC179</f>
        <v>17234.5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4659.16979283026</v>
      </c>
      <c r="B182" s="102" t="str">
        <f aca="false">B114</f>
        <v>239.99</v>
      </c>
      <c r="C182" s="102"/>
      <c r="D182" s="22"/>
      <c r="E182" s="102" t="n">
        <f aca="false">E179+A182+B182+A185</f>
        <v>27930.7637928303</v>
      </c>
      <c r="F182" s="22"/>
      <c r="G182" s="22"/>
      <c r="H182" s="104"/>
      <c r="J182" s="110" t="n">
        <f aca="false">(J167*K59)+N185-N179-J185</f>
        <v>15654.5844731586</v>
      </c>
      <c r="K182" s="102" t="n">
        <f aca="false">K114</f>
        <v>239.99</v>
      </c>
      <c r="L182" s="102"/>
      <c r="M182" s="22"/>
      <c r="N182" s="102" t="n">
        <f aca="false">N179+J182+K182+J185</f>
        <v>52433.5784731586</v>
      </c>
      <c r="O182" s="22"/>
      <c r="P182" s="22"/>
      <c r="Q182" s="104"/>
      <c r="S182" s="110" t="n">
        <f aca="false">(S167*T59)+W185-W179-S185</f>
        <v>4940.57365186569</v>
      </c>
      <c r="T182" s="102" t="n">
        <f aca="false">T114</f>
        <v>199.99</v>
      </c>
      <c r="U182" s="102"/>
      <c r="V182" s="22"/>
      <c r="W182" s="102" t="n">
        <f aca="false">W179+S182+T182+S185</f>
        <v>27358.3286518657</v>
      </c>
      <c r="X182" s="22"/>
      <c r="Y182" s="22"/>
      <c r="Z182" s="104"/>
      <c r="AB182" s="110" t="n">
        <f aca="false">(AB167*AC59)+AF185-AF179-AB185</f>
        <v>3933.86486412483</v>
      </c>
      <c r="AC182" s="102" t="n">
        <f aca="false">AC114</f>
        <v>239.99</v>
      </c>
      <c r="AD182" s="102"/>
      <c r="AE182" s="22"/>
      <c r="AF182" s="102" t="n">
        <f aca="false">AF179+AB182+AC182+AB185</f>
        <v>21418.3548641248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A179+(B182)</f>
        <v>2239.99</v>
      </c>
      <c r="C185" s="102"/>
      <c r="D185" s="22"/>
      <c r="E185" s="102" t="n">
        <f aca="false">(IF(E170=0,E167+A185,E170+A185))</f>
        <v>2515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2525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2515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2515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IF(E105="YES",J18*0.000002,0)*100*1.2</f>
        <v>5.02272</v>
      </c>
      <c r="B188" s="102" t="n">
        <f aca="false">B68</f>
        <v>187.84989375</v>
      </c>
      <c r="C188" s="92"/>
      <c r="D188" s="92"/>
      <c r="E188" s="102" t="n">
        <f aca="false">(E40*A108)*0.1*(C45/100)</f>
        <v>55.0095</v>
      </c>
      <c r="F188" s="22"/>
      <c r="G188" s="22"/>
      <c r="H188" s="32"/>
      <c r="J188" s="110" t="n">
        <f aca="false">IF(N105="YES",H15*0.000002,0)</f>
        <v>0.042536</v>
      </c>
      <c r="K188" s="102" t="n">
        <f aca="false">(P158*K67)/1.2</f>
        <v>2250.73722569444</v>
      </c>
      <c r="L188" s="92"/>
      <c r="M188" s="92"/>
      <c r="N188" s="102" t="n">
        <f aca="false">(E40*J108)*0.1</f>
        <v>55.0095</v>
      </c>
      <c r="O188" s="22"/>
      <c r="P188" s="22"/>
      <c r="Q188" s="32"/>
      <c r="S188" s="110" t="n">
        <f aca="false">IF(W105="YES",Z15*0.000002,0)</f>
        <v>0</v>
      </c>
      <c r="T188" s="102" t="n">
        <f aca="false">(Y158*T67)/1.2</f>
        <v>181.209193576389</v>
      </c>
      <c r="U188" s="92"/>
      <c r="V188" s="92"/>
      <c r="W188" s="102" t="n">
        <f aca="false">(E40*S108)*0.1</f>
        <v>36.673</v>
      </c>
      <c r="X188" s="31"/>
      <c r="Y188" s="31"/>
      <c r="Z188" s="32"/>
      <c r="AB188" s="110" t="n">
        <f aca="false">IF(AF105="YES",AI15*0.000002,0)</f>
        <v>0</v>
      </c>
      <c r="AC188" s="102" t="n">
        <f aca="false">(AH158*AC67)/1.2</f>
        <v>140.628732638889</v>
      </c>
      <c r="AD188" s="92"/>
      <c r="AE188" s="92"/>
      <c r="AF188" s="102" t="n">
        <f aca="false">(E40*AB108)*0.1</f>
        <v>36.673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B182/1.2-100</f>
        <v>99.9916666666667</v>
      </c>
      <c r="B191" s="102" t="n">
        <f aca="false">B188+E188+A191</f>
        <v>342.851060416667</v>
      </c>
      <c r="C191" s="92"/>
      <c r="D191" s="92"/>
      <c r="E191" s="102" t="n">
        <f aca="false">H148</f>
        <v>3544.67</v>
      </c>
      <c r="F191" s="22"/>
      <c r="G191" s="22"/>
      <c r="H191" s="32"/>
      <c r="J191" s="110" t="n">
        <f aca="false">K185-100</f>
        <v>1139.99</v>
      </c>
      <c r="K191" s="102" t="n">
        <f aca="false">K188+N188+J191</f>
        <v>3445.73672569444</v>
      </c>
      <c r="L191" s="92"/>
      <c r="M191" s="92"/>
      <c r="N191" s="102" t="n">
        <f aca="false">Q148</f>
        <v>14251.004</v>
      </c>
      <c r="O191" s="22"/>
      <c r="P191" s="22"/>
      <c r="Q191" s="32"/>
      <c r="S191" s="110" t="n">
        <f aca="false">T185-100</f>
        <v>1099.99</v>
      </c>
      <c r="T191" s="102" t="n">
        <f aca="false">T188+W188+S191</f>
        <v>1317.87219357639</v>
      </c>
      <c r="U191" s="92"/>
      <c r="V191" s="92"/>
      <c r="W191" s="102" t="n">
        <f aca="false">Z148</f>
        <v>-60.2350000000006</v>
      </c>
      <c r="X191" s="31"/>
      <c r="Y191" s="31"/>
      <c r="Z191" s="32"/>
      <c r="AB191" s="110" t="n">
        <f aca="false">AC185-100</f>
        <v>1139.99</v>
      </c>
      <c r="AC191" s="102" t="n">
        <f aca="false">AC188+AF188+AB191</f>
        <v>1317.29173263889</v>
      </c>
      <c r="AD191" s="92"/>
      <c r="AE191" s="92"/>
      <c r="AF191" s="102" t="n">
        <f aca="false">AI148</f>
        <v>-5033.5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35000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35000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35000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35000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35</v>
      </c>
      <c r="B197" s="73" t="n">
        <f aca="false">B96</f>
        <v>824.596111553831</v>
      </c>
      <c r="C197" s="73"/>
      <c r="D197" s="73"/>
      <c r="E197" s="22"/>
      <c r="F197" s="22"/>
      <c r="G197" s="22"/>
      <c r="H197" s="32"/>
      <c r="J197" s="72" t="n">
        <f aca="false">K29</f>
        <v>35</v>
      </c>
      <c r="K197" s="73" t="n">
        <f aca="false">K96</f>
        <v>1542.56923744584</v>
      </c>
      <c r="L197" s="73"/>
      <c r="M197" s="73"/>
      <c r="N197" s="22"/>
      <c r="O197" s="22"/>
      <c r="P197" s="22"/>
      <c r="Q197" s="32"/>
      <c r="S197" s="72" t="n">
        <f aca="false">K29</f>
        <v>35</v>
      </c>
      <c r="T197" s="73" t="n">
        <f aca="false">T96</f>
        <v>789.521136819579</v>
      </c>
      <c r="U197" s="73"/>
      <c r="V197" s="73"/>
      <c r="W197" s="22"/>
      <c r="X197" s="22"/>
      <c r="Y197" s="22"/>
      <c r="Z197" s="32"/>
      <c r="AB197" s="72" t="n">
        <f aca="false">K29</f>
        <v>35</v>
      </c>
      <c r="AC197" s="73" t="n">
        <f aca="false">AC96</f>
        <v>626.582966591907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2671.396</v>
      </c>
      <c r="B201" s="185" t="n">
        <f aca="false">E179+A201+B182+A185</f>
        <v>25942.99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35</v>
      </c>
      <c r="C209" s="173"/>
      <c r="D209" s="173"/>
      <c r="E209" s="173" t="n">
        <f aca="false">B196</f>
        <v>35000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740.463935083243</v>
      </c>
      <c r="B212" s="176" t="n">
        <f aca="false">B167</f>
        <v>84.1321764705883</v>
      </c>
      <c r="C212" s="173"/>
      <c r="D212" s="173"/>
      <c r="E212" s="176" t="n">
        <f aca="false">E167</f>
        <v>824.596111553831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20984.67</v>
      </c>
      <c r="B215" s="102" t="n">
        <f aca="false">B173</f>
        <v>4196.934</v>
      </c>
      <c r="C215" s="185"/>
      <c r="D215" s="112"/>
      <c r="E215" s="181" t="n">
        <f aca="false">E173</f>
        <v>340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25521.604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23021.604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4659.16979283026</v>
      </c>
      <c r="B224" s="102" t="str">
        <f aca="false">B182</f>
        <v>239.99</v>
      </c>
      <c r="C224" s="102"/>
      <c r="D224" s="112"/>
      <c r="E224" s="102" t="n">
        <f aca="false">E182</f>
        <v>27930.7637928303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2239.99</v>
      </c>
      <c r="C227" s="102"/>
      <c r="D227" s="112"/>
      <c r="E227" s="102" t="n">
        <f aca="false">B59</f>
        <v>34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740.463935083243</v>
      </c>
      <c r="B230" s="102" t="n">
        <f aca="false">B167</f>
        <v>84.1321764705883</v>
      </c>
      <c r="C230" s="185"/>
      <c r="D230" s="185"/>
      <c r="E230" s="102" t="n">
        <f aca="false">E167</f>
        <v>824.596111553831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2505</v>
      </c>
      <c r="B233" s="102" t="n">
        <f aca="false">E185</f>
        <v>2515</v>
      </c>
      <c r="C233" s="92"/>
      <c r="D233" s="92"/>
      <c r="E233" s="102" t="n">
        <f aca="false">A188</f>
        <v>5.02272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3544.67</v>
      </c>
      <c r="B240" s="102" t="n">
        <f aca="false">B68</f>
        <v>187.84989375</v>
      </c>
      <c r="C240" s="92"/>
      <c r="D240" s="92"/>
      <c r="E240" s="102" t="n">
        <f aca="false">E188</f>
        <v>55.0095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3887.52106041667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1997.77379283026</v>
      </c>
      <c r="C254" s="196"/>
      <c r="D254" s="197" t="s">
        <v>217</v>
      </c>
      <c r="E254" s="197"/>
      <c r="F254" s="199" t="n">
        <f aca="false">F261+F267+F269+B270+B271</f>
        <v>225.4198725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650.086666666667</v>
      </c>
      <c r="C255" s="196"/>
      <c r="D255" s="197" t="s">
        <v>219</v>
      </c>
      <c r="E255" s="197"/>
      <c r="F255" s="199" t="n">
        <f aca="false">(B254-F254)+B255</f>
        <v>2422.44058699693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1997.77379283026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0.00979166666666667</v>
      </c>
      <c r="C261" s="31"/>
      <c r="D261" s="165" t="s">
        <v>222</v>
      </c>
      <c r="E261" s="165"/>
      <c r="F261" s="150" t="n">
        <f aca="false">B68*1.2</f>
        <v>225.4198725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0.3</v>
      </c>
      <c r="C262" s="31"/>
      <c r="D262" s="165" t="s">
        <v>223</v>
      </c>
      <c r="E262" s="165"/>
      <c r="F262" s="145" t="n">
        <f aca="false">E240*10</f>
        <v>550.095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2422.44058699693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A182" activeCellId="1" sqref="A191 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17895</v>
      </c>
      <c r="C3" s="437" t="n">
        <v>0</v>
      </c>
      <c r="D3" s="437" t="n">
        <v>0</v>
      </c>
      <c r="E3" s="437"/>
      <c r="F3" s="437" t="n">
        <v>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</v>
      </c>
      <c r="C4" s="123" t="n">
        <v>0</v>
      </c>
      <c r="D4" s="123" t="n">
        <v>0</v>
      </c>
      <c r="E4" s="123"/>
      <c r="F4" s="123" t="n">
        <v>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16745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16745</v>
      </c>
      <c r="F9" s="151"/>
      <c r="G9" s="135"/>
      <c r="H9" s="439" t="n">
        <f aca="false">B7+D7+F7+H3</f>
        <v>16745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550</v>
      </c>
      <c r="F10" s="153"/>
      <c r="G10" s="154"/>
      <c r="H10" s="438" t="n">
        <v>695</v>
      </c>
      <c r="I10" s="2"/>
      <c r="J10" s="2"/>
      <c r="L10" s="15" t="s">
        <v>1</v>
      </c>
      <c r="M10" s="9" t="n">
        <f aca="false">H15-H11-M8</f>
        <v>17440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3488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555</v>
      </c>
      <c r="F13" s="153"/>
      <c r="G13" s="154"/>
      <c r="H13" s="438" t="n">
        <v>290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55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21268</v>
      </c>
      <c r="I15" s="2"/>
      <c r="J15" s="16" t="n">
        <f aca="false">H15</f>
        <v>21268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0</v>
      </c>
      <c r="F16" s="153"/>
      <c r="G16" s="154"/>
      <c r="H16" s="438" t="n">
        <v>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20928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21268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18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28</v>
      </c>
      <c r="K29" s="444" t="n">
        <v>36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6990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 t="n">
        <v>0</v>
      </c>
      <c r="J32" s="28" t="s">
        <v>36</v>
      </c>
      <c r="K32" s="445" t="n">
        <v>780</v>
      </c>
      <c r="P32" s="211"/>
    </row>
    <row r="33" customFormat="false" ht="36.75" hidden="false" customHeight="false" outlineLevel="0" collapsed="false">
      <c r="A33" s="178" t="n">
        <f aca="false">A52</f>
        <v>35</v>
      </c>
      <c r="B33" s="231" t="n">
        <f aca="false">B51</f>
        <v>35000</v>
      </c>
      <c r="C33" s="92"/>
      <c r="D33" s="92"/>
      <c r="E33" s="231" t="n">
        <f aca="false">K48</f>
        <v>583.05944916212</v>
      </c>
      <c r="F33" s="231"/>
      <c r="G33" s="231"/>
      <c r="H33" s="46"/>
      <c r="I33" s="2"/>
      <c r="J33" s="33" t="s">
        <v>356</v>
      </c>
      <c r="K33" s="47" t="n">
        <f aca="false">H21-H11+(H16*20%)</f>
        <v>17780</v>
      </c>
      <c r="L33" s="1" t="n">
        <f aca="false">H21-H11+(H16*20%)</f>
        <v>17780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0.065</v>
      </c>
      <c r="P35" s="211"/>
    </row>
    <row r="36" customFormat="false" ht="18.75" hidden="false" customHeight="false" outlineLevel="0" collapsed="false">
      <c r="A36" s="184" t="n">
        <f aca="false">K47</f>
        <v>520.19944916212</v>
      </c>
      <c r="B36" s="231" t="n">
        <f aca="false">IF(B26="YES",K42,"0.00")</f>
        <v>62.86</v>
      </c>
      <c r="C36" s="231"/>
      <c r="D36" s="231"/>
      <c r="E36" s="231" t="n">
        <f aca="false">K31</f>
        <v>2004</v>
      </c>
      <c r="F36" s="231"/>
      <c r="G36" s="231"/>
      <c r="H36" s="46"/>
      <c r="I36" s="2"/>
      <c r="J36" s="2" t="s">
        <v>50</v>
      </c>
      <c r="K36" s="2" t="n">
        <f aca="false">K29</f>
        <v>35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17780</v>
      </c>
      <c r="L39" s="2" t="n">
        <f aca="false">(L47*K46)+K44</f>
        <v>24629.9815220448</v>
      </c>
      <c r="N39" s="1" t="n">
        <f aca="false">K39-L39</f>
        <v>-6849.98152204484</v>
      </c>
      <c r="P39" s="211"/>
    </row>
    <row r="40" customFormat="false" ht="19.5" hidden="false" customHeight="false" outlineLevel="0" collapsed="false">
      <c r="A40" s="312" t="n">
        <f aca="false">E36*A45/100</f>
        <v>5850</v>
      </c>
      <c r="B40" s="106" t="n">
        <f aca="false">IF(B26="YES",K42,"0.00")</f>
        <v>62.86</v>
      </c>
      <c r="C40" s="106"/>
      <c r="D40" s="106"/>
      <c r="E40" s="181" t="n">
        <f aca="false">K32</f>
        <v>2200.1</v>
      </c>
      <c r="F40" s="185"/>
      <c r="G40" s="185"/>
      <c r="H40" s="46"/>
      <c r="J40" s="2" t="s">
        <v>107</v>
      </c>
      <c r="K40" s="2" t="n">
        <f aca="false">(A40)/1.2</f>
        <v>1670</v>
      </c>
      <c r="L40" s="2" t="n">
        <f aca="false">K39-L39</f>
        <v>-6849.98152204484</v>
      </c>
      <c r="N40" s="1" t="n">
        <f aca="false">N38-N39</f>
        <v>9761.66152204484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(K32/K36/100)*C45</f>
        <v>62.86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1354.50185880034</v>
      </c>
      <c r="L44" s="2"/>
      <c r="P44" s="211"/>
    </row>
    <row r="45" customFormat="false" ht="19.5" hidden="false" customHeight="false" outlineLevel="0" collapsed="false">
      <c r="A45" s="504" t="n">
        <v>100</v>
      </c>
      <c r="B45" s="92"/>
      <c r="C45" s="503" t="n">
        <v>100</v>
      </c>
      <c r="D45" s="503"/>
      <c r="E45" s="503"/>
      <c r="F45" s="92"/>
      <c r="G45" s="92"/>
      <c r="H45" s="32"/>
      <c r="J45" s="2" t="s">
        <v>367</v>
      </c>
      <c r="K45" s="2" t="n">
        <f aca="false">(K39-K44)</f>
        <v>16425.4981411997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31.5753854942677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520.19944916212</v>
      </c>
      <c r="L47" s="2" t="n">
        <f aca="false">L49-K42</f>
        <v>737.14</v>
      </c>
      <c r="M47" s="1" t="n">
        <f aca="false">K47-L47</f>
        <v>-216.94055083788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583.05944916212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35000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35</v>
      </c>
      <c r="B52" s="73" t="n">
        <f aca="false">K48</f>
        <v>583.05944916212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34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34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34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34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20928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20928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20928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20928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0.065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9283.02209624229</v>
      </c>
      <c r="C65" s="92"/>
      <c r="D65" s="92"/>
      <c r="E65" s="112"/>
      <c r="F65" s="112"/>
      <c r="G65" s="112"/>
      <c r="H65" s="32"/>
      <c r="J65" s="55" t="s">
        <v>91</v>
      </c>
      <c r="K65" s="64" t="n">
        <f aca="false">(K89*K59)-(K47*K29)</f>
        <v>31461.6077524844</v>
      </c>
      <c r="L65" s="92"/>
      <c r="M65" s="92"/>
      <c r="N65" s="112"/>
      <c r="O65" s="112"/>
      <c r="P65" s="112"/>
      <c r="Q65" s="32"/>
      <c r="S65" s="55" t="s">
        <v>91</v>
      </c>
      <c r="T65" s="64" t="n">
        <f aca="false">(T89*T59)-(K47*K29)</f>
        <v>6848.32065523045</v>
      </c>
      <c r="U65" s="92"/>
      <c r="V65" s="92"/>
      <c r="W65" s="112"/>
      <c r="X65" s="112"/>
      <c r="Y65" s="112"/>
      <c r="Z65" s="32"/>
      <c r="AB65" s="55" t="s">
        <v>91</v>
      </c>
      <c r="AC65" s="64" t="n">
        <f aca="false">(AC89*AC59)-(K47*K29)</f>
        <v>868.346867489585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0.00979166666666667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0.0739583333333333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0.00979166666666667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0.00979166666666667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200.905449305556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1547.8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204.92</v>
      </c>
      <c r="U68" s="92"/>
      <c r="V68" s="92"/>
      <c r="W68" s="112"/>
      <c r="X68" s="112"/>
      <c r="Y68" s="112"/>
      <c r="Z68" s="32"/>
      <c r="AB68" s="55" t="s">
        <v>94</v>
      </c>
      <c r="AC68" s="64" t="n">
        <f aca="false">AH158*AC67</f>
        <v>168.754479166667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0.05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B73*B29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11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112"/>
      <c r="G77" s="11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520.19944916212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520.19944916212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583.05944916212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583.05944916212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24621.604</v>
      </c>
      <c r="C81" s="92"/>
      <c r="D81" s="92"/>
      <c r="E81" s="112"/>
      <c r="F81" s="24" t="s">
        <v>106</v>
      </c>
      <c r="G81" s="26" t="n">
        <f aca="false">G158</f>
        <v>24621.604</v>
      </c>
      <c r="H81" s="32"/>
      <c r="J81" s="24" t="s">
        <v>106</v>
      </c>
      <c r="K81" s="26" t="n">
        <f aca="false">P158</f>
        <v>36519.004</v>
      </c>
      <c r="L81" s="92"/>
      <c r="M81" s="92"/>
      <c r="N81" s="112"/>
      <c r="O81" s="112"/>
      <c r="P81" s="112"/>
      <c r="Q81" s="32"/>
      <c r="S81" s="24" t="s">
        <v>106</v>
      </c>
      <c r="T81" s="26" t="n">
        <f aca="false">Y158</f>
        <v>22207.765</v>
      </c>
      <c r="U81" s="92"/>
      <c r="V81" s="92"/>
      <c r="W81" s="112"/>
      <c r="X81" s="112"/>
      <c r="Y81" s="112"/>
      <c r="Z81" s="32"/>
      <c r="AB81" s="24" t="s">
        <v>106</v>
      </c>
      <c r="AC81" s="26" t="n">
        <f aca="false">AH158</f>
        <v>17234.5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2004</v>
      </c>
      <c r="C82" s="92"/>
      <c r="D82" s="92"/>
      <c r="E82" s="112"/>
      <c r="F82" s="30" t="s">
        <v>107</v>
      </c>
      <c r="G82" s="32" t="n">
        <f aca="false">IF(A111="YES",A40,0)</f>
        <v>2004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2004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2004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1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34</v>
      </c>
      <c r="C85" s="92"/>
      <c r="D85" s="92"/>
      <c r="E85" s="112"/>
      <c r="F85" s="30" t="s">
        <v>110</v>
      </c>
      <c r="G85" s="32" t="n">
        <f aca="false">IF(G82=0,(B59+B58),(B59))</f>
        <v>34</v>
      </c>
      <c r="H85" s="32"/>
      <c r="J85" s="30" t="s">
        <v>110</v>
      </c>
      <c r="K85" s="32" t="n">
        <f aca="false">IF(K82=0,(K59+K58),(K59))</f>
        <v>35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34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34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1414.65205504356</v>
      </c>
      <c r="C86" s="92"/>
      <c r="D86" s="92"/>
      <c r="E86" s="112"/>
      <c r="F86" s="30" t="s">
        <v>111</v>
      </c>
      <c r="G86" s="32" t="n">
        <f aca="false">(G82/((1+G84)^(G85+1)))</f>
        <v>1634.88374357201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1370.4406537485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1370.4406537485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28.7026658885233</v>
      </c>
      <c r="C87" s="92"/>
      <c r="D87" s="92"/>
      <c r="E87" s="112"/>
      <c r="F87" s="30" t="s">
        <v>112</v>
      </c>
      <c r="G87" s="32" t="n">
        <f aca="false">((1-(1/((1+G84)^G85)))/G84)</f>
        <v>30.7595752429843</v>
      </c>
      <c r="H87" s="32"/>
      <c r="J87" s="30" t="s">
        <v>112</v>
      </c>
      <c r="K87" s="32" t="n">
        <f aca="false">((1-(1/((1+K84)^K85)))/K84)</f>
        <v>24.9986193320352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28.2762125724768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28.2762125724768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23206.9519449564</v>
      </c>
      <c r="C88" s="92"/>
      <c r="D88" s="92"/>
      <c r="E88" s="112"/>
      <c r="F88" s="30" t="s">
        <v>113</v>
      </c>
      <c r="G88" s="32" t="n">
        <f aca="false">G81-G86</f>
        <v>22986.720256428</v>
      </c>
      <c r="H88" s="32"/>
      <c r="J88" s="30" t="s">
        <v>113</v>
      </c>
      <c r="K88" s="32" t="n">
        <f aca="false">K81-K86</f>
        <v>36519.004</v>
      </c>
      <c r="L88" s="92"/>
      <c r="M88" s="92"/>
      <c r="N88" s="112"/>
      <c r="O88" s="112"/>
      <c r="P88" s="112"/>
      <c r="Q88" s="32"/>
      <c r="S88" s="30" t="s">
        <v>113</v>
      </c>
      <c r="T88" s="32" t="n">
        <f aca="false">T81-T86</f>
        <v>20837.3243462515</v>
      </c>
      <c r="U88" s="92"/>
      <c r="V88" s="92"/>
      <c r="W88" s="112"/>
      <c r="X88" s="112"/>
      <c r="Y88" s="112"/>
      <c r="Z88" s="32"/>
      <c r="AB88" s="30" t="s">
        <v>113</v>
      </c>
      <c r="AC88" s="32" t="n">
        <f aca="false">AC81-AC86</f>
        <v>15864.0593462515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808.529494615191</v>
      </c>
      <c r="C89" s="92"/>
      <c r="D89" s="92"/>
      <c r="E89" s="112"/>
      <c r="F89" s="30" t="s">
        <v>114</v>
      </c>
      <c r="G89" s="32" t="n">
        <f aca="false">(G88/G87)</f>
        <v>747.302915428615</v>
      </c>
      <c r="H89" s="32"/>
      <c r="J89" s="30" t="s">
        <v>114</v>
      </c>
      <c r="K89" s="32" t="n">
        <f aca="false">(K88/K87)</f>
        <v>1460.84083744584</v>
      </c>
      <c r="L89" s="92"/>
      <c r="M89" s="92"/>
      <c r="N89" s="112"/>
      <c r="O89" s="112"/>
      <c r="P89" s="112"/>
      <c r="Q89" s="32"/>
      <c r="S89" s="30" t="s">
        <v>114</v>
      </c>
      <c r="T89" s="32" t="n">
        <f aca="false">(T88/T87)</f>
        <v>736.920628703078</v>
      </c>
      <c r="U89" s="92"/>
      <c r="V89" s="92"/>
      <c r="W89" s="112"/>
      <c r="X89" s="112"/>
      <c r="Y89" s="112"/>
      <c r="Z89" s="32"/>
      <c r="AB89" s="30" t="s">
        <v>114</v>
      </c>
      <c r="AC89" s="32" t="n">
        <f aca="false">(AC88/AC87)</f>
        <v>561.0390467107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27490.0028169165</v>
      </c>
      <c r="C90" s="92"/>
      <c r="D90" s="92"/>
      <c r="E90" s="112"/>
      <c r="F90" s="30" t="s">
        <v>115</v>
      </c>
      <c r="G90" s="32" t="n">
        <f aca="false">((G89*(G85))+G77)</f>
        <v>25408.2991245729</v>
      </c>
      <c r="H90" s="32"/>
      <c r="J90" s="30" t="s">
        <v>115</v>
      </c>
      <c r="K90" s="32" t="n">
        <f aca="false">((K89*(K85))+K77)</f>
        <v>51129.4293106044</v>
      </c>
      <c r="L90" s="92"/>
      <c r="M90" s="92"/>
      <c r="N90" s="112"/>
      <c r="O90" s="112"/>
      <c r="P90" s="112"/>
      <c r="Q90" s="32"/>
      <c r="S90" s="30" t="s">
        <v>115</v>
      </c>
      <c r="T90" s="32" t="n">
        <f aca="false">(T89*(T85))+T77</f>
        <v>25055.3013759046</v>
      </c>
      <c r="U90" s="92"/>
      <c r="V90" s="92"/>
      <c r="W90" s="112"/>
      <c r="X90" s="112"/>
      <c r="Y90" s="112"/>
      <c r="Z90" s="32"/>
      <c r="AB90" s="30" t="s">
        <v>115</v>
      </c>
      <c r="AC90" s="32" t="n">
        <f aca="false">(AC89*(AC59))+AC77</f>
        <v>19075.3275881638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(B90/(1-B71))*B71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n">
        <f aca="false">(K90/(1-K71))*K71</f>
        <v>0</v>
      </c>
      <c r="L91" s="92"/>
      <c r="M91" s="92"/>
      <c r="N91" s="112"/>
      <c r="O91" s="112"/>
      <c r="P91" s="112"/>
      <c r="Q91" s="32"/>
      <c r="S91" s="30" t="s">
        <v>116</v>
      </c>
      <c r="T91" s="32" t="n">
        <f aca="false">(T90/(1-T71))*T71</f>
        <v>0</v>
      </c>
      <c r="U91" s="92"/>
      <c r="V91" s="92"/>
      <c r="W91" s="112"/>
      <c r="X91" s="112"/>
      <c r="Y91" s="112"/>
      <c r="Z91" s="32"/>
      <c r="AB91" s="30" t="s">
        <v>116</v>
      </c>
      <c r="AC91" s="32" t="n">
        <f aca="false">(AC90/(1-AC71))*AC71</f>
        <v>0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27490.0028169165</v>
      </c>
      <c r="C92" s="92"/>
      <c r="D92" s="92"/>
      <c r="E92" s="112"/>
      <c r="F92" s="55" t="s">
        <v>117</v>
      </c>
      <c r="G92" s="64" t="n">
        <f aca="false">(G90+G91)</f>
        <v>25408.2991245729</v>
      </c>
      <c r="H92" s="32"/>
      <c r="J92" s="55" t="s">
        <v>117</v>
      </c>
      <c r="K92" s="64" t="n">
        <f aca="false">(K90+K91)</f>
        <v>51129.4293106044</v>
      </c>
      <c r="L92" s="92"/>
      <c r="M92" s="92"/>
      <c r="N92" s="112"/>
      <c r="O92" s="112"/>
      <c r="P92" s="112"/>
      <c r="Q92" s="32"/>
      <c r="S92" s="55" t="s">
        <v>117</v>
      </c>
      <c r="T92" s="64" t="n">
        <f aca="false">(T90+T91)</f>
        <v>25055.3013759046</v>
      </c>
      <c r="U92" s="92"/>
      <c r="V92" s="92"/>
      <c r="W92" s="112"/>
      <c r="X92" s="112"/>
      <c r="Y92" s="112"/>
      <c r="Z92" s="32"/>
      <c r="AB92" s="55" t="s">
        <v>117</v>
      </c>
      <c r="AC92" s="64" t="n">
        <f aca="false">(AC90+AC91)</f>
        <v>19075.3275881638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88" t="n">
        <f aca="false">IF(B26="YES",((E40/B85)*(1+A108)*1.2*(C45/100)),"0")</f>
        <v>100.945764705882</v>
      </c>
      <c r="C94" s="92"/>
      <c r="D94" s="92"/>
      <c r="E94" s="112"/>
      <c r="F94" s="87" t="s">
        <v>118</v>
      </c>
      <c r="G94" s="93" t="n">
        <f aca="false">IF(B26="YES",((E40/B85)*(1+A108)*(C45/100)),"0")</f>
        <v>84.1214705882353</v>
      </c>
      <c r="H94" s="32"/>
      <c r="J94" s="87" t="s">
        <v>118</v>
      </c>
      <c r="K94" s="88" t="n">
        <f aca="false">((E40/K85)*(1+J108))*1.2</f>
        <v>98.0616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77.6505882352941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93.1807058823529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808.529494615191</v>
      </c>
      <c r="C95" s="92"/>
      <c r="D95" s="92"/>
      <c r="E95" s="112"/>
      <c r="F95" s="94" t="s">
        <v>119</v>
      </c>
      <c r="G95" s="95" t="n">
        <f aca="false">G92/(G85)</f>
        <v>747.302915428615</v>
      </c>
      <c r="H95" s="32"/>
      <c r="J95" s="94" t="s">
        <v>119</v>
      </c>
      <c r="K95" s="95" t="n">
        <f aca="false">K92/(K85)</f>
        <v>1460.84083744584</v>
      </c>
      <c r="L95" s="92"/>
      <c r="M95" s="92"/>
      <c r="N95" s="112"/>
      <c r="O95" s="112"/>
      <c r="P95" s="112"/>
      <c r="Q95" s="32"/>
      <c r="S95" s="94" t="s">
        <v>119</v>
      </c>
      <c r="T95" s="95" t="n">
        <f aca="false">T92/(T85)</f>
        <v>736.920628703078</v>
      </c>
      <c r="U95" s="92"/>
      <c r="V95" s="92"/>
      <c r="W95" s="112"/>
      <c r="X95" s="112"/>
      <c r="Y95" s="112"/>
      <c r="Z95" s="32"/>
      <c r="AB95" s="94" t="s">
        <v>119</v>
      </c>
      <c r="AC95" s="95" t="n">
        <f aca="false">AC92/(AC59)</f>
        <v>561.0390467107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(B94+B95)</f>
        <v>909.475259321073</v>
      </c>
      <c r="C96" s="92"/>
      <c r="D96" s="92"/>
      <c r="E96" s="112"/>
      <c r="F96" s="96" t="s">
        <v>120</v>
      </c>
      <c r="G96" s="97" t="n">
        <f aca="false">G94+G95</f>
        <v>831.42438601685</v>
      </c>
      <c r="H96" s="32"/>
      <c r="J96" s="96" t="s">
        <v>120</v>
      </c>
      <c r="K96" s="97" t="n">
        <f aca="false">(K94+K95)</f>
        <v>1558.90243744584</v>
      </c>
      <c r="L96" s="92"/>
      <c r="M96" s="92"/>
      <c r="N96" s="112"/>
      <c r="O96" s="112"/>
      <c r="P96" s="112"/>
      <c r="Q96" s="32"/>
      <c r="S96" s="96" t="s">
        <v>120</v>
      </c>
      <c r="T96" s="97" t="n">
        <f aca="false">T94+T95</f>
        <v>814.571216938372</v>
      </c>
      <c r="U96" s="92"/>
      <c r="V96" s="92"/>
      <c r="W96" s="112"/>
      <c r="X96" s="112"/>
      <c r="Y96" s="112"/>
      <c r="Z96" s="32"/>
      <c r="AB96" s="96" t="s">
        <v>120</v>
      </c>
      <c r="AC96" s="97" t="n">
        <f aca="false">AC94+AC95</f>
        <v>654.219752593053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124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s">
        <v>267</v>
      </c>
      <c r="C108" s="106"/>
      <c r="D108" s="106"/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400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16745</v>
      </c>
      <c r="C121" s="120" t="n">
        <f aca="false">B121</f>
        <v>16745</v>
      </c>
      <c r="D121" s="119" t="n">
        <f aca="false">D3</f>
        <v>0</v>
      </c>
      <c r="E121" s="120" t="n">
        <f aca="false">D121</f>
        <v>0</v>
      </c>
      <c r="F121" s="119" t="n">
        <f aca="false">F3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16745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n">
        <f aca="false">F3</f>
        <v>0</v>
      </c>
      <c r="P121" s="120" t="n">
        <f aca="false">O121</f>
        <v>0</v>
      </c>
      <c r="Q121" s="121" t="n">
        <f aca="false">H3</f>
        <v>0</v>
      </c>
      <c r="S121" s="24" t="s">
        <v>150</v>
      </c>
      <c r="T121" s="119" t="n">
        <f aca="false">B3</f>
        <v>16745</v>
      </c>
      <c r="U121" s="120" t="n">
        <f aca="false">T121</f>
        <v>16745</v>
      </c>
      <c r="V121" s="119" t="n">
        <f aca="false">D3</f>
        <v>0</v>
      </c>
      <c r="W121" s="120" t="n">
        <f aca="false">V121</f>
        <v>0</v>
      </c>
      <c r="X121" s="119" t="n">
        <f aca="false">F3</f>
        <v>0</v>
      </c>
      <c r="Y121" s="120" t="n">
        <f aca="false">X121</f>
        <v>0</v>
      </c>
      <c r="Z121" s="121" t="n">
        <f aca="false">H3</f>
        <v>0</v>
      </c>
      <c r="AB121" s="24" t="s">
        <v>150</v>
      </c>
      <c r="AC121" s="119" t="n">
        <f aca="false">B3</f>
        <v>16745</v>
      </c>
      <c r="AD121" s="120" t="n">
        <f aca="false">AC121</f>
        <v>16745</v>
      </c>
      <c r="AE121" s="119" t="n">
        <f aca="false">D3</f>
        <v>0</v>
      </c>
      <c r="AF121" s="120" t="n">
        <f aca="false">AE121</f>
        <v>0</v>
      </c>
      <c r="AG121" s="119" t="n">
        <f aca="false">F3</f>
        <v>0</v>
      </c>
      <c r="AH121" s="120" t="n">
        <f aca="false">AG121</f>
        <v>0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v>0</v>
      </c>
      <c r="D122" s="122" t="n">
        <f aca="false">D4</f>
        <v>0</v>
      </c>
      <c r="E122" s="123" t="n">
        <v>0</v>
      </c>
      <c r="F122" s="122" t="n">
        <f aca="false">F4</f>
        <v>0</v>
      </c>
      <c r="G122" s="448" t="n">
        <v>0</v>
      </c>
      <c r="H122" s="125"/>
      <c r="J122" s="30" t="s">
        <v>151</v>
      </c>
      <c r="K122" s="122" t="n">
        <f aca="false">B4</f>
        <v>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n">
        <f aca="false">F4</f>
        <v>0</v>
      </c>
      <c r="P122" s="448" t="n">
        <f aca="false">O122</f>
        <v>0</v>
      </c>
      <c r="Q122" s="125"/>
      <c r="S122" s="30" t="s">
        <v>151</v>
      </c>
      <c r="T122" s="122" t="n">
        <f aca="false">B4</f>
        <v>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n">
        <f aca="false">F4</f>
        <v>0</v>
      </c>
      <c r="Y122" s="448" t="n">
        <f aca="false">X122</f>
        <v>0</v>
      </c>
      <c r="Z122" s="125"/>
      <c r="AB122" s="30" t="s">
        <v>151</v>
      </c>
      <c r="AC122" s="122" t="n">
        <f aca="false">B4</f>
        <v>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n">
        <f aca="false">F4</f>
        <v>0</v>
      </c>
      <c r="AH122" s="448" t="n">
        <f aca="false">AG122</f>
        <v>0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v>-3544.67</v>
      </c>
      <c r="D123" s="129" t="n">
        <f aca="false">D5</f>
        <v>0</v>
      </c>
      <c r="E123" s="120" t="n">
        <v>0</v>
      </c>
      <c r="F123" s="129" t="n">
        <f aca="false">F5</f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n">
        <f aca="false">F5</f>
        <v>0</v>
      </c>
      <c r="P123" s="120" t="n">
        <f aca="false">O123</f>
        <v>0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n">
        <f aca="false">F5</f>
        <v>0</v>
      </c>
      <c r="Y123" s="120" t="n">
        <f aca="false">X123</f>
        <v>0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n">
        <f aca="false">F5</f>
        <v>0</v>
      </c>
      <c r="AH123" s="120" t="n">
        <f aca="false">AG123</f>
        <v>0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-3544.67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n">
        <f aca="false">(O121*O122)+O123</f>
        <v>0</v>
      </c>
      <c r="P124" s="130" t="n">
        <f aca="false">(P121*P122)+P123</f>
        <v>0</v>
      </c>
      <c r="Q124" s="32"/>
      <c r="S124" s="30" t="s">
        <v>153</v>
      </c>
      <c r="T124" s="129" t="n">
        <f aca="false">(T121*T122)+T123</f>
        <v>0</v>
      </c>
      <c r="U124" s="130" t="n">
        <f aca="false">(U121*U122/100)+U123</f>
        <v>41.8625</v>
      </c>
      <c r="V124" s="129" t="n">
        <f aca="false">(V121*V122)+V123</f>
        <v>0</v>
      </c>
      <c r="W124" s="130" t="n">
        <f aca="false">(W121*W122/100)+W123</f>
        <v>0</v>
      </c>
      <c r="X124" s="129" t="n">
        <f aca="false">(X121*X122)+X123</f>
        <v>0</v>
      </c>
      <c r="Y124" s="130" t="n">
        <f aca="false">(Y121*Y122/100)+Y123</f>
        <v>0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4186.25</v>
      </c>
      <c r="AE124" s="129" t="n">
        <f aca="false">(AE121*AE122)+AE123</f>
        <v>0</v>
      </c>
      <c r="AF124" s="130" t="n">
        <f aca="false">(AF121*AF122)+AF123</f>
        <v>0</v>
      </c>
      <c r="AG124" s="129" t="n">
        <f aca="false">(AG121*AG122)+AG123</f>
        <v>0</v>
      </c>
      <c r="AH124" s="130" t="n">
        <f aca="false">(AH121*AH122)+AH123</f>
        <v>0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16745</v>
      </c>
      <c r="C125" s="132" t="n">
        <f aca="false">C121-C124</f>
        <v>20289.67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16745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n">
        <f aca="false">O121-O124</f>
        <v>0</v>
      </c>
      <c r="P125" s="132" t="n">
        <f aca="false">P121-P124</f>
        <v>0</v>
      </c>
      <c r="Q125" s="64"/>
      <c r="S125" s="55" t="s">
        <v>154</v>
      </c>
      <c r="T125" s="131" t="n">
        <f aca="false">T121-T124</f>
        <v>16745</v>
      </c>
      <c r="U125" s="132" t="n">
        <f aca="false">U121-U124</f>
        <v>16703.1375</v>
      </c>
      <c r="V125" s="131" t="n">
        <f aca="false">V121-V124</f>
        <v>0</v>
      </c>
      <c r="W125" s="132" t="n">
        <f aca="false">W121-W124</f>
        <v>0</v>
      </c>
      <c r="X125" s="131" t="n">
        <f aca="false">X121-X124</f>
        <v>0</v>
      </c>
      <c r="Y125" s="132" t="n">
        <f aca="false">Y121-Y124</f>
        <v>0</v>
      </c>
      <c r="Z125" s="64"/>
      <c r="AB125" s="55" t="s">
        <v>154</v>
      </c>
      <c r="AC125" s="131" t="n">
        <f aca="false">AC121-AC124</f>
        <v>16745</v>
      </c>
      <c r="AD125" s="132" t="n">
        <f aca="false">AD121-AD124</f>
        <v>12558.75</v>
      </c>
      <c r="AE125" s="131" t="n">
        <f aca="false">AE121-AE124</f>
        <v>0</v>
      </c>
      <c r="AF125" s="132" t="n">
        <f aca="false">AF121-AF124</f>
        <v>0</v>
      </c>
      <c r="AG125" s="131" t="n">
        <f aca="false">AG121-AG124</f>
        <v>0</v>
      </c>
      <c r="AH125" s="132" t="n">
        <f aca="false">AH121-AH124</f>
        <v>0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16745</v>
      </c>
      <c r="H135" s="152" t="n">
        <f aca="false">C125+E125+G125+H128</f>
        <v>20289.67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16745</v>
      </c>
      <c r="Q135" s="152" t="n">
        <f aca="false">L125+N125+P125+Q128</f>
        <v>28629.17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16745</v>
      </c>
      <c r="Z135" s="152" t="n">
        <f aca="false">U125+W125+Y125+Z128</f>
        <v>16703.1375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16745</v>
      </c>
      <c r="AI135" s="152" t="n">
        <f aca="false">AD125+AF125+AH125+AI128</f>
        <v>12558.75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695</v>
      </c>
      <c r="H136" s="32" t="n">
        <f aca="false">G136</f>
        <v>695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695</v>
      </c>
      <c r="Q136" s="32" t="n">
        <f aca="false">P136</f>
        <v>695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695</v>
      </c>
      <c r="Z136" s="32" t="n">
        <f aca="false">Y136</f>
        <v>695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695</v>
      </c>
      <c r="AI136" s="32" t="n">
        <f aca="false">AH136</f>
        <v>695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3488</v>
      </c>
      <c r="H137" s="32" t="n">
        <f aca="false">(H135+H136)*20%</f>
        <v>4196.934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3488</v>
      </c>
      <c r="Q137" s="32" t="n">
        <f aca="false">(Q135+Q136)*20%</f>
        <v>5864.834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3488</v>
      </c>
      <c r="Z137" s="32" t="n">
        <f aca="false">(Z135+Z136)*20%</f>
        <v>3479.6275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3488</v>
      </c>
      <c r="AI137" s="32" t="n">
        <f aca="false">(AI135+AI136)*20%</f>
        <v>2650.75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f aca="false">G138</f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275</v>
      </c>
      <c r="H139" s="32" t="n">
        <f aca="false">G139</f>
        <v>275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275</v>
      </c>
      <c r="Q139" s="32" t="n">
        <f aca="false">P139</f>
        <v>275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275</v>
      </c>
      <c r="Z139" s="32" t="n">
        <f aca="false">Y139</f>
        <v>275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275</v>
      </c>
      <c r="AI139" s="32" t="n">
        <f aca="false">AH139</f>
        <v>275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65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65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65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21268</v>
      </c>
      <c r="H141" s="156" t="n">
        <f aca="false">(H135+H136+H139+H140+H137)-H138</f>
        <v>25521.604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21268</v>
      </c>
      <c r="Q141" s="156" t="n">
        <f aca="false">(Q135+Q136+Q139+Q140+Q137)-Q138</f>
        <v>35519.004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21268</v>
      </c>
      <c r="Z141" s="156" t="n">
        <f aca="false">(Z135+Z136+Z139+Z140+Z137)-Z138</f>
        <v>21207.765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21268</v>
      </c>
      <c r="AI141" s="156" t="n">
        <f aca="false">(AI135+AI136+AI139+AI140+AI137)-AI138</f>
        <v>16234.5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s">
        <v>171</v>
      </c>
      <c r="C144" s="160"/>
      <c r="D144" s="160"/>
      <c r="E144" s="160"/>
      <c r="F144" s="160"/>
      <c r="G144" s="154" t="n">
        <f aca="false">H18</f>
        <v>0</v>
      </c>
      <c r="H144" s="39" t="n">
        <f aca="false">G144</f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f aca="false">G145</f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f aca="false">G146</f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21268</v>
      </c>
      <c r="H147" s="163" t="n">
        <f aca="false">H141-((H144*1.2)+(H145*1.2)+(H146*1.2)+(H142*1.2))</f>
        <v>25521.604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21268</v>
      </c>
      <c r="Q147" s="163" t="n">
        <f aca="false">Q141-((Q144*1.2)+(Q145*1.2)+(Q146*1.2)+(Q142*1.2))</f>
        <v>35519.004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21268</v>
      </c>
      <c r="Z147" s="163" t="n">
        <f aca="false">Z141-((Z144*1.2)+(Z145*1.2)+(Z146*1.2)+(Z142*1.2))</f>
        <v>21207.765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21268</v>
      </c>
      <c r="AI147" s="163" t="n">
        <f aca="false">AI141-((AI144*1.2)+(AI145*1.2)+(AI146*1.2)+(AI142*1.2))</f>
        <v>16234.5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3544.67</v>
      </c>
      <c r="I148" s="1" t="n">
        <f aca="false">(H148-G81)/1.2</f>
        <v>-17564.1116666667</v>
      </c>
      <c r="J148" s="153" t="s">
        <v>173</v>
      </c>
      <c r="K148" s="153"/>
      <c r="L148" s="153"/>
      <c r="M148" s="153"/>
      <c r="N148" s="153"/>
      <c r="O148" s="153"/>
      <c r="P148" s="154"/>
      <c r="Q148" s="39" t="n">
        <f aca="false">Q147-P147</f>
        <v>14251.004</v>
      </c>
      <c r="S148" s="153" t="s">
        <v>173</v>
      </c>
      <c r="T148" s="153"/>
      <c r="U148" s="153"/>
      <c r="V148" s="153"/>
      <c r="W148" s="153"/>
      <c r="X148" s="153"/>
      <c r="Y148" s="154"/>
      <c r="Z148" s="39" t="n">
        <f aca="false">Z147-Y147</f>
        <v>-60.2350000000006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n">
        <f aca="false">AI147-AH147</f>
        <v>-5033.5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400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24621.604</v>
      </c>
      <c r="H158" s="169"/>
      <c r="J158" s="168" t="s">
        <v>180</v>
      </c>
      <c r="K158" s="92"/>
      <c r="L158" s="92"/>
      <c r="M158" s="112"/>
      <c r="N158" s="92"/>
      <c r="O158" s="112"/>
      <c r="P158" s="169" t="n">
        <f aca="false">Q147-P154-P157</f>
        <v>36519.004</v>
      </c>
      <c r="Q158" s="169"/>
      <c r="S158" s="168" t="s">
        <v>180</v>
      </c>
      <c r="T158" s="92"/>
      <c r="U158" s="92"/>
      <c r="V158" s="112"/>
      <c r="W158" s="92"/>
      <c r="X158" s="112"/>
      <c r="Y158" s="169" t="n">
        <f aca="false">Z147-Y154-Y157</f>
        <v>22207.765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n">
        <f aca="false">AI147-AH154-AH157</f>
        <v>17234.5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808.529494615191</v>
      </c>
      <c r="B167" s="176" t="n">
        <f aca="false">B94</f>
        <v>100.945764705882</v>
      </c>
      <c r="C167" s="173"/>
      <c r="D167" s="173"/>
      <c r="E167" s="176" t="n">
        <f aca="false">B96</f>
        <v>909.475259321073</v>
      </c>
      <c r="F167" s="22"/>
      <c r="G167" s="22" t="n">
        <f aca="false">ROUND(G95,2)</f>
        <v>747.3</v>
      </c>
      <c r="H167" s="32"/>
      <c r="J167" s="175" t="n">
        <f aca="false">K95</f>
        <v>1460.84083744584</v>
      </c>
      <c r="K167" s="176" t="n">
        <f aca="false">K94</f>
        <v>98.0616</v>
      </c>
      <c r="L167" s="173"/>
      <c r="M167" s="173"/>
      <c r="N167" s="176" t="n">
        <f aca="false">K96</f>
        <v>1558.90243744584</v>
      </c>
      <c r="O167" s="22"/>
      <c r="P167" s="22"/>
      <c r="Q167" s="32"/>
      <c r="S167" s="175" t="n">
        <f aca="false">T95</f>
        <v>736.920628703078</v>
      </c>
      <c r="T167" s="176" t="n">
        <f aca="false">T94</f>
        <v>77.6505882352941</v>
      </c>
      <c r="U167" s="173"/>
      <c r="V167" s="173"/>
      <c r="W167" s="176" t="n">
        <f aca="false">T96</f>
        <v>814.571216938372</v>
      </c>
      <c r="X167" s="22"/>
      <c r="Y167" s="22"/>
      <c r="Z167" s="32"/>
      <c r="AB167" s="175" t="n">
        <f aca="false">AC95</f>
        <v>561.0390467107</v>
      </c>
      <c r="AC167" s="176" t="n">
        <f aca="false">AC94</f>
        <v>93.1807058823529</v>
      </c>
      <c r="AD167" s="173"/>
      <c r="AE167" s="173"/>
      <c r="AF167" s="176" t="n">
        <f aca="false">AC96</f>
        <v>654.219752593053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35</v>
      </c>
      <c r="B170" s="179" t="n">
        <f aca="false">K30</f>
        <v>35000</v>
      </c>
      <c r="C170" s="180"/>
      <c r="D170" s="22"/>
      <c r="E170" s="181" t="n">
        <f aca="false">IF(A111="YES",A40,0)</f>
        <v>2004</v>
      </c>
      <c r="F170" s="22"/>
      <c r="G170" s="22"/>
      <c r="H170" s="32"/>
      <c r="J170" s="178" t="n">
        <f aca="false">K29</f>
        <v>35</v>
      </c>
      <c r="K170" s="179" t="n">
        <f aca="false">K30</f>
        <v>35000</v>
      </c>
      <c r="L170" s="180"/>
      <c r="M170" s="22"/>
      <c r="N170" s="181" t="n">
        <f aca="false">IF(A111="YES",A40,0)</f>
        <v>2004</v>
      </c>
      <c r="O170" s="22"/>
      <c r="P170" s="22"/>
      <c r="Q170" s="32"/>
      <c r="S170" s="178" t="n">
        <f aca="false">K29</f>
        <v>35</v>
      </c>
      <c r="T170" s="179" t="n">
        <f aca="false">K30</f>
        <v>35000</v>
      </c>
      <c r="U170" s="180"/>
      <c r="V170" s="22"/>
      <c r="W170" s="181" t="n">
        <f aca="false">IF(A111="YES",A40,0)</f>
        <v>2004</v>
      </c>
      <c r="X170" s="22"/>
      <c r="Y170" s="22"/>
      <c r="Z170" s="32"/>
      <c r="AB170" s="178" t="n">
        <f aca="false">K29</f>
        <v>35</v>
      </c>
      <c r="AC170" s="179" t="n">
        <f aca="false">K30</f>
        <v>35000</v>
      </c>
      <c r="AD170" s="180"/>
      <c r="AE170" s="22"/>
      <c r="AF170" s="181" t="n">
        <f aca="false">IF(A111="YES",A40,0)</f>
        <v>2004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20984.67</v>
      </c>
      <c r="B173" s="102" t="n">
        <f aca="false">H137</f>
        <v>4196.934</v>
      </c>
      <c r="C173" s="185"/>
      <c r="D173" s="22"/>
      <c r="E173" s="181" t="n">
        <f aca="false">H139+H140</f>
        <v>340</v>
      </c>
      <c r="F173" s="22"/>
      <c r="G173" s="22"/>
      <c r="H173" s="32"/>
      <c r="J173" s="184" t="n">
        <f aca="false">Q141-Q137-Q139-Q140</f>
        <v>29324.17</v>
      </c>
      <c r="K173" s="102" t="n">
        <f aca="false">Q137</f>
        <v>5864.834</v>
      </c>
      <c r="L173" s="185"/>
      <c r="M173" s="22"/>
      <c r="N173" s="181" t="n">
        <f aca="false">Q139+Q140</f>
        <v>330</v>
      </c>
      <c r="O173" s="22"/>
      <c r="P173" s="22"/>
      <c r="Q173" s="32"/>
      <c r="S173" s="184" t="n">
        <f aca="false">Z141-Z137-Z139-Z140</f>
        <v>17398.1375</v>
      </c>
      <c r="T173" s="102" t="n">
        <f aca="false">Z137</f>
        <v>3479.6275</v>
      </c>
      <c r="U173" s="185"/>
      <c r="V173" s="22"/>
      <c r="W173" s="181" t="n">
        <f aca="false">Z139+Z140</f>
        <v>330</v>
      </c>
      <c r="X173" s="22"/>
      <c r="Y173" s="22"/>
      <c r="Z173" s="32"/>
      <c r="AB173" s="184" t="n">
        <f aca="false">AI141-AI137-AI139-AI140</f>
        <v>13253.75</v>
      </c>
      <c r="AC173" s="102" t="n">
        <f aca="false">AI137</f>
        <v>2650.75</v>
      </c>
      <c r="AD173" s="185"/>
      <c r="AE173" s="22"/>
      <c r="AF173" s="181" t="n">
        <f aca="false">AI139+AI140</f>
        <v>330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H141</f>
        <v>25521.604</v>
      </c>
      <c r="B176" s="102" t="n">
        <f aca="false">B111</f>
        <v>200</v>
      </c>
      <c r="C176" s="102"/>
      <c r="D176" s="22"/>
      <c r="E176" s="102" t="n">
        <f aca="false">E111</f>
        <v>200</v>
      </c>
      <c r="F176" s="22"/>
      <c r="G176" s="22"/>
      <c r="H176" s="104"/>
      <c r="J176" s="184" t="n">
        <f aca="false">Q141</f>
        <v>35519.004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n">
        <f aca="false">Z141</f>
        <v>21207.765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n">
        <f aca="false">AI141</f>
        <v>16234.5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400</v>
      </c>
      <c r="B179" s="102" t="n">
        <f aca="false">G154</f>
        <v>500</v>
      </c>
      <c r="C179" s="102"/>
      <c r="D179" s="22"/>
      <c r="E179" s="102" t="n">
        <f aca="false">A176-A179-B179</f>
        <v>24621.604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n">
        <f aca="false">J176-J179-K179</f>
        <v>36519.004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n">
        <f aca="false">S176-S179-T179</f>
        <v>22207.765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n">
        <f aca="false">AB176-AB179-AC179</f>
        <v>17234.5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4872.3988169165</v>
      </c>
      <c r="B182" s="102" t="str">
        <f aca="false">B114</f>
        <v>239.99</v>
      </c>
      <c r="C182" s="102"/>
      <c r="D182" s="22"/>
      <c r="E182" s="102" t="n">
        <f aca="false">E179+A182+B182+A185</f>
        <v>29743.9928169165</v>
      </c>
      <c r="F182" s="22"/>
      <c r="G182" s="22"/>
      <c r="H182" s="104"/>
      <c r="J182" s="110" t="n">
        <f aca="false">(J167*K59)+N185-N179-J185</f>
        <v>15153.5844731586</v>
      </c>
      <c r="K182" s="102" t="n">
        <f aca="false">K114</f>
        <v>239.99</v>
      </c>
      <c r="L182" s="102"/>
      <c r="M182" s="22"/>
      <c r="N182" s="102" t="n">
        <f aca="false">N179+J182+K182+J185</f>
        <v>51932.5784731586</v>
      </c>
      <c r="O182" s="22"/>
      <c r="P182" s="22"/>
      <c r="Q182" s="104"/>
      <c r="S182" s="110" t="n">
        <f aca="false">(S167*T59)+W185-W179-S185</f>
        <v>4851.53637590465</v>
      </c>
      <c r="T182" s="102" t="n">
        <f aca="false">T114</f>
        <v>199.99</v>
      </c>
      <c r="U182" s="102"/>
      <c r="V182" s="22"/>
      <c r="W182" s="102" t="n">
        <f aca="false">W179+S182+T182+S185</f>
        <v>27269.2913759046</v>
      </c>
      <c r="X182" s="22"/>
      <c r="Y182" s="22"/>
      <c r="Z182" s="104"/>
      <c r="AB182" s="110" t="n">
        <f aca="false">(AB167*AC59)+AF185-AF179-AB185</f>
        <v>3844.82758816379</v>
      </c>
      <c r="AC182" s="102" t="n">
        <f aca="false">AC114</f>
        <v>239.99</v>
      </c>
      <c r="AD182" s="102"/>
      <c r="AE182" s="22"/>
      <c r="AF182" s="102" t="n">
        <f aca="false">AF179+AB182+AC182+AB185</f>
        <v>21329.3175881638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639.99</v>
      </c>
      <c r="C185" s="102"/>
      <c r="D185" s="22"/>
      <c r="E185" s="102" t="n">
        <f aca="false">IF( E170=0 , A185+E167, E170+A185)</f>
        <v>2014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2024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2014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2014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</f>
        <v>0.041856</v>
      </c>
      <c r="B188" s="102" t="n">
        <f aca="false">(G158*B67)/1.2</f>
        <v>200.905449305556</v>
      </c>
      <c r="C188" s="92"/>
      <c r="D188" s="92"/>
      <c r="E188" s="102" t="n">
        <f aca="false">(E40*A108)*0.1*C45/100</f>
        <v>66.003</v>
      </c>
      <c r="F188" s="22"/>
      <c r="G188" s="22"/>
      <c r="H188" s="32"/>
      <c r="J188" s="110" t="n">
        <f aca="false">IF(N105="YES",H15*0.000002,0)</f>
        <v>0.042536</v>
      </c>
      <c r="K188" s="102" t="n">
        <f aca="false">(P158*K67)/1.2</f>
        <v>2250.73722569444</v>
      </c>
      <c r="L188" s="92"/>
      <c r="M188" s="92"/>
      <c r="N188" s="102" t="n">
        <f aca="false">(E40*J108)*0.1</f>
        <v>66.003</v>
      </c>
      <c r="O188" s="22"/>
      <c r="P188" s="22"/>
      <c r="Q188" s="32"/>
      <c r="S188" s="110" t="n">
        <f aca="false">IF(W105="YES",Z15*0.000002,0)</f>
        <v>0</v>
      </c>
      <c r="T188" s="102" t="n">
        <f aca="false">(Y158*T67)/1.2</f>
        <v>181.209193576389</v>
      </c>
      <c r="U188" s="92"/>
      <c r="V188" s="92"/>
      <c r="W188" s="102" t="n">
        <f aca="false">(E40*S108)*0.1</f>
        <v>44.002</v>
      </c>
      <c r="X188" s="31"/>
      <c r="Y188" s="31"/>
      <c r="Z188" s="32"/>
      <c r="AB188" s="110" t="n">
        <f aca="false">IF(AF105="YES",AI15*0.000002,0)</f>
        <v>0</v>
      </c>
      <c r="AC188" s="102" t="n">
        <f aca="false">(AH158*AC67)/1.2</f>
        <v>140.628732638889</v>
      </c>
      <c r="AD188" s="92"/>
      <c r="AE188" s="92"/>
      <c r="AF188" s="102" t="n">
        <f aca="false">(E40*AB108)*0.1</f>
        <v>44.002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366.900115972222</v>
      </c>
      <c r="C191" s="92"/>
      <c r="D191" s="92"/>
      <c r="E191" s="102" t="n">
        <f aca="false">H148</f>
        <v>3544.67</v>
      </c>
      <c r="F191" s="22"/>
      <c r="G191" s="22"/>
      <c r="H191" s="32"/>
      <c r="J191" s="110" t="n">
        <f aca="false">K185-100</f>
        <v>1139.99</v>
      </c>
      <c r="K191" s="102" t="n">
        <f aca="false">K188+N188+J191</f>
        <v>3456.73022569444</v>
      </c>
      <c r="L191" s="92"/>
      <c r="M191" s="92"/>
      <c r="N191" s="102" t="n">
        <f aca="false">Q148</f>
        <v>14251.004</v>
      </c>
      <c r="O191" s="22"/>
      <c r="P191" s="22"/>
      <c r="Q191" s="32"/>
      <c r="S191" s="110" t="n">
        <f aca="false">T185-100</f>
        <v>1099.99</v>
      </c>
      <c r="T191" s="102" t="n">
        <f aca="false">T188+W188+S191</f>
        <v>1325.20119357639</v>
      </c>
      <c r="U191" s="92"/>
      <c r="V191" s="92"/>
      <c r="W191" s="102" t="n">
        <f aca="false">Z148</f>
        <v>-60.2350000000006</v>
      </c>
      <c r="X191" s="31"/>
      <c r="Y191" s="31"/>
      <c r="Z191" s="32"/>
      <c r="AB191" s="110" t="n">
        <f aca="false">AC185-100</f>
        <v>1139.99</v>
      </c>
      <c r="AC191" s="102" t="n">
        <f aca="false">AC188+AF188+AB191</f>
        <v>1324.62073263889</v>
      </c>
      <c r="AD191" s="92"/>
      <c r="AE191" s="92"/>
      <c r="AF191" s="102" t="n">
        <f aca="false">AI148</f>
        <v>-5033.5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35000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35000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35000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35000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35</v>
      </c>
      <c r="B197" s="73" t="n">
        <f aca="false">B96</f>
        <v>909.475259321073</v>
      </c>
      <c r="C197" s="73"/>
      <c r="D197" s="73"/>
      <c r="E197" s="22"/>
      <c r="F197" s="22"/>
      <c r="G197" s="22"/>
      <c r="H197" s="32"/>
      <c r="J197" s="72" t="n">
        <f aca="false">K29</f>
        <v>35</v>
      </c>
      <c r="K197" s="73" t="n">
        <f aca="false">K96</f>
        <v>1558.90243744584</v>
      </c>
      <c r="L197" s="73"/>
      <c r="M197" s="73"/>
      <c r="N197" s="22"/>
      <c r="O197" s="22"/>
      <c r="P197" s="22"/>
      <c r="Q197" s="32"/>
      <c r="S197" s="72" t="n">
        <f aca="false">K29</f>
        <v>35</v>
      </c>
      <c r="T197" s="73" t="n">
        <f aca="false">T96</f>
        <v>814.571216938372</v>
      </c>
      <c r="U197" s="73"/>
      <c r="V197" s="73"/>
      <c r="W197" s="22"/>
      <c r="X197" s="22"/>
      <c r="Y197" s="22"/>
      <c r="Z197" s="32"/>
      <c r="AB197" s="72" t="n">
        <f aca="false">K29</f>
        <v>35</v>
      </c>
      <c r="AC197" s="73" t="n">
        <f aca="false">AC96</f>
        <v>654.219752593053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2790.596</v>
      </c>
      <c r="B201" s="185" t="n">
        <f aca="false">E179+A201+B182+A185</f>
        <v>27662.19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35</v>
      </c>
      <c r="C209" s="173"/>
      <c r="D209" s="173"/>
      <c r="E209" s="173" t="n">
        <f aca="false">B196</f>
        <v>35000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808.529494615191</v>
      </c>
      <c r="B212" s="176" t="n">
        <f aca="false">B167</f>
        <v>100.945764705882</v>
      </c>
      <c r="C212" s="173"/>
      <c r="D212" s="173"/>
      <c r="E212" s="176" t="n">
        <f aca="false">E167</f>
        <v>909.475259321073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20984.67</v>
      </c>
      <c r="B215" s="102" t="n">
        <f aca="false">B173</f>
        <v>4196.934</v>
      </c>
      <c r="C215" s="185"/>
      <c r="D215" s="112"/>
      <c r="E215" s="181" t="n">
        <f aca="false">E173</f>
        <v>340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25521.604</v>
      </c>
      <c r="B218" s="102" t="n">
        <f aca="false">B176</f>
        <v>200</v>
      </c>
      <c r="C218" s="102"/>
      <c r="D218" s="112"/>
      <c r="E218" s="102" t="n">
        <f aca="false">E176</f>
        <v>200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400</v>
      </c>
      <c r="B221" s="102" t="n">
        <f aca="false">B179</f>
        <v>500</v>
      </c>
      <c r="C221" s="102"/>
      <c r="D221" s="112"/>
      <c r="E221" s="102" t="n">
        <f aca="false">E179</f>
        <v>24621.604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4872.3988169165</v>
      </c>
      <c r="B224" s="102" t="str">
        <f aca="false">B182</f>
        <v>239.99</v>
      </c>
      <c r="C224" s="102"/>
      <c r="D224" s="112"/>
      <c r="E224" s="102" t="n">
        <f aca="false">E182</f>
        <v>29743.9928169165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639.99</v>
      </c>
      <c r="C227" s="102"/>
      <c r="D227" s="112"/>
      <c r="E227" s="102" t="n">
        <f aca="false">B59</f>
        <v>34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808.529494615191</v>
      </c>
      <c r="B230" s="102" t="n">
        <f aca="false">B167</f>
        <v>100.945764705882</v>
      </c>
      <c r="C230" s="185"/>
      <c r="D230" s="185"/>
      <c r="E230" s="102" t="n">
        <f aca="false">E167</f>
        <v>909.475259321073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2004</v>
      </c>
      <c r="B233" s="102" t="n">
        <f aca="false">E185</f>
        <v>2014</v>
      </c>
      <c r="C233" s="92"/>
      <c r="D233" s="92"/>
      <c r="E233" s="102" t="n">
        <f aca="false">J18*0.000006*100*1.2</f>
        <v>15.06816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IF(E105="YES",J18*0.000002,0)*100*1.2</f>
        <v>5.02272</v>
      </c>
      <c r="B236" s="102" t="n">
        <f aca="false">E233+A236</f>
        <v>20.09088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3544.67</v>
      </c>
      <c r="B240" s="102" t="n">
        <f aca="false">B68</f>
        <v>200.905449305556</v>
      </c>
      <c r="C240" s="92"/>
      <c r="D240" s="92"/>
      <c r="E240" s="102" t="n">
        <f aca="false">E188</f>
        <v>66.003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3911.57011597222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2091.8028169165</v>
      </c>
      <c r="C254" s="196"/>
      <c r="D254" s="197" t="s">
        <v>217</v>
      </c>
      <c r="E254" s="197"/>
      <c r="F254" s="199" t="n">
        <f aca="false">F261+F267+F269+B270+B271</f>
        <v>241.086539166667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760.021666666667</v>
      </c>
      <c r="C255" s="196"/>
      <c r="D255" s="197" t="s">
        <v>219</v>
      </c>
      <c r="E255" s="197"/>
      <c r="F255" s="199" t="n">
        <f aca="false">(B254-F254)+B255</f>
        <v>2610.7379444165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2091.8028169165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0.00979166666666667</v>
      </c>
      <c r="C261" s="31"/>
      <c r="D261" s="165" t="s">
        <v>222</v>
      </c>
      <c r="E261" s="165"/>
      <c r="F261" s="150" t="n">
        <f aca="false">B68*1.2</f>
        <v>241.086539166667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0.3</v>
      </c>
      <c r="C262" s="31"/>
      <c r="D262" s="165" t="s">
        <v>223</v>
      </c>
      <c r="E262" s="165"/>
      <c r="F262" s="145" t="n">
        <f aca="false">E240*10</f>
        <v>660.03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2610.7379444165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A18:A20 B105 K105 N105 T105 W105 AC105 AF105 B108:D108 K108:M108 T108:V108 AC108:AE108 A111 J111 S111 AB111 A144:A146 J144:J146 S144:S146 AB144:AB146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8" colorId="64" zoomScale="85" zoomScaleNormal="85" zoomScalePageLayoutView="100" workbookViewId="0">
      <selection pane="topLeft" activeCell="A182" activeCellId="1" sqref="A191 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46854.17</v>
      </c>
      <c r="C3" s="437" t="n">
        <v>0</v>
      </c>
      <c r="D3" s="437" t="n">
        <v>0.0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16745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16745</v>
      </c>
      <c r="F9" s="151"/>
      <c r="G9" s="135"/>
      <c r="H9" s="439" t="n">
        <f aca="false">B7+D7+F7+H3</f>
        <v>16745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550.0</v>
      </c>
      <c r="I10" s="2"/>
      <c r="J10" s="2"/>
      <c r="L10" s="15" t="s">
        <v>1</v>
      </c>
      <c r="M10" s="9" t="n">
        <f aca="false">H15-H11-M8</f>
        <v>17440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3488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585.0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21268</v>
      </c>
      <c r="I15" s="2"/>
      <c r="J15" s="16" t="n">
        <f aca="false">H15</f>
        <v>21268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20928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21268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387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28</v>
      </c>
      <c r="K29" s="444" t="n">
        <v>35.0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35000.0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7890.0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 t="n">
        <v>0</v>
      </c>
      <c r="J32" s="28" t="s">
        <v>36</v>
      </c>
      <c r="K32" s="445" t="n">
        <v>0.0</v>
      </c>
      <c r="P32" s="211"/>
    </row>
    <row r="33" customFormat="false" ht="36.75" hidden="false" customHeight="false" outlineLevel="0" collapsed="false">
      <c r="A33" s="178" t="n">
        <f aca="false">A52</f>
        <v>35</v>
      </c>
      <c r="B33" s="231" t="n">
        <f aca="false">B51</f>
        <v>35000</v>
      </c>
      <c r="C33" s="92"/>
      <c r="D33" s="92"/>
      <c r="E33" s="231" t="n">
        <f aca="false">K48</f>
        <v>503.363379398935</v>
      </c>
      <c r="F33" s="231"/>
      <c r="G33" s="231"/>
      <c r="H33" s="46"/>
      <c r="I33" s="2"/>
      <c r="J33" s="33" t="s">
        <v>356</v>
      </c>
      <c r="K33" s="47" t="n">
        <f aca="false">H21-H11+(H16*20%)</f>
        <v>17780</v>
      </c>
      <c r="L33" s="1" t="n">
        <f aca="false">H21-H11+(H16*20%)</f>
        <v>17780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0.065</v>
      </c>
      <c r="P35" s="211"/>
    </row>
    <row r="36" customFormat="false" ht="18.75" hidden="false" customHeight="false" outlineLevel="0" collapsed="false">
      <c r="A36" s="184" t="n">
        <f aca="false">K47</f>
        <v>450.973379398935</v>
      </c>
      <c r="B36" s="231" t="n">
        <f aca="false">IF(B26="YES",K42,"0.00")</f>
        <v>52.39</v>
      </c>
      <c r="C36" s="231"/>
      <c r="D36" s="231"/>
      <c r="E36" s="231" t="n">
        <f aca="false">K31</f>
        <v>5010</v>
      </c>
      <c r="F36" s="231"/>
      <c r="G36" s="231"/>
      <c r="H36" s="46"/>
      <c r="I36" s="2"/>
      <c r="J36" s="2" t="s">
        <v>50</v>
      </c>
      <c r="K36" s="2" t="n">
        <f aca="false">K29</f>
        <v>35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17780</v>
      </c>
      <c r="L39" s="2" t="n">
        <f aca="false">(L47*K46)+K44</f>
        <v>27214.2966661248</v>
      </c>
      <c r="N39" s="1" t="n">
        <f aca="false">K39-L39</f>
        <v>-9434.29666612479</v>
      </c>
      <c r="P39" s="211"/>
    </row>
    <row r="40" customFormat="false" ht="19.5" hidden="false" customHeight="false" outlineLevel="0" collapsed="false">
      <c r="A40" s="312" t="n">
        <f aca="false">E36*A45/100</f>
        <v>0.0</v>
      </c>
      <c r="B40" s="106" t="n">
        <f aca="false">IF(B26="YES",K42,"0.00")</f>
        <v>52.39</v>
      </c>
      <c r="C40" s="106"/>
      <c r="D40" s="106"/>
      <c r="E40" s="181" t="n">
        <f aca="false">K32</f>
        <v>1833.65</v>
      </c>
      <c r="F40" s="185"/>
      <c r="G40" s="185"/>
      <c r="H40" s="46"/>
      <c r="J40" s="2" t="s">
        <v>107</v>
      </c>
      <c r="K40" s="2" t="n">
        <f aca="false">(A40)/1.2</f>
        <v>4175</v>
      </c>
      <c r="L40" s="2" t="n">
        <f aca="false">K39-L39</f>
        <v>-9434.29666612479</v>
      </c>
      <c r="N40" s="1" t="n">
        <f aca="false">N38-N39</f>
        <v>12345.9766661248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0.00541666666666667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(K32/K36/100)*C45</f>
        <v>52.39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3437.14293416163</v>
      </c>
      <c r="L44" s="2"/>
      <c r="P44" s="211"/>
    </row>
    <row r="45" customFormat="false" ht="19.5" hidden="false" customHeight="false" outlineLevel="0" collapsed="false">
      <c r="A45" s="504" t="n">
        <v>100.0</v>
      </c>
      <c r="B45" s="92"/>
      <c r="C45" s="503" t="n">
        <v>100.0</v>
      </c>
      <c r="D45" s="503"/>
      <c r="E45" s="503"/>
      <c r="F45" s="92"/>
      <c r="G45" s="92"/>
      <c r="H45" s="32"/>
      <c r="J45" s="2" t="s">
        <v>367</v>
      </c>
      <c r="K45" s="2" t="n">
        <f aca="false">(K39-K44)</f>
        <v>14342.8570658384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31.8042210938366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450.973379398935</v>
      </c>
      <c r="L47" s="2" t="n">
        <f aca="false">L49-K42</f>
        <v>747.61</v>
      </c>
      <c r="M47" s="1" t="n">
        <f aca="false">K47-L47</f>
        <v>-296.636620601065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503.363379398935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35000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35</v>
      </c>
      <c r="B52" s="73" t="n">
        <f aca="false">K48</f>
        <v>503.363379398935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34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34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34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34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20928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20928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20928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20928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0.065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0.072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5956.12063983687</v>
      </c>
      <c r="C65" s="92"/>
      <c r="D65" s="92"/>
      <c r="E65" s="112"/>
      <c r="F65" s="112"/>
      <c r="G65" s="112"/>
      <c r="H65" s="32"/>
      <c r="J65" s="55" t="s">
        <v>91</v>
      </c>
      <c r="K65" s="64" t="n">
        <f aca="false">(K89*K59)-(K47*K29)</f>
        <v>33884.5201941958</v>
      </c>
      <c r="L65" s="92"/>
      <c r="M65" s="92"/>
      <c r="N65" s="112"/>
      <c r="O65" s="112"/>
      <c r="P65" s="112"/>
      <c r="Q65" s="32"/>
      <c r="S65" s="55" t="s">
        <v>91</v>
      </c>
      <c r="T65" s="64" t="n">
        <f aca="false">(T89*T59)-(K47*K29)</f>
        <v>6799.45675270815</v>
      </c>
      <c r="U65" s="92"/>
      <c r="V65" s="92"/>
      <c r="W65" s="112"/>
      <c r="X65" s="112"/>
      <c r="Y65" s="112"/>
      <c r="Z65" s="32"/>
      <c r="AB65" s="55" t="s">
        <v>91</v>
      </c>
      <c r="AC65" s="64" t="n">
        <f aca="false">(AC89*AC59)-(K47*K29)</f>
        <v>819.482964967296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0.00979166666666667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0.0739583333333333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0.00979166666666667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0.00979166666666667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187.84989375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1547.8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204.92</v>
      </c>
      <c r="U68" s="92"/>
      <c r="V68" s="92"/>
      <c r="W68" s="112"/>
      <c r="X68" s="112"/>
      <c r="Y68" s="112"/>
      <c r="Z68" s="32"/>
      <c r="AB68" s="55" t="s">
        <v>94</v>
      </c>
      <c r="AC68" s="64" t="n">
        <f aca="false">AH158*AC67</f>
        <v>168.754479166667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B73*B29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11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112"/>
      <c r="G77" s="11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B77/H29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450.973379398935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450.973379398935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503.363379398935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503.363379398935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23021.604</v>
      </c>
      <c r="C81" s="92"/>
      <c r="D81" s="92"/>
      <c r="E81" s="112"/>
      <c r="F81" s="24" t="s">
        <v>106</v>
      </c>
      <c r="G81" s="26" t="n">
        <f aca="false">G158</f>
        <v>23021.604</v>
      </c>
      <c r="H81" s="32"/>
      <c r="J81" s="24" t="s">
        <v>106</v>
      </c>
      <c r="K81" s="26" t="n">
        <f aca="false">P158</f>
        <v>36519.004</v>
      </c>
      <c r="L81" s="92"/>
      <c r="M81" s="92"/>
      <c r="N81" s="112"/>
      <c r="O81" s="112"/>
      <c r="P81" s="112"/>
      <c r="Q81" s="32"/>
      <c r="S81" s="24" t="s">
        <v>106</v>
      </c>
      <c r="T81" s="26" t="n">
        <f aca="false">Y158</f>
        <v>22207.765</v>
      </c>
      <c r="U81" s="92"/>
      <c r="V81" s="92"/>
      <c r="W81" s="112"/>
      <c r="X81" s="112"/>
      <c r="Y81" s="112"/>
      <c r="Z81" s="32"/>
      <c r="AB81" s="24" t="s">
        <v>106</v>
      </c>
      <c r="AC81" s="26" t="n">
        <f aca="false">AH158</f>
        <v>17234.5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5010</v>
      </c>
      <c r="C82" s="92"/>
      <c r="D82" s="92"/>
      <c r="E82" s="112"/>
      <c r="F82" s="30" t="s">
        <v>107</v>
      </c>
      <c r="G82" s="32" t="n">
        <f aca="false">IF(A111="YES",A40,0)</f>
        <v>5010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5010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5010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1" t="n">
        <f aca="false">B62+B63+B64</f>
        <v>0.089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0.00741666666666667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34</v>
      </c>
      <c r="C85" s="92"/>
      <c r="D85" s="92"/>
      <c r="E85" s="112"/>
      <c r="F85" s="30" t="s">
        <v>110</v>
      </c>
      <c r="G85" s="32" t="n">
        <f aca="false">IF(G82=0,(B59+B58),(B59))</f>
        <v>34</v>
      </c>
      <c r="H85" s="32"/>
      <c r="J85" s="30" t="s">
        <v>110</v>
      </c>
      <c r="K85" s="32" t="n">
        <f aca="false">IF(K82=0,(K59+K58),(K59))</f>
        <v>35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34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34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3868.28195804386</v>
      </c>
      <c r="C86" s="92"/>
      <c r="D86" s="92"/>
      <c r="E86" s="112"/>
      <c r="F86" s="30" t="s">
        <v>111</v>
      </c>
      <c r="G86" s="32" t="n">
        <f aca="false">(G82/((1+G84)^(G85+1)))</f>
        <v>4146.91295006601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3426.10163437126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3426.10163437126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29.9543371890103</v>
      </c>
      <c r="C87" s="92"/>
      <c r="D87" s="92"/>
      <c r="E87" s="112"/>
      <c r="F87" s="30" t="s">
        <v>112</v>
      </c>
      <c r="G87" s="32" t="n">
        <f aca="false">((1-(1/((1+G84)^G85)))/G84)</f>
        <v>30.9764939580949</v>
      </c>
      <c r="H87" s="32"/>
      <c r="J87" s="30" t="s">
        <v>112</v>
      </c>
      <c r="K87" s="32" t="n">
        <f aca="false">((1-(1/((1+K84)^K85)))/K84)</f>
        <v>24.9986193320352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28.2762125724768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28.2762125724768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19153.3220419561</v>
      </c>
      <c r="C88" s="92"/>
      <c r="D88" s="92"/>
      <c r="E88" s="112"/>
      <c r="F88" s="30" t="s">
        <v>113</v>
      </c>
      <c r="G88" s="32" t="n">
        <f aca="false">G81-G86</f>
        <v>18874.691049934</v>
      </c>
      <c r="H88" s="32"/>
      <c r="J88" s="30" t="s">
        <v>113</v>
      </c>
      <c r="K88" s="32" t="n">
        <f aca="false">K81-K86</f>
        <v>36519.004</v>
      </c>
      <c r="L88" s="92"/>
      <c r="M88" s="92"/>
      <c r="N88" s="112"/>
      <c r="O88" s="112"/>
      <c r="P88" s="112"/>
      <c r="Q88" s="32"/>
      <c r="S88" s="30" t="s">
        <v>113</v>
      </c>
      <c r="T88" s="32" t="n">
        <f aca="false">T81-T86</f>
        <v>18781.6633656287</v>
      </c>
      <c r="U88" s="92"/>
      <c r="V88" s="92"/>
      <c r="W88" s="112"/>
      <c r="X88" s="112"/>
      <c r="Y88" s="112"/>
      <c r="Z88" s="32"/>
      <c r="AB88" s="30" t="s">
        <v>113</v>
      </c>
      <c r="AC88" s="32" t="n">
        <f aca="false">AC81-AC86</f>
        <v>13808.3983656287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639.417321141164</v>
      </c>
      <c r="C89" s="92"/>
      <c r="D89" s="92"/>
      <c r="E89" s="112"/>
      <c r="F89" s="30" t="s">
        <v>114</v>
      </c>
      <c r="G89" s="32" t="n">
        <f aca="false">(G88/G87)</f>
        <v>609.323026533208</v>
      </c>
      <c r="H89" s="32"/>
      <c r="J89" s="30" t="s">
        <v>114</v>
      </c>
      <c r="K89" s="32" t="n">
        <f aca="false">(K88/K87)</f>
        <v>1460.84083744584</v>
      </c>
      <c r="L89" s="92"/>
      <c r="M89" s="92"/>
      <c r="N89" s="112"/>
      <c r="O89" s="112"/>
      <c r="P89" s="112"/>
      <c r="Q89" s="32"/>
      <c r="S89" s="30" t="s">
        <v>114</v>
      </c>
      <c r="T89" s="32" t="n">
        <f aca="false">(T88/T87)</f>
        <v>664.221324460908</v>
      </c>
      <c r="U89" s="92"/>
      <c r="V89" s="92"/>
      <c r="W89" s="112"/>
      <c r="X89" s="112"/>
      <c r="Y89" s="112"/>
      <c r="Z89" s="32"/>
      <c r="AB89" s="30" t="s">
        <v>114</v>
      </c>
      <c r="AC89" s="32" t="n">
        <f aca="false">(AC88/AC87)</f>
        <v>488.33974246853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21740.1889187996</v>
      </c>
      <c r="C90" s="92"/>
      <c r="D90" s="92"/>
      <c r="E90" s="112"/>
      <c r="F90" s="30" t="s">
        <v>115</v>
      </c>
      <c r="G90" s="32" t="n">
        <f aca="false">((G89*(G85))+G77)</f>
        <v>20716.9829021291</v>
      </c>
      <c r="H90" s="32"/>
      <c r="J90" s="30" t="s">
        <v>115</v>
      </c>
      <c r="K90" s="32" t="n">
        <f aca="false">((K89*(K85))+K77)</f>
        <v>51129.4293106044</v>
      </c>
      <c r="L90" s="92"/>
      <c r="M90" s="92"/>
      <c r="N90" s="112"/>
      <c r="O90" s="112"/>
      <c r="P90" s="112"/>
      <c r="Q90" s="32"/>
      <c r="S90" s="30" t="s">
        <v>115</v>
      </c>
      <c r="T90" s="32" t="n">
        <f aca="false">(T89*(T85))+T77</f>
        <v>22583.5250316709</v>
      </c>
      <c r="U90" s="92"/>
      <c r="V90" s="92"/>
      <c r="W90" s="112"/>
      <c r="X90" s="112"/>
      <c r="Y90" s="112"/>
      <c r="Z90" s="32"/>
      <c r="AB90" s="30" t="s">
        <v>115</v>
      </c>
      <c r="AC90" s="32" t="n">
        <f aca="false">(AC89*(AC59))+AC77</f>
        <v>16603.55124393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(B90/(1-B71))*B71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n">
        <f aca="false">(K90/(1-K71))*K71</f>
        <v>0</v>
      </c>
      <c r="L91" s="92"/>
      <c r="M91" s="92"/>
      <c r="N91" s="112"/>
      <c r="O91" s="112"/>
      <c r="P91" s="112"/>
      <c r="Q91" s="32"/>
      <c r="S91" s="30" t="s">
        <v>116</v>
      </c>
      <c r="T91" s="32" t="n">
        <f aca="false">(T90/(1-T71))*T71</f>
        <v>0</v>
      </c>
      <c r="U91" s="92"/>
      <c r="V91" s="92"/>
      <c r="W91" s="112"/>
      <c r="X91" s="112"/>
      <c r="Y91" s="112"/>
      <c r="Z91" s="32"/>
      <c r="AB91" s="30" t="s">
        <v>116</v>
      </c>
      <c r="AC91" s="32" t="n">
        <f aca="false">(AC90/(1-AC71))*AC71</f>
        <v>0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21740.1889187996</v>
      </c>
      <c r="C92" s="92"/>
      <c r="D92" s="92"/>
      <c r="E92" s="112"/>
      <c r="F92" s="55" t="s">
        <v>117</v>
      </c>
      <c r="G92" s="64" t="n">
        <f aca="false">(G90+G91)</f>
        <v>20716.9829021291</v>
      </c>
      <c r="H92" s="32"/>
      <c r="J92" s="55" t="s">
        <v>117</v>
      </c>
      <c r="K92" s="64" t="n">
        <f aca="false">(K90+K91)</f>
        <v>51129.4293106044</v>
      </c>
      <c r="L92" s="92"/>
      <c r="M92" s="92"/>
      <c r="N92" s="112"/>
      <c r="O92" s="112"/>
      <c r="P92" s="112"/>
      <c r="Q92" s="32"/>
      <c r="S92" s="55" t="s">
        <v>117</v>
      </c>
      <c r="T92" s="64" t="n">
        <f aca="false">(T90+T91)</f>
        <v>22583.5250316709</v>
      </c>
      <c r="U92" s="92"/>
      <c r="V92" s="92"/>
      <c r="W92" s="112"/>
      <c r="X92" s="112"/>
      <c r="Y92" s="112"/>
      <c r="Z92" s="32"/>
      <c r="AB92" s="55" t="s">
        <v>117</v>
      </c>
      <c r="AC92" s="64" t="n">
        <f aca="false">(AC90+AC91)</f>
        <v>16603.55124393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88" t="n">
        <f aca="false">IF(B26="YES",((E40/B85)*(1+A108)*(C45/100)),"0")</f>
        <v>64.7170588235294</v>
      </c>
      <c r="C94" s="92"/>
      <c r="D94" s="92"/>
      <c r="E94" s="112"/>
      <c r="F94" s="87" t="s">
        <v>118</v>
      </c>
      <c r="G94" s="93" t="n">
        <f aca="false">IF(B26="YES",((E40/B85)*(1+A108)*(C45/100)),"0")</f>
        <v>64.7170588235294</v>
      </c>
      <c r="H94" s="32"/>
      <c r="J94" s="87" t="s">
        <v>118</v>
      </c>
      <c r="K94" s="88" t="n">
        <f aca="false">((E40/K85)*(1+J108))*1.2</f>
        <v>81.7284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64.7170588235294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77.6604705882353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639.417321141164</v>
      </c>
      <c r="C95" s="92"/>
      <c r="D95" s="92"/>
      <c r="E95" s="112"/>
      <c r="F95" s="94" t="s">
        <v>119</v>
      </c>
      <c r="G95" s="95" t="n">
        <f aca="false">G92/(G85)</f>
        <v>609.323026533208</v>
      </c>
      <c r="H95" s="32"/>
      <c r="J95" s="94" t="s">
        <v>119</v>
      </c>
      <c r="K95" s="95" t="n">
        <f aca="false">K92/(K85)</f>
        <v>1460.84083744584</v>
      </c>
      <c r="L95" s="92"/>
      <c r="M95" s="92"/>
      <c r="N95" s="112"/>
      <c r="O95" s="112"/>
      <c r="P95" s="112"/>
      <c r="Q95" s="32"/>
      <c r="S95" s="94" t="s">
        <v>119</v>
      </c>
      <c r="T95" s="95" t="n">
        <f aca="false">T92/(T85)</f>
        <v>664.221324460908</v>
      </c>
      <c r="U95" s="92"/>
      <c r="V95" s="92"/>
      <c r="W95" s="112"/>
      <c r="X95" s="112"/>
      <c r="Y95" s="112"/>
      <c r="Z95" s="32"/>
      <c r="AB95" s="94" t="s">
        <v>119</v>
      </c>
      <c r="AC95" s="95" t="n">
        <f aca="false">AC92/(AC59)</f>
        <v>488.33974246853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(B94+B95)</f>
        <v>704.134379964694</v>
      </c>
      <c r="C96" s="92"/>
      <c r="D96" s="92"/>
      <c r="E96" s="112"/>
      <c r="F96" s="96" t="s">
        <v>120</v>
      </c>
      <c r="G96" s="97" t="n">
        <f aca="false">G94+G95</f>
        <v>674.040085356738</v>
      </c>
      <c r="H96" s="32"/>
      <c r="J96" s="96" t="s">
        <v>120</v>
      </c>
      <c r="K96" s="97" t="n">
        <f aca="false">(K94+K95)</f>
        <v>1542.56923744584</v>
      </c>
      <c r="L96" s="92"/>
      <c r="M96" s="92"/>
      <c r="N96" s="112"/>
      <c r="O96" s="112"/>
      <c r="P96" s="112"/>
      <c r="Q96" s="32"/>
      <c r="S96" s="96" t="s">
        <v>120</v>
      </c>
      <c r="T96" s="97" t="n">
        <f aca="false">T94+T95</f>
        <v>728.938383284438</v>
      </c>
      <c r="U96" s="92"/>
      <c r="V96" s="92"/>
      <c r="W96" s="112"/>
      <c r="X96" s="112"/>
      <c r="Y96" s="112"/>
      <c r="Z96" s="32"/>
      <c r="AB96" s="96" t="s">
        <v>120</v>
      </c>
      <c r="AC96" s="97" t="n">
        <f aca="false">AC94+AC95</f>
        <v>566.000213056765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387</v>
      </c>
      <c r="F105" s="103"/>
      <c r="G105" s="103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s">
        <v>389</v>
      </c>
      <c r="C108" s="106"/>
      <c r="D108" s="106"/>
      <c r="E108" s="107" t="n">
        <f aca="false">B83</f>
        <v>0.089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390</v>
      </c>
      <c r="B111" s="106" t="n">
        <v>0.0</v>
      </c>
      <c r="C111" s="106"/>
      <c r="D111" s="106"/>
      <c r="E111" s="106" t="n">
        <v>0.0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n">
        <v>0.3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16745</v>
      </c>
      <c r="C121" s="120" t="n">
        <f aca="false">B121</f>
        <v>16745</v>
      </c>
      <c r="D121" s="119" t="n">
        <f aca="false">D3</f>
        <v>0</v>
      </c>
      <c r="E121" s="120" t="n">
        <f aca="false">D121</f>
        <v>0</v>
      </c>
      <c r="F121" s="119" t="n">
        <f aca="false">F3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16745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n">
        <f aca="false">F3</f>
        <v>0</v>
      </c>
      <c r="P121" s="120" t="n">
        <f aca="false">O121</f>
        <v>0</v>
      </c>
      <c r="Q121" s="121" t="n">
        <f aca="false">H3</f>
        <v>0</v>
      </c>
      <c r="S121" s="24" t="s">
        <v>150</v>
      </c>
      <c r="T121" s="119" t="n">
        <f aca="false">B3</f>
        <v>16745</v>
      </c>
      <c r="U121" s="120" t="n">
        <f aca="false">T121</f>
        <v>16745</v>
      </c>
      <c r="V121" s="119" t="n">
        <f aca="false">D3</f>
        <v>0</v>
      </c>
      <c r="W121" s="120" t="n">
        <f aca="false">V121</f>
        <v>0</v>
      </c>
      <c r="X121" s="119" t="n">
        <f aca="false">F3</f>
        <v>0</v>
      </c>
      <c r="Y121" s="120" t="n">
        <f aca="false">X121</f>
        <v>0</v>
      </c>
      <c r="Z121" s="121" t="n">
        <f aca="false">H3</f>
        <v>0</v>
      </c>
      <c r="AB121" s="24" t="s">
        <v>150</v>
      </c>
      <c r="AC121" s="119" t="n">
        <f aca="false">B3</f>
        <v>16745</v>
      </c>
      <c r="AD121" s="120" t="n">
        <f aca="false">AC121</f>
        <v>16745</v>
      </c>
      <c r="AE121" s="119" t="n">
        <f aca="false">D3</f>
        <v>0</v>
      </c>
      <c r="AF121" s="120" t="n">
        <f aca="false">AE121</f>
        <v>0</v>
      </c>
      <c r="AG121" s="119" t="n">
        <f aca="false">F3</f>
        <v>0</v>
      </c>
      <c r="AH121" s="120" t="n">
        <f aca="false">AG121</f>
        <v>0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v>0.0</v>
      </c>
      <c r="D122" s="122" t="n">
        <f aca="false">D4</f>
        <v>0</v>
      </c>
      <c r="E122" s="123" t="n">
        <v>0.0</v>
      </c>
      <c r="F122" s="122" t="n">
        <f aca="false">F4</f>
        <v>0</v>
      </c>
      <c r="G122" s="448" t="n">
        <v>0.0</v>
      </c>
      <c r="H122" s="125"/>
      <c r="J122" s="30" t="s">
        <v>151</v>
      </c>
      <c r="K122" s="122" t="n">
        <f aca="false">B4</f>
        <v>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n">
        <f aca="false">F4</f>
        <v>0</v>
      </c>
      <c r="P122" s="448" t="n">
        <f aca="false">O122</f>
        <v>0</v>
      </c>
      <c r="Q122" s="125"/>
      <c r="S122" s="30" t="s">
        <v>151</v>
      </c>
      <c r="T122" s="122" t="n">
        <f aca="false">B4</f>
        <v>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n">
        <f aca="false">F4</f>
        <v>0</v>
      </c>
      <c r="Y122" s="448" t="n">
        <f aca="false">X122</f>
        <v>0</v>
      </c>
      <c r="Z122" s="125"/>
      <c r="AB122" s="30" t="s">
        <v>151</v>
      </c>
      <c r="AC122" s="122" t="n">
        <f aca="false">B4</f>
        <v>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n">
        <f aca="false">F4</f>
        <v>0</v>
      </c>
      <c r="AH122" s="448" t="n">
        <f aca="false">AG122</f>
        <v>0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v>-9755.83</v>
      </c>
      <c r="D123" s="129" t="n">
        <f aca="false">D5</f>
        <v>0</v>
      </c>
      <c r="E123" s="120" t="n">
        <v>0.0</v>
      </c>
      <c r="F123" s="129" t="n">
        <f aca="false">F5</f>
        <v>0</v>
      </c>
      <c r="G123" s="120" t="n">
        <v>0.0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n">
        <f aca="false">F5</f>
        <v>0</v>
      </c>
      <c r="P123" s="120" t="n">
        <f aca="false">O123</f>
        <v>0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n">
        <f aca="false">F5</f>
        <v>0</v>
      </c>
      <c r="Y123" s="120" t="n">
        <f aca="false">X123</f>
        <v>0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n">
        <f aca="false">F5</f>
        <v>0</v>
      </c>
      <c r="AH123" s="120" t="n">
        <f aca="false">AG123</f>
        <v>0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-3544.67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n">
        <f aca="false">(O121*O122)+O123</f>
        <v>0</v>
      </c>
      <c r="P124" s="130" t="n">
        <f aca="false">(P121*P122)+P123</f>
        <v>0</v>
      </c>
      <c r="Q124" s="32"/>
      <c r="S124" s="30" t="s">
        <v>153</v>
      </c>
      <c r="T124" s="129" t="n">
        <f aca="false">(T121*T122)+T123</f>
        <v>0</v>
      </c>
      <c r="U124" s="130" t="n">
        <f aca="false">(U121*U122/100)+U123</f>
        <v>41.8625</v>
      </c>
      <c r="V124" s="129" t="n">
        <f aca="false">(V121*V122)+V123</f>
        <v>0</v>
      </c>
      <c r="W124" s="130" t="n">
        <f aca="false">(W121*W122/100)+W123</f>
        <v>0</v>
      </c>
      <c r="X124" s="129" t="n">
        <f aca="false">(X121*X122)+X123</f>
        <v>0</v>
      </c>
      <c r="Y124" s="130" t="n">
        <f aca="false">(Y121*Y122/100)+Y123</f>
        <v>0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4186.25</v>
      </c>
      <c r="AE124" s="129" t="n">
        <f aca="false">(AE121*AE122)+AE123</f>
        <v>0</v>
      </c>
      <c r="AF124" s="130" t="n">
        <f aca="false">(AF121*AF122)+AF123</f>
        <v>0</v>
      </c>
      <c r="AG124" s="129" t="n">
        <f aca="false">(AG121*AG122)+AG123</f>
        <v>0</v>
      </c>
      <c r="AH124" s="130" t="n">
        <f aca="false">(AH121*AH122)+AH123</f>
        <v>0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16745</v>
      </c>
      <c r="C125" s="132" t="n">
        <f aca="false">C121-C124</f>
        <v>20289.67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16745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n">
        <f aca="false">O121-O124</f>
        <v>0</v>
      </c>
      <c r="P125" s="132" t="n">
        <f aca="false">P121-P124</f>
        <v>0</v>
      </c>
      <c r="Q125" s="64"/>
      <c r="S125" s="55" t="s">
        <v>154</v>
      </c>
      <c r="T125" s="131" t="n">
        <f aca="false">T121-T124</f>
        <v>16745</v>
      </c>
      <c r="U125" s="132" t="n">
        <f aca="false">U121-U124</f>
        <v>16703.1375</v>
      </c>
      <c r="V125" s="131" t="n">
        <f aca="false">V121-V124</f>
        <v>0</v>
      </c>
      <c r="W125" s="132" t="n">
        <f aca="false">W121-W124</f>
        <v>0</v>
      </c>
      <c r="X125" s="131" t="n">
        <f aca="false">X121-X124</f>
        <v>0</v>
      </c>
      <c r="Y125" s="132" t="n">
        <f aca="false">Y121-Y124</f>
        <v>0</v>
      </c>
      <c r="Z125" s="64"/>
      <c r="AB125" s="55" t="s">
        <v>154</v>
      </c>
      <c r="AC125" s="131" t="n">
        <f aca="false">AC121-AC124</f>
        <v>16745</v>
      </c>
      <c r="AD125" s="132" t="n">
        <f aca="false">AD121-AD124</f>
        <v>12558.75</v>
      </c>
      <c r="AE125" s="131" t="n">
        <f aca="false">AE121-AE124</f>
        <v>0</v>
      </c>
      <c r="AF125" s="132" t="n">
        <f aca="false">AF121-AF124</f>
        <v>0</v>
      </c>
      <c r="AG125" s="131" t="n">
        <f aca="false">AG121-AG124</f>
        <v>0</v>
      </c>
      <c r="AH125" s="132" t="n">
        <f aca="false">AH121-AH124</f>
        <v>0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16745</v>
      </c>
      <c r="H135" s="152" t="n">
        <f aca="false">C125+E125+G125+H128</f>
        <v>20289.67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16745</v>
      </c>
      <c r="Q135" s="152" t="n">
        <f aca="false">L125+N125+P125+Q128</f>
        <v>28629.17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16745</v>
      </c>
      <c r="Z135" s="152" t="n">
        <f aca="false">U125+W125+Y125+Z128</f>
        <v>16703.1375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16745</v>
      </c>
      <c r="AI135" s="152" t="n">
        <f aca="false">AD125+AF125+AH125+AI128</f>
        <v>12558.75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695</v>
      </c>
      <c r="H136" s="32" t="n">
        <f aca="false">G136</f>
        <v>695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695</v>
      </c>
      <c r="Q136" s="32" t="n">
        <f aca="false">P136</f>
        <v>695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695</v>
      </c>
      <c r="Z136" s="32" t="n">
        <f aca="false">Y136</f>
        <v>695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695</v>
      </c>
      <c r="AI136" s="32" t="n">
        <f aca="false">AH136</f>
        <v>695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3488</v>
      </c>
      <c r="H137" s="32" t="n">
        <f aca="false">(H135+H136)*20%</f>
        <v>4196.934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3488</v>
      </c>
      <c r="Q137" s="32" t="n">
        <f aca="false">(Q135+Q136)*20%</f>
        <v>5864.834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3488</v>
      </c>
      <c r="Z137" s="32" t="n">
        <f aca="false">(Z135+Z136)*20%</f>
        <v>3479.6275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3488</v>
      </c>
      <c r="AI137" s="32" t="n">
        <f aca="false">(AI135+AI136)*20%</f>
        <v>2650.75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f aca="false">G138</f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275</v>
      </c>
      <c r="H139" s="32" t="n">
        <f aca="false">G139</f>
        <v>275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275</v>
      </c>
      <c r="Q139" s="32" t="n">
        <f aca="false">P139</f>
        <v>275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275</v>
      </c>
      <c r="Z139" s="32" t="n">
        <f aca="false">Y139</f>
        <v>275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275</v>
      </c>
      <c r="AI139" s="32" t="n">
        <f aca="false">AH139</f>
        <v>275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65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65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65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21268</v>
      </c>
      <c r="H141" s="156" t="n">
        <f aca="false">(H135+H136+H139+H140+H137)-H138</f>
        <v>25521.604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21268</v>
      </c>
      <c r="Q141" s="156" t="n">
        <f aca="false">(Q135+Q136+Q139+Q140+Q137)-Q138</f>
        <v>35519.004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21268</v>
      </c>
      <c r="Z141" s="156" t="n">
        <f aca="false">(Z135+Z136+Z139+Z140+Z137)-Z138</f>
        <v>21207.765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21268</v>
      </c>
      <c r="AI141" s="156" t="n">
        <f aca="false">(AI135+AI136+AI139+AI140+AI137)-AI138</f>
        <v>16234.5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s">
        <v>171</v>
      </c>
      <c r="C144" s="160"/>
      <c r="D144" s="160"/>
      <c r="E144" s="160"/>
      <c r="F144" s="160"/>
      <c r="G144" s="154" t="n">
        <f aca="false">H18</f>
        <v>0</v>
      </c>
      <c r="H144" s="39" t="n">
        <f aca="false">G144</f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f aca="false">G145</f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f aca="false">G146</f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21268</v>
      </c>
      <c r="H147" s="163" t="n">
        <f aca="false">H141-((H144*1.2)+(H145*1.2)+(H146*1.2)+(H142*1.2))</f>
        <v>25521.604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21268</v>
      </c>
      <c r="Q147" s="163" t="n">
        <f aca="false">Q141-((Q144*1.2)+(Q145*1.2)+(Q146*1.2)+(Q142*1.2))</f>
        <v>35519.004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21268</v>
      </c>
      <c r="Z147" s="163" t="n">
        <f aca="false">Z141-((Z144*1.2)+(Z145*1.2)+(Z146*1.2)+(Z142*1.2))</f>
        <v>21207.765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21268</v>
      </c>
      <c r="AI147" s="163" t="n">
        <f aca="false">AI141-((AI144*1.2)+(AI145*1.2)+(AI146*1.2)+(AI142*1.2))</f>
        <v>16234.5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3544.67</v>
      </c>
      <c r="I148" s="1" t="n">
        <f aca="false">(H148-G81)/1.2</f>
        <v>-16230.7783333333</v>
      </c>
      <c r="J148" s="153" t="s">
        <v>173</v>
      </c>
      <c r="K148" s="153"/>
      <c r="L148" s="153"/>
      <c r="M148" s="153"/>
      <c r="N148" s="153"/>
      <c r="O148" s="153"/>
      <c r="P148" s="154"/>
      <c r="Q148" s="39" t="n">
        <f aca="false">Q147-P147</f>
        <v>14251.004</v>
      </c>
      <c r="S148" s="153" t="s">
        <v>173</v>
      </c>
      <c r="T148" s="153"/>
      <c r="U148" s="153"/>
      <c r="V148" s="153"/>
      <c r="W148" s="153"/>
      <c r="X148" s="153"/>
      <c r="Y148" s="154"/>
      <c r="Z148" s="39" t="n">
        <f aca="false">Z147-Y147</f>
        <v>-60.2350000000006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n">
        <f aca="false">AI147-AH147</f>
        <v>-5033.5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0.0</v>
      </c>
      <c r="F152" s="106"/>
      <c r="G152" s="106" t="n">
        <v>0.0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0.0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23021.604</v>
      </c>
      <c r="H158" s="169"/>
      <c r="J158" s="168" t="s">
        <v>180</v>
      </c>
      <c r="K158" s="92"/>
      <c r="L158" s="92"/>
      <c r="M158" s="112"/>
      <c r="N158" s="92"/>
      <c r="O158" s="112"/>
      <c r="P158" s="169" t="n">
        <f aca="false">Q147-P154-P157</f>
        <v>36519.004</v>
      </c>
      <c r="Q158" s="169"/>
      <c r="S158" s="168" t="s">
        <v>180</v>
      </c>
      <c r="T158" s="92"/>
      <c r="U158" s="92"/>
      <c r="V158" s="112"/>
      <c r="W158" s="92"/>
      <c r="X158" s="112"/>
      <c r="Y158" s="169" t="n">
        <f aca="false">Z147-Y154-Y157</f>
        <v>22207.765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n">
        <f aca="false">AI147-AH154-AH157</f>
        <v>17234.5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639.417321141164</v>
      </c>
      <c r="B167" s="176" t="n">
        <f aca="false">B94</f>
        <v>64.7170588235294</v>
      </c>
      <c r="C167" s="173"/>
      <c r="D167" s="173"/>
      <c r="E167" s="176" t="n">
        <f aca="false">B96</f>
        <v>704.134379964694</v>
      </c>
      <c r="F167" s="22"/>
      <c r="G167" s="22" t="n">
        <f aca="false">ROUND(G95,2)</f>
        <v>609.32</v>
      </c>
      <c r="H167" s="32"/>
      <c r="J167" s="175" t="n">
        <f aca="false">K95</f>
        <v>1460.84083744584</v>
      </c>
      <c r="K167" s="176" t="n">
        <f aca="false">K94</f>
        <v>81.7284</v>
      </c>
      <c r="L167" s="173"/>
      <c r="M167" s="173"/>
      <c r="N167" s="176" t="n">
        <f aca="false">K96</f>
        <v>1542.56923744584</v>
      </c>
      <c r="O167" s="22"/>
      <c r="P167" s="22"/>
      <c r="Q167" s="32"/>
      <c r="S167" s="175" t="n">
        <f aca="false">T95</f>
        <v>664.221324460908</v>
      </c>
      <c r="T167" s="176" t="n">
        <f aca="false">T94</f>
        <v>64.7170588235294</v>
      </c>
      <c r="U167" s="173"/>
      <c r="V167" s="173"/>
      <c r="W167" s="176" t="n">
        <f aca="false">T96</f>
        <v>728.938383284438</v>
      </c>
      <c r="X167" s="22"/>
      <c r="Y167" s="22"/>
      <c r="Z167" s="32"/>
      <c r="AB167" s="175" t="n">
        <f aca="false">AC95</f>
        <v>488.33974246853</v>
      </c>
      <c r="AC167" s="176" t="n">
        <f aca="false">AC94</f>
        <v>77.6604705882353</v>
      </c>
      <c r="AD167" s="173"/>
      <c r="AE167" s="173"/>
      <c r="AF167" s="176" t="n">
        <f aca="false">AC96</f>
        <v>566.000213056765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35</v>
      </c>
      <c r="B170" s="179" t="n">
        <f aca="false">K30</f>
        <v>35000</v>
      </c>
      <c r="C170" s="180"/>
      <c r="D170" s="22"/>
      <c r="E170" s="181" t="n">
        <f aca="false">IF(A111="YES",A40,0)</f>
        <v>5010</v>
      </c>
      <c r="F170" s="22"/>
      <c r="G170" s="22"/>
      <c r="H170" s="32"/>
      <c r="J170" s="178" t="n">
        <f aca="false">K29</f>
        <v>35</v>
      </c>
      <c r="K170" s="179" t="n">
        <f aca="false">K30</f>
        <v>35000</v>
      </c>
      <c r="L170" s="180"/>
      <c r="M170" s="22"/>
      <c r="N170" s="181" t="n">
        <f aca="false">IF(A111="YES",A40,0)</f>
        <v>5010</v>
      </c>
      <c r="O170" s="22"/>
      <c r="P170" s="22"/>
      <c r="Q170" s="32"/>
      <c r="S170" s="178" t="n">
        <f aca="false">K29</f>
        <v>35</v>
      </c>
      <c r="T170" s="179" t="n">
        <f aca="false">K30</f>
        <v>35000</v>
      </c>
      <c r="U170" s="180"/>
      <c r="V170" s="22"/>
      <c r="W170" s="181" t="n">
        <f aca="false">IF(A111="YES",A40,0)</f>
        <v>5010</v>
      </c>
      <c r="X170" s="22"/>
      <c r="Y170" s="22"/>
      <c r="Z170" s="32"/>
      <c r="AB170" s="178" t="n">
        <f aca="false">K29</f>
        <v>35</v>
      </c>
      <c r="AC170" s="179" t="n">
        <f aca="false">K30</f>
        <v>35000</v>
      </c>
      <c r="AD170" s="180"/>
      <c r="AE170" s="22"/>
      <c r="AF170" s="181" t="n">
        <f aca="false">IF(A111="YES",A40,0)</f>
        <v>5010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20984.67</v>
      </c>
      <c r="B173" s="102" t="n">
        <f aca="false">H137</f>
        <v>4196.934</v>
      </c>
      <c r="C173" s="185"/>
      <c r="D173" s="22"/>
      <c r="E173" s="181" t="n">
        <f aca="false">H139+H140</f>
        <v>340</v>
      </c>
      <c r="F173" s="22"/>
      <c r="G173" s="22"/>
      <c r="H173" s="32"/>
      <c r="J173" s="184" t="n">
        <f aca="false">Q141-Q137-Q139-Q140</f>
        <v>29324.17</v>
      </c>
      <c r="K173" s="102" t="n">
        <f aca="false">Q137</f>
        <v>5864.834</v>
      </c>
      <c r="L173" s="185"/>
      <c r="M173" s="22"/>
      <c r="N173" s="181" t="n">
        <f aca="false">Q139+Q140</f>
        <v>330</v>
      </c>
      <c r="O173" s="22"/>
      <c r="P173" s="22"/>
      <c r="Q173" s="32"/>
      <c r="S173" s="184" t="n">
        <f aca="false">Z141-Z137-Z139-Z140</f>
        <v>17398.1375</v>
      </c>
      <c r="T173" s="102" t="n">
        <f aca="false">Z137</f>
        <v>3479.6275</v>
      </c>
      <c r="U173" s="185"/>
      <c r="V173" s="22"/>
      <c r="W173" s="181" t="n">
        <f aca="false">Z139+Z140</f>
        <v>330</v>
      </c>
      <c r="X173" s="22"/>
      <c r="Y173" s="22"/>
      <c r="Z173" s="32"/>
      <c r="AB173" s="184" t="n">
        <f aca="false">AI141-AI137-AI139-AI140</f>
        <v>13253.75</v>
      </c>
      <c r="AC173" s="102" t="n">
        <f aca="false">AI137</f>
        <v>2650.75</v>
      </c>
      <c r="AD173" s="185"/>
      <c r="AE173" s="22"/>
      <c r="AF173" s="181" t="n">
        <f aca="false">AI139+AI140</f>
        <v>330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H141</f>
        <v>25521.604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n">
        <f aca="false">Q141</f>
        <v>35519.004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n">
        <f aca="false">Z141</f>
        <v>21207.765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n">
        <f aca="false">AI141</f>
        <v>16234.5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23021.604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n">
        <f aca="false">J176-J179-K179</f>
        <v>36519.004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n">
        <f aca="false">S176-S179-T179</f>
        <v>22207.765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n">
        <f aca="false">AB176-AB179-AC179</f>
        <v>17234.5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3728.58491879958</v>
      </c>
      <c r="B182" s="102" t="str">
        <f aca="false">B114</f>
        <v>199.99</v>
      </c>
      <c r="C182" s="102"/>
      <c r="D182" s="22"/>
      <c r="E182" s="102" t="n">
        <f aca="false">E179+A182+(B182*1.2)+A185</f>
        <v>27000.1769187996</v>
      </c>
      <c r="F182" s="22"/>
      <c r="G182" s="22"/>
      <c r="H182" s="104"/>
      <c r="J182" s="110" t="n">
        <f aca="false">(J167*K59)+N185-N179-J185</f>
        <v>18159.5844731586</v>
      </c>
      <c r="K182" s="102" t="n">
        <f aca="false">K114</f>
        <v>239.99</v>
      </c>
      <c r="L182" s="102"/>
      <c r="M182" s="22"/>
      <c r="N182" s="102" t="n">
        <f aca="false">N179+J182+K182+J185</f>
        <v>54938.5784731586</v>
      </c>
      <c r="O182" s="22"/>
      <c r="P182" s="22"/>
      <c r="Q182" s="104"/>
      <c r="S182" s="110" t="n">
        <f aca="false">(S167*T59)+W185-W179-S185</f>
        <v>5385.76003167088</v>
      </c>
      <c r="T182" s="102" t="n">
        <f aca="false">T114</f>
        <v>199.99</v>
      </c>
      <c r="U182" s="102"/>
      <c r="V182" s="22"/>
      <c r="W182" s="102" t="n">
        <f aca="false">W179+S182+T182+S185</f>
        <v>27803.5150316709</v>
      </c>
      <c r="X182" s="22"/>
      <c r="Y182" s="22"/>
      <c r="Z182" s="104"/>
      <c r="AB182" s="110" t="n">
        <f aca="false">(AB167*AC59)+AF185-AF179-AB185</f>
        <v>4379.05124393002</v>
      </c>
      <c r="AC182" s="102" t="n">
        <f aca="false">AC114</f>
        <v>239.99</v>
      </c>
      <c r="AD182" s="102"/>
      <c r="AE182" s="22"/>
      <c r="AF182" s="102" t="n">
        <f aca="false">AF179+AB182+AC182+AB185</f>
        <v>21863.54124393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A179+B182*1.2</f>
        <v>2239.988</v>
      </c>
      <c r="C185" s="102"/>
      <c r="D185" s="22"/>
      <c r="E185" s="102" t="n">
        <f aca="false">IF( E170=0 , A185+E167, E170+A185)</f>
        <v>5020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5030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5020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5020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</f>
        <v>4.1856</v>
      </c>
      <c r="B188" s="102" t="n">
        <f aca="false">(G158*B67)/1.2</f>
        <v>187.84989375</v>
      </c>
      <c r="C188" s="92"/>
      <c r="D188" s="92"/>
      <c r="E188" s="102" t="n">
        <f aca="false">(E40*A108)*0.1*(C45/100)</f>
        <v>36.673</v>
      </c>
      <c r="F188" s="22"/>
      <c r="G188" s="22"/>
      <c r="H188" s="32"/>
      <c r="J188" s="110" t="n">
        <f aca="false">IF(N105="YES",H15*0.000002,0)</f>
        <v>0.042536</v>
      </c>
      <c r="K188" s="102" t="n">
        <f aca="false">(P158*K67)/1.2</f>
        <v>2250.73722569444</v>
      </c>
      <c r="L188" s="92"/>
      <c r="M188" s="92"/>
      <c r="N188" s="102" t="n">
        <f aca="false">(E40*J108)*0.1</f>
        <v>55.0095</v>
      </c>
      <c r="O188" s="22"/>
      <c r="P188" s="22"/>
      <c r="Q188" s="32"/>
      <c r="S188" s="110" t="n">
        <f aca="false">IF(W105="YES",Z15*0.000002,0)</f>
        <v>0</v>
      </c>
      <c r="T188" s="102" t="n">
        <f aca="false">(Y158*T67)/1.2</f>
        <v>181.209193576389</v>
      </c>
      <c r="U188" s="92"/>
      <c r="V188" s="92"/>
      <c r="W188" s="102" t="n">
        <f aca="false">(E40*S108)*0.1</f>
        <v>36.673</v>
      </c>
      <c r="X188" s="31"/>
      <c r="Y188" s="31"/>
      <c r="Z188" s="32"/>
      <c r="AB188" s="110" t="n">
        <f aca="false">IF(AF105="YES",AI15*0.000002,0)</f>
        <v>0</v>
      </c>
      <c r="AC188" s="102" t="n">
        <f aca="false">(AH158*AC67)/1.2</f>
        <v>140.628732638889</v>
      </c>
      <c r="AD188" s="92"/>
      <c r="AE188" s="92"/>
      <c r="AF188" s="102" t="n">
        <f aca="false">(E40*AB108)*0.1</f>
        <v>36.673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324.51289375</v>
      </c>
      <c r="C191" s="92"/>
      <c r="D191" s="92"/>
      <c r="E191" s="102" t="n">
        <f aca="false">H148</f>
        <v>3544.67</v>
      </c>
      <c r="F191" s="22"/>
      <c r="G191" s="22"/>
      <c r="H191" s="32"/>
      <c r="J191" s="110" t="n">
        <f aca="false">K185-100</f>
        <v>1139.99</v>
      </c>
      <c r="K191" s="102" t="n">
        <f aca="false">K188+N188+J191</f>
        <v>3445.73672569444</v>
      </c>
      <c r="L191" s="92"/>
      <c r="M191" s="92"/>
      <c r="N191" s="102" t="n">
        <f aca="false">Q148</f>
        <v>14251.004</v>
      </c>
      <c r="O191" s="22"/>
      <c r="P191" s="22"/>
      <c r="Q191" s="32"/>
      <c r="S191" s="110" t="n">
        <f aca="false">T185-100</f>
        <v>1099.99</v>
      </c>
      <c r="T191" s="102" t="n">
        <f aca="false">T188+W188+S191</f>
        <v>1317.87219357639</v>
      </c>
      <c r="U191" s="92"/>
      <c r="V191" s="92"/>
      <c r="W191" s="102" t="n">
        <f aca="false">Z148</f>
        <v>-60.2350000000006</v>
      </c>
      <c r="X191" s="31"/>
      <c r="Y191" s="31"/>
      <c r="Z191" s="32"/>
      <c r="AB191" s="110" t="n">
        <f aca="false">AC185-100</f>
        <v>1139.99</v>
      </c>
      <c r="AC191" s="102" t="n">
        <f aca="false">AC188+AF188+AB191</f>
        <v>1317.29173263889</v>
      </c>
      <c r="AD191" s="92"/>
      <c r="AE191" s="92"/>
      <c r="AF191" s="102" t="n">
        <f aca="false">AI148</f>
        <v>-5033.5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35000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35000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35000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35000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35</v>
      </c>
      <c r="B197" s="73" t="n">
        <f aca="false">B96</f>
        <v>704.134379964694</v>
      </c>
      <c r="C197" s="73"/>
      <c r="D197" s="73"/>
      <c r="E197" s="22"/>
      <c r="F197" s="22"/>
      <c r="G197" s="22"/>
      <c r="H197" s="32"/>
      <c r="J197" s="72" t="n">
        <f aca="false">K29</f>
        <v>35</v>
      </c>
      <c r="K197" s="73" t="n">
        <f aca="false">K96</f>
        <v>1542.56923744584</v>
      </c>
      <c r="L197" s="73"/>
      <c r="M197" s="73"/>
      <c r="N197" s="22"/>
      <c r="O197" s="22"/>
      <c r="P197" s="22"/>
      <c r="Q197" s="32"/>
      <c r="S197" s="72" t="n">
        <f aca="false">K29</f>
        <v>35</v>
      </c>
      <c r="T197" s="73" t="n">
        <f aca="false">T96</f>
        <v>728.938383284438</v>
      </c>
      <c r="U197" s="73"/>
      <c r="V197" s="73"/>
      <c r="W197" s="22"/>
      <c r="X197" s="22"/>
      <c r="Y197" s="22"/>
      <c r="Z197" s="32"/>
      <c r="AB197" s="72" t="n">
        <f aca="false">K29</f>
        <v>35</v>
      </c>
      <c r="AC197" s="73" t="n">
        <f aca="false">AC96</f>
        <v>566.000213056765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2705.276</v>
      </c>
      <c r="B201" s="185" t="n">
        <f aca="false">E179+A201+(B182*1.2)+A185</f>
        <v>25976.868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35</v>
      </c>
      <c r="C209" s="173"/>
      <c r="D209" s="173"/>
      <c r="E209" s="173" t="n">
        <f aca="false">B196</f>
        <v>35000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639.417321141164</v>
      </c>
      <c r="B212" s="176" t="n">
        <f aca="false">B167</f>
        <v>64.7170588235294</v>
      </c>
      <c r="C212" s="173"/>
      <c r="D212" s="173"/>
      <c r="E212" s="176" t="n">
        <f aca="false">E167</f>
        <v>704.134379964694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20984.67</v>
      </c>
      <c r="B215" s="102" t="n">
        <f aca="false">B173</f>
        <v>4196.934</v>
      </c>
      <c r="C215" s="185"/>
      <c r="D215" s="112"/>
      <c r="E215" s="181" t="n">
        <f aca="false">E173</f>
        <v>340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25521.604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23021.604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3728.58491879958</v>
      </c>
      <c r="B224" s="102" t="str">
        <f aca="false">B182</f>
        <v>199.99</v>
      </c>
      <c r="C224" s="102"/>
      <c r="D224" s="112"/>
      <c r="E224" s="102" t="n">
        <f aca="false">E182</f>
        <v>27000.1769187996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34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639.417321141164</v>
      </c>
      <c r="B230" s="102" t="n">
        <f aca="false">B167</f>
        <v>64.7170588235294</v>
      </c>
      <c r="C230" s="185"/>
      <c r="D230" s="185"/>
      <c r="E230" s="102" t="n">
        <f aca="false">E167</f>
        <v>704.134379964694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5010</v>
      </c>
      <c r="B233" s="102" t="n">
        <f aca="false">E185</f>
        <v>5020</v>
      </c>
      <c r="C233" s="92"/>
      <c r="D233" s="92"/>
      <c r="E233" s="102" t="n">
        <f aca="false">J18*0.000006*100</f>
        <v>12.5568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</f>
        <v>4.1856</v>
      </c>
      <c r="B236" s="102" t="n">
        <f aca="false">E233+A236</f>
        <v>16.7424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3544.67</v>
      </c>
      <c r="B240" s="102" t="n">
        <f aca="false">B68</f>
        <v>187.84989375</v>
      </c>
      <c r="C240" s="92"/>
      <c r="D240" s="92"/>
      <c r="E240" s="102" t="n">
        <f aca="false">E188</f>
        <v>36.673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3869.18289375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0.065</v>
      </c>
      <c r="C253" s="196"/>
      <c r="D253" s="197" t="s">
        <v>215</v>
      </c>
      <c r="E253" s="197"/>
      <c r="F253" s="195" t="n">
        <f aca="false">B83</f>
        <v>0.089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1033.30891879958</v>
      </c>
      <c r="C254" s="196"/>
      <c r="D254" s="197" t="s">
        <v>217</v>
      </c>
      <c r="E254" s="197"/>
      <c r="F254" s="199" t="n">
        <f aca="false">F261+F267+F269+B270+B271</f>
        <v>225.4198725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466.72</v>
      </c>
      <c r="C255" s="196"/>
      <c r="D255" s="197" t="s">
        <v>219</v>
      </c>
      <c r="E255" s="197"/>
      <c r="F255" s="199" t="n">
        <f aca="false">(B254-F254)+B255</f>
        <v>1274.60904629958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0.024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0.089</v>
      </c>
      <c r="C260" s="42"/>
      <c r="D260" s="165" t="s">
        <v>216</v>
      </c>
      <c r="E260" s="165"/>
      <c r="F260" s="145" t="n">
        <f aca="false">B254</f>
        <v>1033.30891879958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0.00979166666666667</v>
      </c>
      <c r="C261" s="31"/>
      <c r="D261" s="165" t="s">
        <v>222</v>
      </c>
      <c r="E261" s="165"/>
      <c r="F261" s="150" t="n">
        <f aca="false">B68*1.2</f>
        <v>225.4198725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366.73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1274.60904629958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2">
    <dataValidation allowBlank="true" operator="between" showDropDown="false" showErrorMessage="true" showInputMessage="true" sqref="A18:A20 B105 K105 N105 T105 W105 AC105 AF105 B108:D108 K108:M108 T108:V108 AC108:AE108 A111 J111 S111 AB111 A144:A146 J144:J146 S144:S146 AB144:AB146" type="list">
      <formula1>#ref!</formula1>
      <formula2>0</formula2>
    </dataValidation>
    <dataValidation allowBlank="true" operator="between" showDropDown="false" showErrorMessage="true" showInputMessage="true" sqref="B26 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125" colorId="64" zoomScale="85" zoomScaleNormal="85" zoomScalePageLayoutView="100" workbookViewId="0">
      <selection pane="topLeft" activeCell="B140" activeCellId="1" sqref="A191 B140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 t="s">
        <v>18</v>
      </c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262" t="n">
        <v>17895</v>
      </c>
      <c r="C3" s="495" t="n">
        <v>0</v>
      </c>
      <c r="D3" s="262" t="n">
        <v>0</v>
      </c>
      <c r="E3" s="496" t="n">
        <v>0</v>
      </c>
      <c r="F3" s="62"/>
      <c r="G3" s="62" t="n">
        <v>25000</v>
      </c>
      <c r="H3" s="62"/>
      <c r="I3" s="62" t="s">
        <v>19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0" t="n">
        <v>0</v>
      </c>
      <c r="C4" s="0" t="n">
        <v>0</v>
      </c>
      <c r="D4" s="0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451" t="n">
        <f aca="false">G9*100/B3</f>
        <v>-809.375933114363</v>
      </c>
      <c r="H8" s="62"/>
      <c r="I8" s="13" t="s">
        <v>3</v>
      </c>
      <c r="J8" s="9" t="n">
        <f aca="false">E13+E14</f>
        <v>340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505" t="n">
        <f aca="false">(B7+C7+D7+E3)</f>
        <v>16745</v>
      </c>
      <c r="F9" s="62"/>
      <c r="G9" s="450" t="n">
        <f aca="false">E9-G11</f>
        <v>-135530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695</v>
      </c>
      <c r="F10" s="62"/>
      <c r="G10" s="450"/>
      <c r="H10" s="62"/>
      <c r="I10" s="15" t="s">
        <v>1</v>
      </c>
      <c r="J10" s="9" t="n">
        <f aca="false">E15-E11-J8</f>
        <v>17440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(E9+E10)*0.2</f>
        <v>3488</v>
      </c>
      <c r="F11" s="62"/>
      <c r="G11" s="450" t="n">
        <f aca="false">G13/1.2</f>
        <v>152275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290</v>
      </c>
      <c r="F13" s="62"/>
      <c r="G13" s="450" t="n">
        <f aca="false">G15-E14-E13-E12</f>
        <v>182730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55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506" t="n">
        <f aca="false">(E9+E10+E13+E14+E11)-E12</f>
        <v>21268</v>
      </c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452" t="n">
        <f aca="false">(B3+C3+E10)*1.2</f>
        <v>20928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 t="n">
        <v>0</v>
      </c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20928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21268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</v>
      </c>
      <c r="I29" s="62"/>
      <c r="J29" s="62"/>
      <c r="K29" s="62" t="n">
        <v>36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10000</v>
      </c>
      <c r="I30" s="62"/>
      <c r="J30" s="62"/>
      <c r="K30" s="62" t="n">
        <v>10000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6990</v>
      </c>
      <c r="I31" s="237" t="n">
        <f aca="false">IF(C107="YES",H31,0)</f>
        <v>8340</v>
      </c>
      <c r="J31" s="62"/>
      <c r="K31" s="62" t="n">
        <v>20000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780</v>
      </c>
      <c r="J32" s="62"/>
      <c r="K32" s="62" t="n">
        <v>2160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22</v>
      </c>
      <c r="B33" s="228" t="n">
        <v>10000</v>
      </c>
      <c r="C33" s="229"/>
      <c r="D33" s="455" t="n">
        <f aca="false">H48</f>
        <v>614.21985193172</v>
      </c>
      <c r="E33" s="215"/>
      <c r="F33" s="62"/>
      <c r="G33" s="218" t="s">
        <v>356</v>
      </c>
      <c r="H33" s="456" t="n">
        <f aca="false">E21-E11+((E16*20%)+(E19*20%)+(E20*20%))</f>
        <v>17780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22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562.76985193172</v>
      </c>
      <c r="B36" s="102" t="n">
        <f aca="false">IF(B26="YES",H42,"")</f>
        <v>51.45</v>
      </c>
      <c r="C36" s="220"/>
      <c r="D36" s="183" t="n">
        <f aca="false">I31</f>
        <v>8340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17780</v>
      </c>
      <c r="I39" s="237" t="n">
        <f aca="false">(I48*H46)+H44</f>
        <v>34035.4440684217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8340</v>
      </c>
      <c r="B40" s="106" t="n">
        <f aca="false">IF(B26="YES",H42,"0")</f>
        <v>51.45</v>
      </c>
      <c r="C40" s="106"/>
      <c r="D40" s="183" t="n">
        <f aca="false">I32</f>
        <v>1131.9</v>
      </c>
      <c r="E40" s="215"/>
      <c r="F40" s="62"/>
      <c r="G40" s="62" t="s">
        <v>107</v>
      </c>
      <c r="H40" s="237" t="n">
        <f aca="false">A40/1.2</f>
        <v>6950</v>
      </c>
      <c r="I40" s="237" t="n">
        <f aca="false">H39-I39</f>
        <v>-16255.4440684217</v>
      </c>
      <c r="J40" s="62" t="n">
        <v>8812.5</v>
      </c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51.45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6137.97280707696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</v>
      </c>
      <c r="B45" s="214"/>
      <c r="C45" s="459" t="n">
        <v>100</v>
      </c>
      <c r="D45" s="459"/>
      <c r="E45" s="215"/>
      <c r="F45" s="62"/>
      <c r="G45" s="62" t="s">
        <v>374</v>
      </c>
      <c r="H45" s="237" t="n">
        <f aca="false">(H39-H44)</f>
        <v>11642.027192923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20.6870129111599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562.76985193172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614.21985193172</v>
      </c>
      <c r="I48" s="237" t="n">
        <f aca="false">I49-H42</f>
        <v>1348.55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22000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22</v>
      </c>
      <c r="B52" s="73" t="n">
        <f aca="false">H48</f>
        <v>614.21985193172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21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21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21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20928</v>
      </c>
      <c r="C61" s="214"/>
      <c r="D61" s="214"/>
      <c r="E61" s="215"/>
      <c r="F61" s="62"/>
      <c r="G61" s="213" t="s">
        <v>14</v>
      </c>
      <c r="H61" s="290" t="n">
        <f aca="false">G18</f>
        <v>20928</v>
      </c>
      <c r="I61" s="214"/>
      <c r="J61" s="214"/>
      <c r="K61" s="215"/>
      <c r="L61" s="62"/>
      <c r="M61" s="213" t="s">
        <v>14</v>
      </c>
      <c r="N61" s="290" t="n">
        <f aca="false">G18</f>
        <v>20928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B62+(B62*0.25*(H29/12-1))</f>
        <v>0.0845833333333333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0.0845833333333333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0.0845833333333333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1770.16</v>
      </c>
      <c r="C64" s="214" t="n">
        <v>10000</v>
      </c>
      <c r="D64" s="290" t="n">
        <f aca="false">B64-A143</f>
        <v>1770.16</v>
      </c>
      <c r="E64" s="215"/>
      <c r="F64" s="62"/>
      <c r="G64" s="284" t="s">
        <v>91</v>
      </c>
      <c r="H64" s="132" t="n">
        <f aca="false">H61*H63</f>
        <v>1770.16</v>
      </c>
      <c r="I64" s="214"/>
      <c r="J64" s="290" t="n">
        <f aca="false">H64-G145</f>
        <v>1770.16</v>
      </c>
      <c r="K64" s="215"/>
      <c r="L64" s="62"/>
      <c r="M64" s="284" t="s">
        <v>91</v>
      </c>
      <c r="N64" s="132" t="n">
        <f aca="false">N61*N63</f>
        <v>1770.16</v>
      </c>
      <c r="O64" s="214"/>
      <c r="P64" s="290" t="n">
        <f aca="false">N64-M145</f>
        <v>1770.16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0.0141666666666667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0.0141666666666667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0.0141666666666667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296.48</v>
      </c>
      <c r="C67" s="214"/>
      <c r="D67" s="290"/>
      <c r="E67" s="215"/>
      <c r="F67" s="62"/>
      <c r="G67" s="284" t="s">
        <v>94</v>
      </c>
      <c r="H67" s="132" t="n">
        <f aca="false">(H61*H66)/1.2</f>
        <v>247.066666666667</v>
      </c>
      <c r="I67" s="214"/>
      <c r="J67" s="290"/>
      <c r="K67" s="215"/>
      <c r="L67" s="62"/>
      <c r="M67" s="284" t="s">
        <v>94</v>
      </c>
      <c r="N67" s="132" t="n">
        <f aca="false">(N61*N66)/1.2</f>
        <v>247.066666666667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467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110</v>
      </c>
      <c r="C73" s="214"/>
      <c r="D73" s="290" t="n">
        <f aca="false">B73+B71</f>
        <v>310</v>
      </c>
      <c r="E73" s="215"/>
      <c r="F73" s="62"/>
      <c r="G73" s="284" t="s">
        <v>100</v>
      </c>
      <c r="H73" s="132" t="n">
        <f aca="false">H72*H29</f>
        <v>99</v>
      </c>
      <c r="I73" s="214"/>
      <c r="J73" s="290" t="n">
        <f aca="false">H73+H71</f>
        <v>259</v>
      </c>
      <c r="K73" s="215"/>
      <c r="L73" s="62"/>
      <c r="M73" s="284" t="s">
        <v>100</v>
      </c>
      <c r="N73" s="132" t="n">
        <f aca="false">N72*H29</f>
        <v>99</v>
      </c>
      <c r="O73" s="214"/>
      <c r="P73" s="290" t="n">
        <f aca="false">N73+N71</f>
        <v>259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427" t="s">
        <v>280</v>
      </c>
      <c r="B74" s="428" t="n">
        <v>0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429" t="s">
        <v>281</v>
      </c>
      <c r="B75" s="430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431" t="s">
        <v>282</v>
      </c>
      <c r="B76" s="4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151.25</v>
      </c>
      <c r="I76" s="214"/>
      <c r="J76" s="290" t="n">
        <f aca="false">H76</f>
        <v>151.25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130" t="n">
        <f aca="false">B102/(1-0.1)</f>
        <v>0</v>
      </c>
      <c r="C77" s="214"/>
      <c r="D77" s="290" t="n">
        <f aca="false">B77</f>
        <v>0</v>
      </c>
      <c r="E77" s="215"/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0</v>
      </c>
      <c r="C78" s="214"/>
      <c r="D78" s="290" t="n">
        <f aca="false">B78</f>
        <v>0</v>
      </c>
      <c r="E78" s="215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2480.16</v>
      </c>
      <c r="C81" s="214"/>
      <c r="D81" s="214"/>
      <c r="E81" s="215"/>
      <c r="F81" s="62"/>
      <c r="G81" s="302" t="s">
        <v>103</v>
      </c>
      <c r="H81" s="303" t="n">
        <f aca="false">SUM(J64:J80)</f>
        <v>2580.41</v>
      </c>
      <c r="I81" s="214"/>
      <c r="J81" s="214"/>
      <c r="K81" s="215"/>
      <c r="L81" s="62"/>
      <c r="M81" s="302" t="s">
        <v>103</v>
      </c>
      <c r="N81" s="303" t="n">
        <f aca="false">SUM(P64:P80)</f>
        <v>2429.16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112.734545454545</v>
      </c>
      <c r="C82" s="214"/>
      <c r="D82" s="214"/>
      <c r="E82" s="215"/>
      <c r="F82" s="62"/>
      <c r="G82" s="213" t="s">
        <v>104</v>
      </c>
      <c r="H82" s="299" t="n">
        <f aca="false">H81/H29</f>
        <v>117.291363636364</v>
      </c>
      <c r="I82" s="214"/>
      <c r="J82" s="214"/>
      <c r="K82" s="215"/>
      <c r="L82" s="62"/>
      <c r="M82" s="213" t="s">
        <v>104</v>
      </c>
      <c r="N82" s="299" t="n">
        <f aca="false">N81/H29</f>
        <v>110.416363636364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562.76985193172</v>
      </c>
      <c r="C83" s="214"/>
      <c r="D83" s="214"/>
      <c r="E83" s="215"/>
      <c r="F83" s="62"/>
      <c r="G83" s="304" t="s">
        <v>105</v>
      </c>
      <c r="H83" s="305" t="n">
        <f aca="false">H47</f>
        <v>562.76985193172</v>
      </c>
      <c r="I83" s="214"/>
      <c r="J83" s="214"/>
      <c r="K83" s="215"/>
      <c r="L83" s="62"/>
      <c r="M83" s="304" t="s">
        <v>105</v>
      </c>
      <c r="N83" s="305" t="n">
        <f aca="false">H47</f>
        <v>562.76985193172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14861.0967424978</v>
      </c>
      <c r="C85" s="214"/>
      <c r="D85" s="214"/>
      <c r="E85" s="215"/>
      <c r="F85" s="62"/>
      <c r="G85" s="287" t="s">
        <v>115</v>
      </c>
      <c r="H85" s="130" t="n">
        <f aca="false">((H83*H29)+H81)*1.2</f>
        <v>17953.6160909974</v>
      </c>
      <c r="I85" s="214"/>
      <c r="J85" s="214"/>
      <c r="K85" s="215"/>
      <c r="L85" s="62"/>
      <c r="M85" s="287" t="s">
        <v>115</v>
      </c>
      <c r="N85" s="130" t="n">
        <f aca="false">((N83*H29)+N81)</f>
        <v>14810.0967424978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(B85/(1-B70))*B70</f>
        <v>125.890694470534</v>
      </c>
      <c r="C86" s="214"/>
      <c r="D86" s="214"/>
      <c r="E86" s="215"/>
      <c r="F86" s="62"/>
      <c r="G86" s="213" t="s">
        <v>116</v>
      </c>
      <c r="H86" s="299" t="n">
        <f aca="false">((((H83*H29)+H81))/(1-H70))*H70</f>
        <v>126.739928032454</v>
      </c>
      <c r="I86" s="214"/>
      <c r="J86" s="214"/>
      <c r="K86" s="215"/>
      <c r="L86" s="62"/>
      <c r="M86" s="213" t="s">
        <v>116</v>
      </c>
      <c r="N86" s="299" t="n">
        <f aca="false">(N85/(1-N70))*N70</f>
        <v>125.458665426565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IF(B110="YES",((B85+B86)-E114),(B85+B86))</f>
        <v>14986.9874369684</v>
      </c>
      <c r="C87" s="214"/>
      <c r="D87" s="214"/>
      <c r="E87" s="215"/>
      <c r="F87" s="62"/>
      <c r="G87" s="284" t="s">
        <v>117</v>
      </c>
      <c r="H87" s="132" t="n">
        <f aca="false">IF(H110="YES",((H85+H86)-K114),(H85+H86))</f>
        <v>18080.3560190299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14935.5554079244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IF(B99=Y98,(D40+(D40*B105))/(B58),(D40+(D40*B105))/(B57+B58))*(C45/100)</f>
        <v>61.74</v>
      </c>
      <c r="C89" s="214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60.368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50.3066666666667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681.226701680381</v>
      </c>
      <c r="C90" s="214"/>
      <c r="D90" s="214"/>
      <c r="E90" s="215"/>
      <c r="F90" s="62"/>
      <c r="G90" s="307" t="s">
        <v>119</v>
      </c>
      <c r="H90" s="308" t="n">
        <f aca="false">IF(H99=Y98,(H87-J105)/(H58),H87/(H57+H58))</f>
        <v>669.642815519624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553.168718812015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742.966701680381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730.010815519624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603.475385478682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342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0</v>
      </c>
      <c r="C102" s="106"/>
      <c r="D102" s="106" t="n">
        <v>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19</v>
      </c>
      <c r="B105" s="313" t="n">
        <v>0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 t="s">
        <v>343</v>
      </c>
      <c r="C107" s="221" t="s">
        <v>18</v>
      </c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s">
        <v>291</v>
      </c>
      <c r="B108" s="216"/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18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(E118*1.2)+E117-E114</f>
        <v>-2760.012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22</v>
      </c>
      <c r="C125" s="324"/>
      <c r="D125" s="323" t="n">
        <f aca="false">B160</f>
        <v>22000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669.642815519624</v>
      </c>
      <c r="H127" s="176" t="n">
        <f aca="false">IF(G105="YES",H89*H57,0)</f>
        <v>362.208</v>
      </c>
      <c r="I127" s="176"/>
      <c r="J127" s="333" t="n">
        <f aca="false">H91</f>
        <v>730.010815519624</v>
      </c>
      <c r="K127" s="215"/>
      <c r="L127" s="62"/>
      <c r="M127" s="332" t="n">
        <f aca="false">N90</f>
        <v>553.168718812015</v>
      </c>
      <c r="N127" s="176" t="n">
        <f aca="false">IF(M105="YES",N89*N57,0)</f>
        <v>301.84</v>
      </c>
      <c r="O127" s="176"/>
      <c r="P127" s="176" t="n">
        <f aca="false">N91</f>
        <v>603.475385478682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681.226701680381</v>
      </c>
      <c r="B128" s="320" t="n">
        <f aca="false">IF(A105="YES",B89,0)</f>
        <v>61.74</v>
      </c>
      <c r="C128" s="324"/>
      <c r="D128" s="320" t="n">
        <f aca="false">B91</f>
        <v>742.966701680381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22</v>
      </c>
      <c r="H130" s="228" t="n">
        <f aca="false">B151</f>
        <v>0</v>
      </c>
      <c r="I130" s="229"/>
      <c r="J130" s="228" t="n">
        <f aca="false">B58</f>
        <v>21</v>
      </c>
      <c r="K130" s="215"/>
      <c r="L130" s="62"/>
      <c r="M130" s="227" t="n">
        <f aca="false">M155</f>
        <v>22</v>
      </c>
      <c r="N130" s="228" t="n">
        <f aca="false">B151</f>
        <v>0</v>
      </c>
      <c r="O130" s="229"/>
      <c r="P130" s="228" t="n">
        <f aca="false">B58</f>
        <v>21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Monthly in advance</v>
      </c>
      <c r="B131" s="37" t="n">
        <f aca="false">B90*B57</f>
        <v>681.226701680381</v>
      </c>
      <c r="C131" s="316"/>
      <c r="D131" s="37" t="n">
        <f aca="false">IF(A105="YES",B89*B57,0)</f>
        <v>61.74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4017.85689311775</v>
      </c>
      <c r="H133" s="102" t="n">
        <f aca="false">IF(G105="YES",H89*H57,0)</f>
        <v>362.208</v>
      </c>
      <c r="I133" s="220"/>
      <c r="J133" s="183" t="n">
        <f aca="false">H91*H57</f>
        <v>4380.06489311775</v>
      </c>
      <c r="K133" s="215"/>
      <c r="L133" s="62"/>
      <c r="M133" s="184" t="n">
        <f aca="false">N90*N57</f>
        <v>3319.01231287209</v>
      </c>
      <c r="N133" s="102" t="n">
        <f aca="false">IF(M105="YES",N89*N57,0)</f>
        <v>301.84</v>
      </c>
      <c r="O133" s="220"/>
      <c r="P133" s="183" t="n">
        <f aca="false">N91*N57</f>
        <v>3620.85231287209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742.966701680381</v>
      </c>
      <c r="B134" s="37" t="n">
        <f aca="false">E114</f>
        <v>4000</v>
      </c>
      <c r="C134" s="316"/>
      <c r="D134" s="336" t="n">
        <f aca="false">B58</f>
        <v>21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0.127608</v>
      </c>
      <c r="H136" s="102" t="n">
        <f aca="false">IF(G105="YES",E15*0.000002,0)</f>
        <v>0.042536</v>
      </c>
      <c r="I136" s="102"/>
      <c r="J136" s="102" t="n">
        <f aca="false">G136+H136</f>
        <v>0.170144</v>
      </c>
      <c r="K136" s="104"/>
      <c r="L136" s="62"/>
      <c r="M136" s="110" t="n">
        <f aca="false">E15*0.000006</f>
        <v>0.127608</v>
      </c>
      <c r="N136" s="102" t="n">
        <f aca="false">IF(M105="YES",E15*0.000002,0)</f>
        <v>0.042536</v>
      </c>
      <c r="O136" s="102"/>
      <c r="P136" s="102" t="n">
        <f aca="false">M136+N136</f>
        <v>0.170144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681.226701680381</v>
      </c>
      <c r="B137" s="37" t="n">
        <f aca="false">IF(A105="YES",B89,0)</f>
        <v>61.74</v>
      </c>
      <c r="C137" s="316"/>
      <c r="D137" s="37" t="n">
        <f aca="false">B91</f>
        <v>742.966701680381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247.066666666667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247.066666666667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(G18*0.000006)*100</f>
        <v>12.5568</v>
      </c>
      <c r="B140" s="342" t="n">
        <f aca="false">IF(A105="YES",G18*0.000002,0)*100</f>
        <v>4.1856</v>
      </c>
      <c r="C140" s="316"/>
      <c r="D140" s="342" t="n">
        <f aca="false">A140+B140</f>
        <v>16.7424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22.638</v>
      </c>
      <c r="H142" s="102" t="n">
        <f aca="false">G102-100</f>
        <v>99.99</v>
      </c>
      <c r="I142" s="102"/>
      <c r="J142" s="102" t="n">
        <f aca="false">(H139+J139+G142+H142)-H145</f>
        <v>369.694666666667</v>
      </c>
      <c r="K142" s="104"/>
      <c r="L142" s="62"/>
      <c r="M142" s="110" t="n">
        <f aca="false">IF(M105="YES",((B36*N105)*0.1)*(M130),0)</f>
        <v>22.638</v>
      </c>
      <c r="N142" s="102" t="n">
        <f aca="false">M102-100</f>
        <v>99.99</v>
      </c>
      <c r="O142" s="102"/>
      <c r="P142" s="102" t="n">
        <f aca="false">(N139+P139+M142+N142)-N145</f>
        <v>369.694666666667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110" t="n">
        <v>0</v>
      </c>
      <c r="N145" s="102" t="n">
        <f aca="false">(N139+P139+M142+N142)*(M145/N64)</f>
        <v>0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296.48</v>
      </c>
      <c r="B148" s="37" t="n">
        <f aca="false">B102</f>
        <v>0</v>
      </c>
      <c r="C148" s="37"/>
      <c r="D148" s="37" t="n">
        <f aca="false">IF(A105="YES",(B40*B105)*B125,0)*0.1</f>
        <v>22.638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419.108</v>
      </c>
      <c r="E151" s="104"/>
      <c r="F151" s="62"/>
      <c r="G151" s="249"/>
      <c r="H151" s="251" t="n">
        <f aca="false">B51</f>
        <v>22000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22</v>
      </c>
      <c r="H152" s="73" t="n">
        <f aca="false">H91</f>
        <v>730.010815519624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22000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22</v>
      </c>
      <c r="N155" s="73" t="n">
        <f aca="false">N91</f>
        <v>603.475385478682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22000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22</v>
      </c>
      <c r="B161" s="73" t="n">
        <f aca="false">B91</f>
        <v>742.966701680381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22</v>
      </c>
      <c r="C174" s="356"/>
      <c r="D174" s="323" t="n">
        <f aca="false">D125</f>
        <v>22000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681.226701680381</v>
      </c>
      <c r="B177" s="354" t="n">
        <f aca="false">IF(A105="YES",B89,0)</f>
        <v>61.74</v>
      </c>
      <c r="C177" s="356"/>
      <c r="D177" s="354" t="n">
        <f aca="false">B91</f>
        <v>742.966701680381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Monthly in advance</v>
      </c>
      <c r="B180" s="102" t="n">
        <f aca="false">B90*B57</f>
        <v>681.226701680381</v>
      </c>
      <c r="C180" s="352"/>
      <c r="D180" s="102" t="n">
        <f aca="false">IF(A105="YES",B89*B57,0)</f>
        <v>61.74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742.966701680381</v>
      </c>
      <c r="B183" s="102" t="n">
        <f aca="false">E114</f>
        <v>4000</v>
      </c>
      <c r="C183" s="352"/>
      <c r="D183" s="360" t="n">
        <f aca="false">B58</f>
        <v>21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681.226701680381</v>
      </c>
      <c r="B186" s="102" t="n">
        <f aca="false">IF(A105="YES",B89,0)</f>
        <v>61.74</v>
      </c>
      <c r="C186" s="352"/>
      <c r="D186" s="102" t="n">
        <f aca="false">B91</f>
        <v>742.966701680381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12.5568</v>
      </c>
      <c r="B189" s="364" t="n">
        <f aca="false">IF(A105="YES",G18*0.000002,0)*100</f>
        <v>4.1856</v>
      </c>
      <c r="C189" s="352"/>
      <c r="D189" s="364" t="n">
        <f aca="false">A189+B189</f>
        <v>16.7424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296.48</v>
      </c>
      <c r="B197" s="102" t="n">
        <f aca="false">B102</f>
        <v>0</v>
      </c>
      <c r="C197" s="102"/>
      <c r="D197" s="102" t="n">
        <f aca="false">IF(A105="YES",(B40*B105)*B125,0)*0.1</f>
        <v>22.638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419.108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1770.16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296.48</v>
      </c>
      <c r="C211" s="319" t="s">
        <v>218</v>
      </c>
      <c r="D211" s="369" t="n">
        <f aca="false">B225+E221+B221+B223</f>
        <v>326.37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1800.05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1770.16</v>
      </c>
      <c r="C217" s="373" t="s">
        <v>222</v>
      </c>
      <c r="D217" s="316"/>
      <c r="E217" s="374" t="n">
        <f aca="false">B66</f>
        <v>0.0141666666666667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296.48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0</v>
      </c>
      <c r="C223" s="335" t="s">
        <v>219</v>
      </c>
      <c r="D223" s="316"/>
      <c r="E223" s="32" t="n">
        <f aca="false">(B217-B211+D211)</f>
        <v>1800.05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226.38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310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125.890694470534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4">
    <dataValidation allowBlank="true" operator="between" showDropDown="false" showErrorMessage="true" showInputMessage="false" sqref="A18:A20 H99 N99 G105 M105 O107 H110 N110" type="list">
      <formula1>#ref!</formula1>
      <formula2>0</formula2>
    </dataValidation>
    <dataValidation allowBlank="true" operator="between" showDropDown="false" showErrorMessage="true" showInputMessage="false" sqref="B26 A105 B110" type="list">
      <formula1>'Formula1-FL'!$I$2:$I$3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85" zoomScaleNormal="85" zoomScalePageLayoutView="100" workbookViewId="0">
      <selection pane="topLeft" activeCell="E119" activeCellId="1" sqref="A191 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262" t="n">
        <v>17895</v>
      </c>
      <c r="C3" s="495" t="n">
        <v>0</v>
      </c>
      <c r="D3" s="262" t="n">
        <v>0</v>
      </c>
      <c r="E3" s="496" t="n">
        <v>0</v>
      </c>
      <c r="F3" s="62"/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0" t="n">
        <v>0</v>
      </c>
      <c r="C4" s="0" t="n">
        <v>0</v>
      </c>
      <c r="D4" s="0" t="n">
        <v>0</v>
      </c>
      <c r="E4" s="293"/>
      <c r="F4" s="62"/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451" t="n">
        <f aca="false">G9*100/B3</f>
        <v>-809.375933114363</v>
      </c>
      <c r="H8" s="62"/>
      <c r="I8" s="13" t="s">
        <v>3</v>
      </c>
      <c r="J8" s="9" t="n">
        <f aca="false">E13+E14</f>
        <v>340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505" t="n">
        <f aca="false">(B7+C7+D7+E3)</f>
        <v>16745</v>
      </c>
      <c r="F9" s="62"/>
      <c r="G9" s="450" t="n">
        <f aca="false">E9-G11</f>
        <v>-135530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695</v>
      </c>
      <c r="F10" s="62"/>
      <c r="G10" s="450"/>
      <c r="H10" s="62"/>
      <c r="I10" s="15" t="s">
        <v>1</v>
      </c>
      <c r="J10" s="9" t="n">
        <f aca="false">E15-E11-J8</f>
        <v>17440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(E9+E10)*0.2</f>
        <v>3488</v>
      </c>
      <c r="F11" s="62"/>
      <c r="G11" s="450" t="n">
        <f aca="false">G13/1.2</f>
        <v>152275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290</v>
      </c>
      <c r="F13" s="62"/>
      <c r="G13" s="450" t="n">
        <f aca="false">G15-E14-E13-E12</f>
        <v>182730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55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506" t="n">
        <f aca="false">(E9+E10+E13+E14+E11)-E12</f>
        <v>21268</v>
      </c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452" t="n">
        <f aca="false">(B3+C3+E10)*1.2</f>
        <v>20928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 t="n">
        <v>0</v>
      </c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20928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21268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</v>
      </c>
      <c r="I29" s="62"/>
      <c r="J29" s="62"/>
      <c r="K29" s="62" t="n">
        <v>36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10000</v>
      </c>
      <c r="I30" s="62"/>
      <c r="J30" s="62"/>
      <c r="K30" s="62" t="n">
        <v>10000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6990</v>
      </c>
      <c r="I31" s="62"/>
      <c r="J31" s="62"/>
      <c r="K31" s="62" t="n">
        <v>20000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780</v>
      </c>
      <c r="J32" s="62"/>
      <c r="K32" s="62" t="n">
        <v>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22</v>
      </c>
      <c r="B33" s="228" t="n">
        <v>10000</v>
      </c>
      <c r="C33" s="229"/>
      <c r="D33" s="455" t="n">
        <f aca="false">H48</f>
        <v>614.21985193172</v>
      </c>
      <c r="E33" s="215"/>
      <c r="F33" s="62"/>
      <c r="G33" s="218" t="s">
        <v>356</v>
      </c>
      <c r="H33" s="456" t="n">
        <f aca="false">E21-E11+((E16*20%)+(E19*20%)+(E20*20%))</f>
        <v>17780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22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562.76985193172</v>
      </c>
      <c r="B36" s="102" t="n">
        <f aca="false">IF(B26="YES",H42,"")</f>
        <v>51.45</v>
      </c>
      <c r="C36" s="220"/>
      <c r="D36" s="183" t="n">
        <f aca="false">H31</f>
        <v>8340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17780</v>
      </c>
      <c r="I39" s="237" t="n">
        <f aca="false">(I48*H46)+H44</f>
        <v>34035.4440684217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8340</v>
      </c>
      <c r="B40" s="106" t="n">
        <f aca="false">IF(B26="YES",H42,"0")</f>
        <v>51.45</v>
      </c>
      <c r="C40" s="106"/>
      <c r="D40" s="183" t="n">
        <f aca="false">I32</f>
        <v>1131.9</v>
      </c>
      <c r="E40" s="215"/>
      <c r="F40" s="62"/>
      <c r="G40" s="62" t="s">
        <v>107</v>
      </c>
      <c r="H40" s="237" t="n">
        <f aca="false">(A40)/1.2</f>
        <v>6950</v>
      </c>
      <c r="I40" s="237" t="n">
        <f aca="false">H39-I39</f>
        <v>-16255.4440684217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51.45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6137.97280707696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</v>
      </c>
      <c r="B45" s="214"/>
      <c r="C45" s="507" t="n">
        <v>100</v>
      </c>
      <c r="D45" s="507"/>
      <c r="E45" s="215"/>
      <c r="F45" s="62"/>
      <c r="G45" s="62" t="s">
        <v>374</v>
      </c>
      <c r="H45" s="237" t="n">
        <f aca="false">(H39-H44)</f>
        <v>11642.027192923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20.6870129111599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562.76985193172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614.21985193172</v>
      </c>
      <c r="I48" s="237" t="n">
        <f aca="false">I49-H42</f>
        <v>1348.55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22000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22</v>
      </c>
      <c r="B52" s="73" t="n">
        <f aca="false">H48</f>
        <v>614.21985193172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21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21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21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20928</v>
      </c>
      <c r="C61" s="214"/>
      <c r="D61" s="214"/>
      <c r="E61" s="215"/>
      <c r="F61" s="62"/>
      <c r="G61" s="213" t="s">
        <v>14</v>
      </c>
      <c r="H61" s="290" t="n">
        <f aca="false">G18</f>
        <v>20928</v>
      </c>
      <c r="I61" s="214"/>
      <c r="J61" s="214"/>
      <c r="K61" s="215"/>
      <c r="L61" s="62"/>
      <c r="M61" s="213" t="s">
        <v>14</v>
      </c>
      <c r="N61" s="290" t="n">
        <f aca="false">G18</f>
        <v>20928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B62+(B62*0.25*(H29/12-1))</f>
        <v>0.0845833333333333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0.0845833333333333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0.0845833333333333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1770.16</v>
      </c>
      <c r="C64" s="214" t="n">
        <v>10000</v>
      </c>
      <c r="D64" s="290" t="n">
        <f aca="false">B64-A143</f>
        <v>1770.16</v>
      </c>
      <c r="E64" s="462" t="n">
        <f aca="false">D64/(B58+B57)</f>
        <v>80.4618181818182</v>
      </c>
      <c r="F64" s="62"/>
      <c r="G64" s="284" t="s">
        <v>91</v>
      </c>
      <c r="H64" s="132" t="n">
        <f aca="false">H61*H63</f>
        <v>1770.16</v>
      </c>
      <c r="I64" s="214"/>
      <c r="J64" s="290" t="n">
        <f aca="false">H64-G145</f>
        <v>1770.16</v>
      </c>
      <c r="K64" s="215"/>
      <c r="L64" s="62"/>
      <c r="M64" s="284" t="s">
        <v>91</v>
      </c>
      <c r="N64" s="132" t="n">
        <f aca="false">N61*N63</f>
        <v>1770.16</v>
      </c>
      <c r="O64" s="214"/>
      <c r="P64" s="290" t="n">
        <f aca="false">N64-M145</f>
        <v>1770.16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0.0141666666666667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0.0141666666666667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0.0141666666666667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296.48</v>
      </c>
      <c r="C67" s="214"/>
      <c r="D67" s="290"/>
      <c r="E67" s="215"/>
      <c r="F67" s="62"/>
      <c r="G67" s="284" t="s">
        <v>94</v>
      </c>
      <c r="H67" s="132" t="n">
        <f aca="false">(H61*H66)/1.2</f>
        <v>247.066666666667</v>
      </c>
      <c r="I67" s="214"/>
      <c r="J67" s="290"/>
      <c r="K67" s="215"/>
      <c r="L67" s="62"/>
      <c r="M67" s="284" t="s">
        <v>94</v>
      </c>
      <c r="N67" s="132" t="n">
        <f aca="false">(N61*N66)/1.2</f>
        <v>247.066666666667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110</v>
      </c>
      <c r="C73" s="214"/>
      <c r="D73" s="290" t="n">
        <f aca="false">B73+B71</f>
        <v>310</v>
      </c>
      <c r="E73" s="215"/>
      <c r="F73" s="62"/>
      <c r="G73" s="284" t="s">
        <v>100</v>
      </c>
      <c r="H73" s="132" t="n">
        <f aca="false">H72*H29</f>
        <v>99</v>
      </c>
      <c r="I73" s="214"/>
      <c r="J73" s="290" t="n">
        <f aca="false">H73+H71</f>
        <v>259</v>
      </c>
      <c r="K73" s="215"/>
      <c r="L73" s="62"/>
      <c r="M73" s="284" t="s">
        <v>100</v>
      </c>
      <c r="N73" s="132" t="n">
        <f aca="false">N72*H29</f>
        <v>99</v>
      </c>
      <c r="O73" s="214"/>
      <c r="P73" s="290" t="n">
        <f aca="false">N73+N71</f>
        <v>259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151.25</v>
      </c>
      <c r="I76" s="214"/>
      <c r="J76" s="290" t="n">
        <f aca="false">H76</f>
        <v>151.25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130" t="n">
        <f aca="false">B102/(1-0.1)</f>
        <v>444.444444444444</v>
      </c>
      <c r="C77" s="214"/>
      <c r="D77" s="290" t="n">
        <f aca="false">B77</f>
        <v>444.444444444444</v>
      </c>
      <c r="E77" s="462" t="n">
        <f aca="false">D77/(B58+B57)</f>
        <v>20.2020202020202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462" t="n">
        <f aca="false">(D73+D76+D79+D80)/(B58+B57)</f>
        <v>32.2727272727273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3146.82666666667</v>
      </c>
      <c r="C81" s="214"/>
      <c r="D81" s="214"/>
      <c r="E81" s="462"/>
      <c r="F81" s="62"/>
      <c r="G81" s="302" t="s">
        <v>103</v>
      </c>
      <c r="H81" s="303" t="n">
        <f aca="false">SUM(J64:J80)</f>
        <v>2580.41</v>
      </c>
      <c r="I81" s="214"/>
      <c r="J81" s="214"/>
      <c r="K81" s="215"/>
      <c r="L81" s="62"/>
      <c r="M81" s="302" t="s">
        <v>103</v>
      </c>
      <c r="N81" s="303" t="n">
        <f aca="false">SUM(P64:P80)</f>
        <v>2429.16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143.037575757576</v>
      </c>
      <c r="C82" s="214"/>
      <c r="D82" s="214"/>
      <c r="E82" s="462"/>
      <c r="F82" s="62"/>
      <c r="G82" s="213" t="s">
        <v>104</v>
      </c>
      <c r="H82" s="299" t="n">
        <f aca="false">H81/H29</f>
        <v>117.291363636364</v>
      </c>
      <c r="I82" s="214"/>
      <c r="J82" s="214"/>
      <c r="K82" s="215"/>
      <c r="L82" s="62"/>
      <c r="M82" s="213" t="s">
        <v>104</v>
      </c>
      <c r="N82" s="299" t="n">
        <f aca="false">N81/H29</f>
        <v>110.416363636364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562.76985193172</v>
      </c>
      <c r="C83" s="214"/>
      <c r="D83" s="214"/>
      <c r="E83" s="462" t="n">
        <f aca="false">B83+E80+E77+E64</f>
        <v>695.706417588286</v>
      </c>
      <c r="F83" s="62"/>
      <c r="G83" s="304" t="s">
        <v>105</v>
      </c>
      <c r="H83" s="305" t="n">
        <f aca="false">H47</f>
        <v>562.76985193172</v>
      </c>
      <c r="I83" s="214"/>
      <c r="J83" s="214"/>
      <c r="K83" s="215"/>
      <c r="L83" s="62"/>
      <c r="M83" s="304" t="s">
        <v>105</v>
      </c>
      <c r="N83" s="305" t="n">
        <f aca="false">H47</f>
        <v>562.76985193172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((B83*H29)+B81)*1.2</f>
        <v>18633.3160909974</v>
      </c>
      <c r="C85" s="214"/>
      <c r="D85" s="214"/>
      <c r="E85" s="462" t="n">
        <f aca="false">B85/(B58+B57)</f>
        <v>846.968913227155</v>
      </c>
      <c r="F85" s="62"/>
      <c r="G85" s="287" t="s">
        <v>115</v>
      </c>
      <c r="H85" s="130" t="n">
        <f aca="false">((H83*H29)+H81)*1.2</f>
        <v>17953.6160909974</v>
      </c>
      <c r="I85" s="214"/>
      <c r="J85" s="214"/>
      <c r="K85" s="215"/>
      <c r="L85" s="62"/>
      <c r="M85" s="287" t="s">
        <v>115</v>
      </c>
      <c r="N85" s="130" t="n">
        <f aca="false">((N83*H29)+N81)</f>
        <v>14810.0967424978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((((B83*H29)+B81))/(1-B70))*B70</f>
        <v>131.538132953794</v>
      </c>
      <c r="C86" s="214"/>
      <c r="D86" s="214"/>
      <c r="E86" s="462" t="n">
        <f aca="false">B86/(B58+B57)</f>
        <v>5.97900604335426</v>
      </c>
      <c r="F86" s="62"/>
      <c r="G86" s="213" t="s">
        <v>116</v>
      </c>
      <c r="H86" s="299" t="n">
        <f aca="false">((((H83*H29)+H81))/(1-H70))*H70</f>
        <v>126.739928032454</v>
      </c>
      <c r="I86" s="214"/>
      <c r="J86" s="214"/>
      <c r="K86" s="215"/>
      <c r="L86" s="62"/>
      <c r="M86" s="213" t="s">
        <v>116</v>
      </c>
      <c r="N86" s="299" t="n">
        <f aca="false">(N85/(1-N70))*N70</f>
        <v>125.458665426565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IF(B110="YES",((B85+B86)-E114),(B85+B86))</f>
        <v>18764.8542239512</v>
      </c>
      <c r="C87" s="214"/>
      <c r="D87" s="214"/>
      <c r="E87" s="462" t="n">
        <f aca="false">E86+E85</f>
        <v>852.947919270509</v>
      </c>
      <c r="F87" s="62"/>
      <c r="G87" s="284" t="s">
        <v>117</v>
      </c>
      <c r="H87" s="132" t="n">
        <f aca="false">IF(H110="YES",((H85+H86)-K114),(H85+H86))</f>
        <v>18080.3560190299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14935.5554079244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IF(B99=Y98,(D40+(D40*B105))/(B58),(D40+(D40*B105))/(B57+B58))*1.2*(C45/100)</f>
        <v>80.262</v>
      </c>
      <c r="C89" s="214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60.368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50.3066666666667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852.947919270509</v>
      </c>
      <c r="C90" s="214"/>
      <c r="D90" s="214"/>
      <c r="E90" s="215"/>
      <c r="F90" s="62"/>
      <c r="G90" s="307" t="s">
        <v>119</v>
      </c>
      <c r="H90" s="308" t="n">
        <f aca="false">IF(H99=Y98,(H87-J105)/(H58),H87/(H57+H58))</f>
        <v>669.642815519624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553.168718812015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933.209919270509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730.010815519624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603.475385478682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285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352</v>
      </c>
      <c r="C99" s="311"/>
      <c r="D99" s="106" t="n">
        <v>1000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239.99</v>
      </c>
      <c r="B102" s="106" t="n">
        <v>0</v>
      </c>
      <c r="C102" s="106"/>
      <c r="D102" s="106" t="n">
        <v>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0.3</v>
      </c>
      <c r="C105" s="313"/>
      <c r="D105" s="106" t="s">
        <v>353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s">
        <v>291</v>
      </c>
      <c r="B108" s="216"/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E118+E117-E114</f>
        <v>-2760.01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22</v>
      </c>
      <c r="C125" s="324"/>
      <c r="D125" s="323" t="n">
        <f aca="false">B160</f>
        <v>22000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669.642815519624</v>
      </c>
      <c r="H127" s="176" t="n">
        <f aca="false">IF(G105="YES",H89*H57,0)</f>
        <v>362.208</v>
      </c>
      <c r="I127" s="176"/>
      <c r="J127" s="333" t="n">
        <f aca="false">H91</f>
        <v>730.010815519624</v>
      </c>
      <c r="K127" s="215"/>
      <c r="L127" s="62"/>
      <c r="M127" s="332" t="n">
        <f aca="false">N90</f>
        <v>553.168718812015</v>
      </c>
      <c r="N127" s="176" t="n">
        <f aca="false">IF(M105="YES",N89*N57,0)</f>
        <v>301.84</v>
      </c>
      <c r="O127" s="176"/>
      <c r="P127" s="176" t="n">
        <f aca="false">N91</f>
        <v>603.475385478682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852.947919270509</v>
      </c>
      <c r="B128" s="320" t="n">
        <f aca="false">IF(A105="YES",B89,0)</f>
        <v>80.262</v>
      </c>
      <c r="C128" s="324"/>
      <c r="D128" s="320" t="n">
        <f aca="false">B91</f>
        <v>933.209919270509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22</v>
      </c>
      <c r="H130" s="228" t="n">
        <f aca="false">B151</f>
        <v>0</v>
      </c>
      <c r="I130" s="229"/>
      <c r="J130" s="228" t="n">
        <f aca="false">B58</f>
        <v>21</v>
      </c>
      <c r="K130" s="215"/>
      <c r="L130" s="62"/>
      <c r="M130" s="227" t="n">
        <f aca="false">M155</f>
        <v>22</v>
      </c>
      <c r="N130" s="228" t="n">
        <f aca="false">B151</f>
        <v>0</v>
      </c>
      <c r="O130" s="229"/>
      <c r="P130" s="228" t="n">
        <f aca="false">B58</f>
        <v>21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Monthly in advance</v>
      </c>
      <c r="B131" s="37" t="n">
        <f aca="false">B90*B57</f>
        <v>852.947919270509</v>
      </c>
      <c r="C131" s="316"/>
      <c r="D131" s="37" t="n">
        <f aca="false">IF(A105="YES",B89*B57,0)</f>
        <v>80.262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4017.85689311775</v>
      </c>
      <c r="H133" s="102" t="n">
        <f aca="false">IF(G105="YES",H89*H57,0)</f>
        <v>362.208</v>
      </c>
      <c r="I133" s="220"/>
      <c r="J133" s="183" t="n">
        <f aca="false">H91*H57</f>
        <v>4380.06489311775</v>
      </c>
      <c r="K133" s="215"/>
      <c r="L133" s="62"/>
      <c r="M133" s="184" t="n">
        <f aca="false">N90*N57</f>
        <v>3319.01231287209</v>
      </c>
      <c r="N133" s="102" t="n">
        <f aca="false">IF(M105="YES",N89*N57,0)</f>
        <v>301.84</v>
      </c>
      <c r="O133" s="220"/>
      <c r="P133" s="183" t="n">
        <f aca="false">N91*N57</f>
        <v>3620.85231287209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933.209919270509</v>
      </c>
      <c r="B134" s="37" t="n">
        <f aca="false">E114</f>
        <v>4000</v>
      </c>
      <c r="C134" s="316"/>
      <c r="D134" s="336" t="n">
        <f aca="false">B58</f>
        <v>21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0.127608</v>
      </c>
      <c r="H136" s="102" t="n">
        <f aca="false">IF(G105="YES",E15*0.000002,0)</f>
        <v>0.042536</v>
      </c>
      <c r="I136" s="102"/>
      <c r="J136" s="102" t="n">
        <f aca="false">G136+H136</f>
        <v>0.170144</v>
      </c>
      <c r="K136" s="104"/>
      <c r="L136" s="62"/>
      <c r="M136" s="110" t="n">
        <f aca="false">E15*0.000006</f>
        <v>0.127608</v>
      </c>
      <c r="N136" s="102" t="n">
        <f aca="false">IF(M105="YES",E15*0.000002,0)</f>
        <v>0.042536</v>
      </c>
      <c r="O136" s="102"/>
      <c r="P136" s="102" t="n">
        <f aca="false">M136+N136</f>
        <v>0.170144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852.947919270509</v>
      </c>
      <c r="B137" s="37" t="n">
        <f aca="false">IF(A105="YES",B89,0)</f>
        <v>80.262</v>
      </c>
      <c r="C137" s="316"/>
      <c r="D137" s="37" t="n">
        <f aca="false">B91</f>
        <v>933.209919270509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247.066666666667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247.066666666667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(G18*0.000006)*1.2*100</f>
        <v>15.06816</v>
      </c>
      <c r="B140" s="342" t="n">
        <f aca="false">IF(A105="YES",G18*0.000002,0)*1.2*100</f>
        <v>5.02272</v>
      </c>
      <c r="C140" s="316"/>
      <c r="D140" s="342" t="n">
        <f aca="false">A140+B140</f>
        <v>20.09088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22.638</v>
      </c>
      <c r="H142" s="102" t="n">
        <f aca="false">G102-100</f>
        <v>99.99</v>
      </c>
      <c r="I142" s="102"/>
      <c r="J142" s="102" t="n">
        <f aca="false">(H139+J139+G142+H142)-H145</f>
        <v>369.694666666667</v>
      </c>
      <c r="K142" s="104"/>
      <c r="L142" s="62"/>
      <c r="M142" s="110" t="n">
        <f aca="false">IF(M105="YES",((B36*N105)*0.1)*(M130),0)</f>
        <v>22.638</v>
      </c>
      <c r="N142" s="102" t="n">
        <f aca="false">M102-100</f>
        <v>99.99</v>
      </c>
      <c r="O142" s="102"/>
      <c r="P142" s="102" t="n">
        <f aca="false">(N139+P139+M142+N142)-N145</f>
        <v>369.694666666667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110" t="n">
        <v>0</v>
      </c>
      <c r="N145" s="102" t="n">
        <f aca="false">(N139+P139+M142+N142)*(M145/N64)</f>
        <v>0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296.48</v>
      </c>
      <c r="B148" s="37" t="n">
        <f aca="false">B102</f>
        <v>400</v>
      </c>
      <c r="C148" s="37"/>
      <c r="D148" s="37" t="n">
        <f aca="false">IF(A105="YES",(B40*B105)*B125,0)*0.1</f>
        <v>33.957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E118/1.2-100</f>
        <v>99.9916666666667</v>
      </c>
      <c r="B151" s="37" t="n">
        <f aca="false">(A148+B148+D148+A151)*(A143/B64)</f>
        <v>0</v>
      </c>
      <c r="C151" s="37"/>
      <c r="D151" s="37" t="n">
        <f aca="false">(A148+B148+D148+A151)-B151</f>
        <v>830.428666666667</v>
      </c>
      <c r="E151" s="104"/>
      <c r="F151" s="62"/>
      <c r="G151" s="249"/>
      <c r="H151" s="251" t="n">
        <f aca="false">B51</f>
        <v>22000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22</v>
      </c>
      <c r="H152" s="73" t="n">
        <f aca="false">H91</f>
        <v>730.010815519624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22000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22</v>
      </c>
      <c r="N155" s="73" t="n">
        <f aca="false">N91</f>
        <v>603.475385478682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22000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22</v>
      </c>
      <c r="B161" s="73" t="n">
        <f aca="false">B91</f>
        <v>933.209919270509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22</v>
      </c>
      <c r="C174" s="356"/>
      <c r="D174" s="323" t="n">
        <f aca="false">D125</f>
        <v>22000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852.947919270509</v>
      </c>
      <c r="B177" s="354" t="n">
        <f aca="false">IF(A105="YES",B89,0)</f>
        <v>80.262</v>
      </c>
      <c r="C177" s="356"/>
      <c r="D177" s="354" t="n">
        <f aca="false">B91</f>
        <v>933.209919270509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Monthly in advance</v>
      </c>
      <c r="B180" s="102" t="n">
        <f aca="false">B90*B57</f>
        <v>852.947919270509</v>
      </c>
      <c r="C180" s="352"/>
      <c r="D180" s="102" t="n">
        <f aca="false">IF(A105="YES",B89*B57,0)</f>
        <v>80.262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933.209919270509</v>
      </c>
      <c r="B183" s="102" t="n">
        <f aca="false">E114</f>
        <v>4000</v>
      </c>
      <c r="C183" s="352"/>
      <c r="D183" s="360" t="n">
        <f aca="false">B58</f>
        <v>21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852.947919270509</v>
      </c>
      <c r="B186" s="102" t="n">
        <f aca="false">IF(A105="YES",B89,0)</f>
        <v>80.262</v>
      </c>
      <c r="C186" s="352"/>
      <c r="D186" s="102" t="n">
        <f aca="false">B91</f>
        <v>933.209919270509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15.06816</v>
      </c>
      <c r="B189" s="364" t="n">
        <f aca="false">IF(A105="YES",G18*0.000002,0)*1.2*100</f>
        <v>5.02272</v>
      </c>
      <c r="C189" s="352"/>
      <c r="D189" s="364" t="n">
        <f aca="false">A189+B189</f>
        <v>20.09088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239.99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296.48</v>
      </c>
      <c r="B197" s="102" t="n">
        <f aca="false">B102</f>
        <v>400</v>
      </c>
      <c r="C197" s="102"/>
      <c r="D197" s="102" t="n">
        <f aca="false">IF(A105="YES",(B40*B105)*B125,0)*0.1</f>
        <v>33.957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(E118/1.2)-100</f>
        <v>99.9916666666667</v>
      </c>
      <c r="B200" s="102" t="n">
        <f aca="false">(A148+B148+D148+A151)*(A143/B64)</f>
        <v>0</v>
      </c>
      <c r="C200" s="102"/>
      <c r="D200" s="102" t="n">
        <f aca="false">(A148+B148+D148+A151)-B151</f>
        <v>830.428666666667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1770.16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296.48</v>
      </c>
      <c r="C211" s="319" t="s">
        <v>218</v>
      </c>
      <c r="D211" s="369" t="n">
        <f aca="false">B225+E221+B221+B223</f>
        <v>679.561666666667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2153.24166666667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1770.16</v>
      </c>
      <c r="C217" s="373" t="s">
        <v>222</v>
      </c>
      <c r="D217" s="316"/>
      <c r="E217" s="374" t="n">
        <f aca="false">B66</f>
        <v>0.0141666666666667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296.48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2153.24166666667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339.57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310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131.538132953794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A18:A20 H99 N99 G105 M105 O107 H110 N110" type="list">
      <formula1>#ref!</formula1>
      <formula2>0</formula2>
    </dataValidation>
    <dataValidation allowBlank="true" operator="between" showDropDown="false" showErrorMessage="true" showInputMessage="false" sqref="B26 A105 B110" type="list">
      <formula1>'Formula1-PCH'!$I$3:$I$4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66" colorId="64" zoomScale="85" zoomScaleNormal="85" zoomScalePageLayoutView="100" workbookViewId="0">
      <selection pane="topLeft" activeCell="B189" activeCellId="1" sqref="A191 B18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262" t="n">
        <v>55495.83</v>
      </c>
      <c r="C3" s="495" t="n">
        <v>0</v>
      </c>
      <c r="D3" s="262" t="n">
        <v>833.33</v>
      </c>
      <c r="E3" s="496" t="n">
        <v>0</v>
      </c>
      <c r="F3" s="62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0" t="n">
        <v>0</v>
      </c>
      <c r="C4" s="0" t="n">
        <v>0</v>
      </c>
      <c r="D4" s="0" t="n">
        <v>0</v>
      </c>
      <c r="E4" s="293"/>
      <c r="F4" s="62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13"/>
      <c r="B8" s="214"/>
      <c r="C8" s="214"/>
      <c r="D8" s="214"/>
      <c r="E8" s="215"/>
      <c r="F8" s="62"/>
      <c r="G8" s="451" t="n">
        <f aca="false">G9*100/B3</f>
        <v>-222.667836537637</v>
      </c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 t="n">
        <v>23125</v>
      </c>
      <c r="C9" s="482"/>
      <c r="D9" s="482"/>
      <c r="E9" s="505" t="n">
        <f aca="false">(B7+C7+D7+E3)</f>
        <v>47687.5</v>
      </c>
      <c r="F9" s="62"/>
      <c r="G9" s="450" t="n">
        <f aca="false">E9-G11</f>
        <v>-104329.166666667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645.83</v>
      </c>
      <c r="F10" s="62"/>
      <c r="G10" s="450"/>
      <c r="H10" s="62"/>
      <c r="I10" s="15" t="s">
        <v>1</v>
      </c>
      <c r="J10" s="9" t="n">
        <f aca="false">E15-E11-J8</f>
        <v>48237.5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 t="n">
        <v>0</v>
      </c>
      <c r="C11" s="484"/>
      <c r="D11" s="484"/>
      <c r="E11" s="299" t="n">
        <f aca="false">(E9+E10)*0.2</f>
        <v>9647.5</v>
      </c>
      <c r="F11" s="62"/>
      <c r="G11" s="450" t="n">
        <f aca="false">G13/1.2</f>
        <v>152016.666666667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 t="n">
        <v>0</v>
      </c>
      <c r="C13" s="484"/>
      <c r="D13" s="484"/>
      <c r="E13" s="496" t="n">
        <v>585</v>
      </c>
      <c r="F13" s="62"/>
      <c r="G13" s="450" t="n">
        <f aca="false">G15-E14-E13-E12</f>
        <v>182420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55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506" t="n">
        <f aca="false">(E9+E10+E13+E14+E11)-E12</f>
        <v>58535</v>
      </c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452" t="n">
        <f aca="false">(B3+C3+E10)*1.2</f>
        <v>56885.004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 t="n">
        <v>0</v>
      </c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57885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58535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</v>
      </c>
      <c r="I29" s="384"/>
      <c r="J29" s="62"/>
      <c r="K29" s="62" t="n">
        <v>36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10000</v>
      </c>
      <c r="I30" s="62"/>
      <c r="J30" s="62"/>
      <c r="K30" s="62" t="n">
        <v>10000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6990</v>
      </c>
      <c r="I31" s="62"/>
      <c r="J31" s="62"/>
      <c r="K31" s="62" t="n">
        <v>10000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780</v>
      </c>
      <c r="J32" s="62"/>
      <c r="K32" s="62" t="n">
        <v>14400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35</v>
      </c>
      <c r="B33" s="228" t="n">
        <v>10000</v>
      </c>
      <c r="C33" s="229"/>
      <c r="D33" s="455" t="n">
        <f aca="false">H48</f>
        <v>1493.42530774817</v>
      </c>
      <c r="E33" s="215"/>
      <c r="F33" s="62"/>
      <c r="G33" s="218" t="s">
        <v>356</v>
      </c>
      <c r="H33" s="456" t="n">
        <f aca="false">E21-E11+((E16*20%)+(E19*20%)+(E20*20%))</f>
        <v>48887.5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35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1441.03530774817</v>
      </c>
      <c r="B36" s="102" t="n">
        <f aca="false">IF(B26="YES",H42,"")</f>
        <v>52.39</v>
      </c>
      <c r="C36" s="220"/>
      <c r="D36" s="183" t="n">
        <f aca="false">H31</f>
        <v>5010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48887.5</v>
      </c>
      <c r="I39" s="237" t="n">
        <f aca="false">(I48*H46)+H44</f>
        <v>45937.559892931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5010</v>
      </c>
      <c r="B40" s="106" t="n">
        <f aca="false">IF(B26="YES",H42,"0")</f>
        <v>52.39</v>
      </c>
      <c r="C40" s="106"/>
      <c r="D40" s="183" t="n">
        <f aca="false">I32</f>
        <v>3667.3</v>
      </c>
      <c r="E40" s="215"/>
      <c r="F40" s="62"/>
      <c r="G40" s="62" t="s">
        <v>107</v>
      </c>
      <c r="H40" s="237" t="n">
        <f aca="false">A40/1.2</f>
        <v>4175</v>
      </c>
      <c r="I40" s="237" t="n">
        <f aca="false">H39-I39</f>
        <v>2949.94010706903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0.00583333333333333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52.39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3386.25464700085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</v>
      </c>
      <c r="B45" s="214"/>
      <c r="C45" s="459" t="n">
        <v>100</v>
      </c>
      <c r="D45" s="459"/>
      <c r="E45" s="215"/>
      <c r="F45" s="62"/>
      <c r="G45" s="62" t="s">
        <v>374</v>
      </c>
      <c r="H45" s="237" t="n">
        <f aca="false">(H39-H44)</f>
        <v>45501.2453529992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31.5753854942677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1441.03530774817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1493.42530774817</v>
      </c>
      <c r="I48" s="237" t="n">
        <f aca="false">I49-H42</f>
        <v>1347.61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35000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35</v>
      </c>
      <c r="B52" s="73" t="n">
        <f aca="false">H48</f>
        <v>1493.42530774817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34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34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34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57885</v>
      </c>
      <c r="C61" s="214"/>
      <c r="D61" s="214"/>
      <c r="E61" s="215"/>
      <c r="F61" s="62"/>
      <c r="G61" s="213" t="s">
        <v>14</v>
      </c>
      <c r="H61" s="290" t="n">
        <f aca="false">G18</f>
        <v>57885</v>
      </c>
      <c r="I61" s="214"/>
      <c r="J61" s="214"/>
      <c r="K61" s="215"/>
      <c r="L61" s="62"/>
      <c r="M61" s="213" t="s">
        <v>14</v>
      </c>
      <c r="N61" s="290" t="n">
        <f aca="false">G18</f>
        <v>57885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B62+(B62*0.25*((H29/12)-1))</f>
        <v>0.103541666666667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0.103541666666667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0.103541666666667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10000</v>
      </c>
      <c r="C64" s="461" t="n">
        <v>10000</v>
      </c>
      <c r="D64" s="290" t="n">
        <f aca="false">B64</f>
        <v>10000</v>
      </c>
      <c r="E64" s="462" t="n">
        <f aca="false">D64/(B58+B57)</f>
        <v>285.714285714286</v>
      </c>
      <c r="F64" s="62"/>
      <c r="G64" s="284" t="s">
        <v>91</v>
      </c>
      <c r="H64" s="132" t="n">
        <f aca="false">H61*H63</f>
        <v>5993.509375</v>
      </c>
      <c r="I64" s="214"/>
      <c r="J64" s="290" t="n">
        <f aca="false">H64-G145</f>
        <v>5993.509375</v>
      </c>
      <c r="K64" s="215"/>
      <c r="L64" s="62"/>
      <c r="M64" s="284" t="s">
        <v>91</v>
      </c>
      <c r="N64" s="132" t="n">
        <f aca="false">N61*N63</f>
        <v>5993.509375</v>
      </c>
      <c r="O64" s="214"/>
      <c r="P64" s="290" t="n">
        <f aca="false">N64-M145</f>
        <v>5993.509375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0.0195833333333333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0.0195833333333333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0.0195833333333333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1133.58125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944.651041666667</v>
      </c>
      <c r="I67" s="214"/>
      <c r="J67" s="290"/>
      <c r="K67" s="215"/>
      <c r="L67" s="62"/>
      <c r="M67" s="284" t="s">
        <v>94</v>
      </c>
      <c r="N67" s="132" t="n">
        <f aca="false">(N61*N66)/1.2</f>
        <v>944.651041666667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175</v>
      </c>
      <c r="C73" s="214"/>
      <c r="D73" s="468" t="n">
        <f aca="false">B73+B71</f>
        <v>375</v>
      </c>
      <c r="E73" s="215" t="s">
        <v>228</v>
      </c>
      <c r="F73" s="62"/>
      <c r="G73" s="284" t="s">
        <v>100</v>
      </c>
      <c r="H73" s="132" t="n">
        <f aca="false">H72*H29</f>
        <v>157.5</v>
      </c>
      <c r="I73" s="214"/>
      <c r="J73" s="290" t="n">
        <f aca="false">H73+H71</f>
        <v>317.5</v>
      </c>
      <c r="K73" s="215"/>
      <c r="L73" s="62"/>
      <c r="M73" s="284" t="s">
        <v>100</v>
      </c>
      <c r="N73" s="132" t="n">
        <f aca="false">N72*H29</f>
        <v>157.5</v>
      </c>
      <c r="O73" s="214"/>
      <c r="P73" s="290" t="n">
        <f aca="false">N73+N71</f>
        <v>317.5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330</v>
      </c>
      <c r="I76" s="214"/>
      <c r="J76" s="290" t="n">
        <f aca="false">H76</f>
        <v>330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0</v>
      </c>
      <c r="C77" s="469"/>
      <c r="D77" s="290" t="n">
        <f aca="false">B77</f>
        <v>0</v>
      </c>
      <c r="E77" s="462" t="n">
        <f aca="false">D77/(B58+B57)</f>
        <v>0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0</v>
      </c>
      <c r="C78" s="469"/>
      <c r="D78" s="290" t="n">
        <f aca="false">B78</f>
        <v>0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22.1428571428571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10775</v>
      </c>
      <c r="C81" s="469"/>
      <c r="D81" s="470"/>
      <c r="E81" s="462"/>
      <c r="F81" s="62"/>
      <c r="G81" s="302" t="s">
        <v>103</v>
      </c>
      <c r="H81" s="303" t="n">
        <f aca="false">SUM(J64:J80)</f>
        <v>7041.009375</v>
      </c>
      <c r="I81" s="214"/>
      <c r="J81" s="214"/>
      <c r="K81" s="215"/>
      <c r="L81" s="62"/>
      <c r="M81" s="302" t="s">
        <v>103</v>
      </c>
      <c r="N81" s="303" t="n">
        <f aca="false">SUM(P64:P80)</f>
        <v>6711.009375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307.857142857143</v>
      </c>
      <c r="C82" s="469"/>
      <c r="D82" s="214"/>
      <c r="E82" s="462"/>
      <c r="F82" s="62"/>
      <c r="G82" s="213" t="s">
        <v>104</v>
      </c>
      <c r="H82" s="299" t="n">
        <f aca="false">H81/H29</f>
        <v>201.171696428571</v>
      </c>
      <c r="I82" s="214"/>
      <c r="J82" s="214"/>
      <c r="K82" s="215"/>
      <c r="L82" s="62"/>
      <c r="M82" s="213" t="s">
        <v>104</v>
      </c>
      <c r="N82" s="299" t="n">
        <f aca="false">N81/H29</f>
        <v>191.743125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1441.03530774817</v>
      </c>
      <c r="C83" s="469"/>
      <c r="D83" s="214"/>
      <c r="E83" s="462" t="n">
        <f aca="false">B83+E80+E77+E64</f>
        <v>1748.89245060531</v>
      </c>
      <c r="F83" s="62"/>
      <c r="G83" s="304" t="s">
        <v>105</v>
      </c>
      <c r="H83" s="305" t="n">
        <f aca="false">H47</f>
        <v>1441.03530774817</v>
      </c>
      <c r="I83" s="214"/>
      <c r="J83" s="214"/>
      <c r="K83" s="215"/>
      <c r="L83" s="62"/>
      <c r="M83" s="304" t="s">
        <v>105</v>
      </c>
      <c r="N83" s="305" t="n">
        <f aca="false">H47</f>
        <v>1441.03530774817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61211.2357711859</v>
      </c>
      <c r="C85" s="469"/>
      <c r="D85" s="469"/>
      <c r="E85" s="462" t="n">
        <f aca="false">B85/(B58+B57)</f>
        <v>1748.89245060531</v>
      </c>
      <c r="F85" s="62"/>
      <c r="G85" s="287" t="s">
        <v>115</v>
      </c>
      <c r="H85" s="130" t="n">
        <f aca="false">((H83*H29)+H81)*1.2</f>
        <v>68972.6941754231</v>
      </c>
      <c r="I85" s="214"/>
      <c r="J85" s="214"/>
      <c r="K85" s="215"/>
      <c r="L85" s="62"/>
      <c r="M85" s="287" t="s">
        <v>115</v>
      </c>
      <c r="N85" s="130" t="n">
        <f aca="false">((N83*H29)+N81)</f>
        <v>57147.2451461859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518.530032753088</v>
      </c>
      <c r="C86" s="469" t="s">
        <v>231</v>
      </c>
      <c r="D86" s="214"/>
      <c r="E86" s="462" t="n">
        <f aca="false">B86/(B58+B57)</f>
        <v>14.8151437929454</v>
      </c>
      <c r="F86" s="62"/>
      <c r="G86" s="213" t="s">
        <v>116</v>
      </c>
      <c r="H86" s="299" t="n">
        <f aca="false">((((H83*H29)+H81))/(1-H70))*H70</f>
        <v>486.898809225456</v>
      </c>
      <c r="I86" s="214"/>
      <c r="J86" s="214"/>
      <c r="K86" s="215"/>
      <c r="L86" s="62"/>
      <c r="M86" s="213" t="s">
        <v>116</v>
      </c>
      <c r="N86" s="299" t="n">
        <f aca="false">(N85/(1-N70))*N70</f>
        <v>484.103327176242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61729.765803939</v>
      </c>
      <c r="C87" s="469"/>
      <c r="D87" s="471"/>
      <c r="E87" s="462" t="n">
        <f aca="false">E86+E85</f>
        <v>1763.70759439826</v>
      </c>
      <c r="F87" s="62"/>
      <c r="G87" s="284" t="s">
        <v>117</v>
      </c>
      <c r="H87" s="132" t="n">
        <f aca="false">IF(H110="YES",((H85+H86)-K114),(H85+H86))</f>
        <v>69459.5929846486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57631.3484733622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68.107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132.0228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110.019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1763.70759439826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1736.48982461621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1440.78371183405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1831.81459439826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1868.51262461621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1550.80271183405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0</v>
      </c>
      <c r="C102" s="106"/>
      <c r="D102" s="106" t="n">
        <v>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19</v>
      </c>
      <c r="B105" s="313" t="n">
        <v>0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 t="s">
        <v>19</v>
      </c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(E118*1.2)+E117-E114</f>
        <v>-2760.012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1736.48982461621</v>
      </c>
      <c r="H127" s="176" t="n">
        <f aca="false">IF(G105="YES",H89*H57,0)</f>
        <v>792.1368</v>
      </c>
      <c r="I127" s="176"/>
      <c r="J127" s="333" t="n">
        <f aca="false">H91</f>
        <v>1868.51262461621</v>
      </c>
      <c r="K127" s="215"/>
      <c r="L127" s="62"/>
      <c r="M127" s="332" t="n">
        <f aca="false">N90</f>
        <v>1440.78371183405</v>
      </c>
      <c r="N127" s="176" t="n">
        <f aca="false">IF(M105="YES",N89*N57,0)</f>
        <v>660.114</v>
      </c>
      <c r="O127" s="176"/>
      <c r="P127" s="176" t="n">
        <f aca="false">N91</f>
        <v>1550.80271183405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1763.70759439826</v>
      </c>
      <c r="B128" s="320" t="n">
        <f aca="false">IF(A105="YES",B89,0)</f>
        <v>68.107</v>
      </c>
      <c r="C128" s="324"/>
      <c r="D128" s="320" t="n">
        <f aca="false">B91</f>
        <v>1831.81459439826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35</v>
      </c>
      <c r="H130" s="228" t="n">
        <f aca="false">B151</f>
        <v>0</v>
      </c>
      <c r="I130" s="229"/>
      <c r="J130" s="228" t="n">
        <f aca="false">B58</f>
        <v>34</v>
      </c>
      <c r="K130" s="215"/>
      <c r="L130" s="62"/>
      <c r="M130" s="227" t="n">
        <f aca="false">M155</f>
        <v>35</v>
      </c>
      <c r="N130" s="228" t="n">
        <f aca="false">B151</f>
        <v>0</v>
      </c>
      <c r="O130" s="229"/>
      <c r="P130" s="228" t="n">
        <f aca="false">B58</f>
        <v>34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Monthly in advance</v>
      </c>
      <c r="B131" s="37" t="n">
        <f aca="false">B90*B57</f>
        <v>1763.70759439826</v>
      </c>
      <c r="C131" s="316"/>
      <c r="D131" s="37" t="n">
        <f aca="false">IF(A105="YES",B89*B57,0)</f>
        <v>68.107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10418.9389476973</v>
      </c>
      <c r="H133" s="102" t="n">
        <f aca="false">IF(G105="YES",H89*H57,0)</f>
        <v>792.1368</v>
      </c>
      <c r="I133" s="220"/>
      <c r="J133" s="183" t="n">
        <f aca="false">H91*H57</f>
        <v>11211.0757476973</v>
      </c>
      <c r="K133" s="215"/>
      <c r="L133" s="62"/>
      <c r="M133" s="184" t="n">
        <f aca="false">N90*N57</f>
        <v>8644.70227100432</v>
      </c>
      <c r="N133" s="102" t="n">
        <f aca="false">IF(M105="YES",N89*N57,0)</f>
        <v>660.114</v>
      </c>
      <c r="O133" s="220"/>
      <c r="P133" s="183" t="n">
        <f aca="false">N91*N57</f>
        <v>9304.81627100432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1831.81459439826</v>
      </c>
      <c r="B134" s="37" t="n">
        <f aca="false">E114</f>
        <v>4000</v>
      </c>
      <c r="C134" s="316"/>
      <c r="D134" s="336" t="n">
        <f aca="false">B58</f>
        <v>34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0.35121</v>
      </c>
      <c r="H136" s="102" t="n">
        <f aca="false">IF(G105="YES",E15*0.000002,0)</f>
        <v>0.11707</v>
      </c>
      <c r="I136" s="102"/>
      <c r="J136" s="102" t="n">
        <f aca="false">G136+H136</f>
        <v>0.46828</v>
      </c>
      <c r="K136" s="104"/>
      <c r="L136" s="62"/>
      <c r="M136" s="110" t="n">
        <f aca="false">E15*0.000006</f>
        <v>0.35121</v>
      </c>
      <c r="N136" s="102" t="n">
        <f aca="false">IF(M105="YES",E15*0.000002,0)</f>
        <v>0.11707</v>
      </c>
      <c r="O136" s="102"/>
      <c r="P136" s="102" t="n">
        <f aca="false">M136+N136</f>
        <v>0.46828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1763.70759439826</v>
      </c>
      <c r="B137" s="37" t="n">
        <f aca="false">IF(A105="YES",B89,0)</f>
        <v>68.107</v>
      </c>
      <c r="C137" s="316"/>
      <c r="D137" s="37" t="n">
        <f aca="false">B91</f>
        <v>1831.81459439826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944.651041666667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944.651041666667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(G18*0.000006)*100</f>
        <v>34.731</v>
      </c>
      <c r="B140" s="342" t="n">
        <f aca="false">IF(A105="YES",G18*0.000002,0)*100</f>
        <v>11.577</v>
      </c>
      <c r="C140" s="316"/>
      <c r="D140" s="342" t="n">
        <f aca="false">A140+B140</f>
        <v>46.308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36.673</v>
      </c>
      <c r="H142" s="102" t="n">
        <f aca="false">G102-100</f>
        <v>99.99</v>
      </c>
      <c r="I142" s="102"/>
      <c r="J142" s="102" t="n">
        <f aca="false">(H139+J139+G142+H142)-H145</f>
        <v>1081.31404166667</v>
      </c>
      <c r="K142" s="104"/>
      <c r="L142" s="62"/>
      <c r="M142" s="110" t="n">
        <f aca="false">IF(M105="YES",((B36*N105)*0.1)*(M130),0)</f>
        <v>36.673</v>
      </c>
      <c r="N142" s="102" t="n">
        <f aca="false">M102-100</f>
        <v>99.99</v>
      </c>
      <c r="O142" s="102"/>
      <c r="P142" s="102" t="n">
        <f aca="false">(N139+P139+M142+N142)-N145</f>
        <v>1081.31404166667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110" t="n">
        <v>0</v>
      </c>
      <c r="N145" s="102" t="n">
        <f aca="false">(N139+P139+M142+N142)*(M145/N64)</f>
        <v>0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1133.58125</v>
      </c>
      <c r="B148" s="102" t="n">
        <f aca="false">B102</f>
        <v>0</v>
      </c>
      <c r="C148" s="37"/>
      <c r="D148" s="37" t="n">
        <f aca="false">IF(A105="YES",(B40*B105)*B125,0)*0.1</f>
        <v>55.0095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1288.58075</v>
      </c>
      <c r="E151" s="104"/>
      <c r="F151" s="62"/>
      <c r="G151" s="249"/>
      <c r="H151" s="251" t="n">
        <f aca="false">B51</f>
        <v>35000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35</v>
      </c>
      <c r="H152" s="73" t="n">
        <f aca="false">H91</f>
        <v>1868.51262461621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35000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35</v>
      </c>
      <c r="N155" s="73" t="n">
        <f aca="false">N91</f>
        <v>1550.80271183405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35000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35</v>
      </c>
      <c r="B161" s="73" t="n">
        <f aca="false">B91</f>
        <v>1831.81459439826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1763.70759439826</v>
      </c>
      <c r="B177" s="354" t="n">
        <f aca="false">IF(A105="YES",B89,0)</f>
        <v>68.107</v>
      </c>
      <c r="C177" s="356"/>
      <c r="D177" s="354" t="n">
        <f aca="false">B91</f>
        <v>1831.81459439826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Monthly in advance</v>
      </c>
      <c r="B180" s="102" t="n">
        <f aca="false">B90*B57</f>
        <v>1763.70759439826</v>
      </c>
      <c r="C180" s="352"/>
      <c r="D180" s="102" t="n">
        <f aca="false">IF(A105="YES",B89*B57,0)</f>
        <v>68.107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1831.81459439826</v>
      </c>
      <c r="B183" s="102" t="n">
        <f aca="false">E114</f>
        <v>4000</v>
      </c>
      <c r="C183" s="352"/>
      <c r="D183" s="360" t="n">
        <f aca="false">B58</f>
        <v>34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1763.70759439826</v>
      </c>
      <c r="B186" s="102" t="n">
        <f aca="false">IF(A105="YES",B89,0)</f>
        <v>68.107</v>
      </c>
      <c r="C186" s="352"/>
      <c r="D186" s="102" t="n">
        <f aca="false">B91</f>
        <v>1831.81459439826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34.731</v>
      </c>
      <c r="B189" s="364" t="n">
        <f aca="false">IF(A105="YES",G18*0.000002,0)*100</f>
        <v>11.577</v>
      </c>
      <c r="C189" s="352"/>
      <c r="D189" s="364" t="n">
        <f aca="false">A189+B189</f>
        <v>46.308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1133.58125</v>
      </c>
      <c r="B197" s="102" t="n">
        <f aca="false">B102</f>
        <v>0</v>
      </c>
      <c r="C197" s="102"/>
      <c r="D197" s="102" t="n">
        <f aca="false">IF(A105="YES",(B40*B105)*B125,0)*0.1</f>
        <v>55.0095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1288.58075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0.07</v>
      </c>
      <c r="C209" s="320" t="s">
        <v>216</v>
      </c>
      <c r="D209" s="369" t="n">
        <f aca="false">D64</f>
        <v>10000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1133.58125</v>
      </c>
      <c r="C211" s="319" t="s">
        <v>218</v>
      </c>
      <c r="D211" s="369" t="n">
        <f aca="false">B225+E221+B221+B223</f>
        <v>650.085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9516.50375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10000</v>
      </c>
      <c r="C217" s="373" t="s">
        <v>222</v>
      </c>
      <c r="D217" s="316"/>
      <c r="E217" s="374" t="n">
        <f aca="false">B66</f>
        <v>0.0195833333333333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1133.58125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0</v>
      </c>
      <c r="C223" s="335" t="s">
        <v>219</v>
      </c>
      <c r="D223" s="316"/>
      <c r="E223" s="32" t="n">
        <f aca="false">(B217-B211+D211)</f>
        <v>9516.50375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550.095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375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518.530032753088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A18:A20 H99 N99 G105 M105 O107 H110 N110" type="list">
      <formula1>#ref!</formula1>
      <formula2>0</formula2>
    </dataValidation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1" sqref="A191 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46854.17</v>
      </c>
      <c r="C3" s="495" t="n">
        <v>0</v>
      </c>
      <c r="D3" s="495" t="n">
        <v>833.33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</v>
      </c>
      <c r="C4" s="497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47687.5</v>
      </c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550</v>
      </c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9647.5</v>
      </c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55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58525</v>
      </c>
      <c r="F15" s="62"/>
      <c r="G15" s="273" t="n">
        <f aca="false">E15</f>
        <v>58525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57885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58525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18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45400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n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50</v>
      </c>
      <c r="B41" s="240" t="n">
        <f aca="false">IF(B38="YES",D38+A41,D38)</f>
        <v>550</v>
      </c>
      <c r="C41" s="240"/>
      <c r="D41" s="103" t="n">
        <v>6000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12</v>
      </c>
      <c r="B44" s="103" t="n">
        <v>1</v>
      </c>
      <c r="C44" s="103"/>
      <c r="D44" s="103" t="n">
        <v>1</v>
      </c>
      <c r="E44" s="103"/>
      <c r="F44" s="62"/>
      <c r="G44" s="62" t="s">
        <v>257</v>
      </c>
      <c r="H44" s="237" t="n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n">
        <v>0.01</v>
      </c>
      <c r="C47" s="425"/>
      <c r="D47" s="103" t="n">
        <v>1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 t="s">
        <v>386</v>
      </c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21" t="s">
        <v>19</v>
      </c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275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82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12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57885</v>
      </c>
      <c r="C67" s="214"/>
      <c r="D67" s="214"/>
      <c r="E67" s="215"/>
      <c r="F67" s="62"/>
      <c r="G67" s="213" t="s">
        <v>14</v>
      </c>
      <c r="H67" s="290" t="n">
        <f aca="false">G18</f>
        <v>57885</v>
      </c>
      <c r="I67" s="214"/>
      <c r="J67" s="214"/>
      <c r="K67" s="215"/>
      <c r="L67" s="62"/>
      <c r="M67" s="213" t="s">
        <v>14</v>
      </c>
      <c r="N67" s="290" t="n">
        <f aca="false">G18</f>
        <v>57885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4051.95</v>
      </c>
      <c r="C70" s="214"/>
      <c r="D70" s="290" t="n">
        <f aca="false">B70-A151</f>
        <v>4051.95</v>
      </c>
      <c r="E70" s="215" t="n">
        <f aca="false">D70/12</f>
        <v>337.6625</v>
      </c>
      <c r="F70" s="62"/>
      <c r="G70" s="284" t="s">
        <v>91</v>
      </c>
      <c r="H70" s="132" t="n">
        <f aca="false">H67*H69</f>
        <v>4051.95</v>
      </c>
      <c r="I70" s="214"/>
      <c r="J70" s="290" t="n">
        <f aca="false">H70-G151</f>
        <v>4051.95</v>
      </c>
      <c r="K70" s="215"/>
      <c r="L70" s="62"/>
      <c r="M70" s="284" t="s">
        <v>91</v>
      </c>
      <c r="N70" s="132" t="n">
        <f aca="false">N67*N69</f>
        <v>4051.95</v>
      </c>
      <c r="O70" s="214"/>
      <c r="P70" s="290" t="n">
        <f aca="false">N70-M151</f>
        <v>4051.95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578.85</v>
      </c>
      <c r="C73" s="214"/>
      <c r="D73" s="290"/>
      <c r="E73" s="215"/>
      <c r="F73" s="62"/>
      <c r="G73" s="284" t="s">
        <v>94</v>
      </c>
      <c r="H73" s="132" t="n">
        <f aca="false">H67*H72</f>
        <v>289.425</v>
      </c>
      <c r="I73" s="214"/>
      <c r="J73" s="290"/>
      <c r="K73" s="215"/>
      <c r="L73" s="62"/>
      <c r="M73" s="284" t="s">
        <v>94</v>
      </c>
      <c r="N73" s="132" t="n">
        <f aca="false">N67*N72</f>
        <v>289.425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v>0</v>
      </c>
      <c r="C83" s="214"/>
      <c r="D83" s="290" t="n">
        <f aca="false">B83</f>
        <v>0</v>
      </c>
      <c r="E83" s="215" t="n">
        <f aca="false">D83/12</f>
        <v>0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v>0</v>
      </c>
      <c r="C84" s="214"/>
      <c r="D84" s="290" t="n">
        <f aca="false">B84</f>
        <v>0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4711.95</v>
      </c>
      <c r="C87" s="214"/>
      <c r="D87" s="214"/>
      <c r="E87" s="215"/>
      <c r="F87" s="62"/>
      <c r="G87" s="302" t="s">
        <v>103</v>
      </c>
      <c r="H87" s="303" t="n">
        <f aca="false">SUM(J70:J86)</f>
        <v>7205.53333333333</v>
      </c>
      <c r="I87" s="214"/>
      <c r="J87" s="214"/>
      <c r="K87" s="215"/>
      <c r="L87" s="62"/>
      <c r="M87" s="302" t="s">
        <v>103</v>
      </c>
      <c r="N87" s="303" t="n">
        <f aca="false">SUM(P70:P86)</f>
        <v>7165.95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392.6625</v>
      </c>
      <c r="C88" s="214"/>
      <c r="D88" s="214"/>
      <c r="E88" s="215"/>
      <c r="F88" s="62"/>
      <c r="G88" s="213" t="s">
        <v>104</v>
      </c>
      <c r="H88" s="299" t="n">
        <f aca="false">H87/H29</f>
        <v>600.461111111111</v>
      </c>
      <c r="I88" s="214"/>
      <c r="J88" s="214"/>
      <c r="K88" s="215"/>
      <c r="L88" s="62"/>
      <c r="M88" s="213" t="s">
        <v>104</v>
      </c>
      <c r="N88" s="299" t="n">
        <f aca="false">N87/H29</f>
        <v>597.1625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10723.95</v>
      </c>
      <c r="C91" s="214"/>
      <c r="D91" s="214"/>
      <c r="E91" s="215"/>
      <c r="F91" s="62"/>
      <c r="G91" s="287" t="s">
        <v>115</v>
      </c>
      <c r="H91" s="130" t="n">
        <f aca="false">((H89*H29)+H87)*1.2</f>
        <v>15861.04</v>
      </c>
      <c r="I91" s="214"/>
      <c r="J91" s="214"/>
      <c r="K91" s="215"/>
      <c r="L91" s="62"/>
      <c r="M91" s="287" t="s">
        <v>115</v>
      </c>
      <c r="N91" s="130" t="n">
        <f aca="false">((N89*H29)+N87)</f>
        <v>13177.95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90.8442718838241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111.967809600645</v>
      </c>
      <c r="I92" s="214"/>
      <c r="J92" s="214"/>
      <c r="K92" s="215"/>
      <c r="L92" s="62"/>
      <c r="M92" s="213" t="s">
        <v>116</v>
      </c>
      <c r="N92" s="299" t="n">
        <f aca="false">(N91/(1-N76))*N76</f>
        <v>111.632492940702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10814.7942718838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17973.0078096006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15289.5824929407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((H44*B35)+((H44*B35)*B111))/(B63+B64)</f>
        <v>31.304347826087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IF(B105=Y104,(B93-D111)/(B64),B93/(B63+B64))</f>
        <v>470.208446603645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501.512794429732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 t="s">
        <v>287</v>
      </c>
      <c r="B105" s="311" t="s">
        <v>268</v>
      </c>
      <c r="C105" s="311"/>
      <c r="D105" s="418" t="n">
        <v>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0</v>
      </c>
      <c r="C108" s="106"/>
      <c r="D108" s="106" t="n">
        <v>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18</v>
      </c>
      <c r="B111" s="313" t="n">
        <v>0.2</v>
      </c>
      <c r="C111" s="313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/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0</v>
      </c>
      <c r="E119" s="106" t="n">
        <v>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0</v>
      </c>
      <c r="E120" s="166" t="n">
        <f aca="false">E118-E119</f>
        <v>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199.99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213"/>
      <c r="B129" s="214"/>
      <c r="C129" s="214"/>
      <c r="D129" s="214"/>
      <c r="E129" s="215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213" t="s">
        <v>182</v>
      </c>
      <c r="B130" s="171" t="n">
        <v>1200</v>
      </c>
      <c r="C130" s="171"/>
      <c r="D130" s="214"/>
      <c r="E130" s="215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213"/>
      <c r="B131" s="214"/>
      <c r="C131" s="214"/>
      <c r="D131" s="214"/>
      <c r="E131" s="215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213" t="s">
        <v>83</v>
      </c>
      <c r="B132" s="214" t="s">
        <v>84</v>
      </c>
      <c r="C132" s="214"/>
      <c r="D132" s="214" t="s">
        <v>86</v>
      </c>
      <c r="E132" s="215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227" t="n">
        <f aca="false">A158</f>
        <v>12</v>
      </c>
      <c r="B133" s="228" t="n">
        <f aca="false">B157</f>
        <v>5000</v>
      </c>
      <c r="C133" s="229"/>
      <c r="D133" s="228" t="n">
        <f aca="false">B64</f>
        <v>11</v>
      </c>
      <c r="E133" s="215"/>
      <c r="F133" s="62"/>
      <c r="G133" s="227" t="n">
        <f aca="false">G158</f>
        <v>12</v>
      </c>
      <c r="H133" s="228" t="n">
        <f aca="false">B157</f>
        <v>5000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5000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213"/>
      <c r="B134" s="214"/>
      <c r="C134" s="214"/>
      <c r="D134" s="214"/>
      <c r="E134" s="215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26" t="s">
        <v>344</v>
      </c>
      <c r="B135" s="327" t="s">
        <v>252</v>
      </c>
      <c r="C135" s="327"/>
      <c r="D135" s="327" t="s">
        <v>120</v>
      </c>
      <c r="E135" s="215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32" t="n">
        <f aca="false">B96</f>
        <v>470.208446603645</v>
      </c>
      <c r="B136" s="176" t="n">
        <f aca="false">IF(A111="YES",B95*B63,0)</f>
        <v>375.652173913043</v>
      </c>
      <c r="C136" s="176"/>
      <c r="D136" s="176" t="n">
        <f aca="false">B97</f>
        <v>501.512794429732</v>
      </c>
      <c r="E136" s="215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213"/>
      <c r="B137" s="214"/>
      <c r="C137" s="214"/>
      <c r="D137" s="214"/>
      <c r="E137" s="215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213" t="s">
        <v>345</v>
      </c>
      <c r="B138" s="214" t="s">
        <v>241</v>
      </c>
      <c r="C138" s="214"/>
      <c r="D138" s="214" t="s">
        <v>245</v>
      </c>
      <c r="E138" s="215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84" t="n">
        <f aca="false">B96*B63</f>
        <v>5642.50135924373</v>
      </c>
      <c r="B139" s="102" t="n">
        <f aca="false">IF(A111="YES",B95*B63,0)</f>
        <v>375.652173913043</v>
      </c>
      <c r="C139" s="220"/>
      <c r="D139" s="183" t="n">
        <f aca="false">B97*B63</f>
        <v>6018.15353315678</v>
      </c>
      <c r="E139" s="215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213"/>
      <c r="B140" s="214"/>
      <c r="C140" s="214"/>
      <c r="D140" s="214"/>
      <c r="E140" s="215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213" t="s">
        <v>254</v>
      </c>
      <c r="B141" s="214" t="s">
        <v>255</v>
      </c>
      <c r="C141" s="214"/>
      <c r="D141" s="214" t="s">
        <v>259</v>
      </c>
      <c r="E141" s="215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110" t="n">
        <f aca="false">E15*0.000006</f>
        <v>0.35115</v>
      </c>
      <c r="B142" s="102" t="n">
        <f aca="false">IF(A111="YES",E15*0.000002,0)</f>
        <v>0.11705</v>
      </c>
      <c r="C142" s="102"/>
      <c r="D142" s="102" t="n">
        <f aca="false">A142+B142</f>
        <v>0.4682</v>
      </c>
      <c r="E142" s="104"/>
      <c r="F142" s="62"/>
      <c r="G142" s="110" t="n">
        <f aca="false">E15*0.000006</f>
        <v>0.35115</v>
      </c>
      <c r="H142" s="102" t="n">
        <f aca="false">IF(G111="YES",E15*0.000002,0)</f>
        <v>0.11705</v>
      </c>
      <c r="I142" s="102"/>
      <c r="J142" s="102" t="n">
        <f aca="false">G142+H142</f>
        <v>0.4682</v>
      </c>
      <c r="K142" s="104"/>
      <c r="L142" s="62"/>
      <c r="M142" s="110" t="n">
        <f aca="false">E15*0.000006</f>
        <v>0.35115</v>
      </c>
      <c r="N142" s="102" t="n">
        <f aca="false">IF(M111="YES",E15*0.000002,0)</f>
        <v>0.11705</v>
      </c>
      <c r="O142" s="102"/>
      <c r="P142" s="102" t="n">
        <f aca="false">M142+N142</f>
        <v>0.4682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213"/>
      <c r="B143" s="214"/>
      <c r="C143" s="214"/>
      <c r="D143" s="214"/>
      <c r="E143" s="215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213" t="s">
        <v>140</v>
      </c>
      <c r="B144" s="214" t="s">
        <v>311</v>
      </c>
      <c r="C144" s="214"/>
      <c r="D144" s="214" t="s">
        <v>312</v>
      </c>
      <c r="E144" s="215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110" t="n">
        <f aca="false">A108</f>
        <v>199.99</v>
      </c>
      <c r="B145" s="102" t="n">
        <f aca="false">B73/1.2</f>
        <v>482.375</v>
      </c>
      <c r="C145" s="102"/>
      <c r="D145" s="102" t="n">
        <f aca="false">B108*0.9</f>
        <v>0</v>
      </c>
      <c r="E145" s="104"/>
      <c r="F145" s="62"/>
      <c r="G145" s="110" t="n">
        <f aca="false">G108</f>
        <v>239.988</v>
      </c>
      <c r="H145" s="102" t="n">
        <f aca="false">H73/1.2</f>
        <v>241.1875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241.1875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213"/>
      <c r="B146" s="214"/>
      <c r="C146" s="214"/>
      <c r="D146" s="214"/>
      <c r="E146" s="215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213" t="s">
        <v>314</v>
      </c>
      <c r="B147" s="214" t="s">
        <v>315</v>
      </c>
      <c r="C147" s="214"/>
      <c r="D147" s="214" t="s">
        <v>316</v>
      </c>
      <c r="E147" s="215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IF(A111="YES",((A41*B111)*0.1)*(A133),0)</f>
        <v>12</v>
      </c>
      <c r="B148" s="102" t="n">
        <f aca="false">A108-100</f>
        <v>99.99</v>
      </c>
      <c r="C148" s="102"/>
      <c r="D148" s="102" t="n">
        <f aca="false">(B145+D145+A148+B148)-B151</f>
        <v>594.365</v>
      </c>
      <c r="E148" s="104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1473.1755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1433.1775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213"/>
      <c r="B149" s="214"/>
      <c r="C149" s="214"/>
      <c r="D149" s="214"/>
      <c r="E149" s="215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213" t="s">
        <v>318</v>
      </c>
      <c r="B150" s="214" t="s">
        <v>319</v>
      </c>
      <c r="C150" s="214"/>
      <c r="D150" s="214"/>
      <c r="E150" s="215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v>0</v>
      </c>
      <c r="B151" s="102" t="n">
        <f aca="false">(B145+D145+A148+B148)*(A151/B70)</f>
        <v>0</v>
      </c>
      <c r="C151" s="214"/>
      <c r="D151" s="214"/>
      <c r="E151" s="215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213"/>
      <c r="B152" s="214"/>
      <c r="C152" s="214"/>
      <c r="D152" s="214"/>
      <c r="E152" s="215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213"/>
      <c r="B153" s="214"/>
      <c r="C153" s="214"/>
      <c r="D153" s="214"/>
      <c r="E153" s="215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280" t="s">
        <v>324</v>
      </c>
      <c r="B154" s="214"/>
      <c r="C154" s="214"/>
      <c r="D154" s="281"/>
      <c r="E154" s="282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213"/>
      <c r="B155" s="248"/>
      <c r="C155" s="248"/>
      <c r="D155" s="214"/>
      <c r="E155" s="215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249" t="s">
        <v>83</v>
      </c>
      <c r="B156" s="250" t="s">
        <v>84</v>
      </c>
      <c r="C156" s="250"/>
      <c r="D156" s="214"/>
      <c r="E156" s="215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249"/>
      <c r="B157" s="251" t="n">
        <f aca="false">B57</f>
        <v>5000</v>
      </c>
      <c r="C157" s="251"/>
      <c r="D157" s="214"/>
      <c r="E157" s="215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253" t="n">
        <f aca="false">A58</f>
        <v>12</v>
      </c>
      <c r="B158" s="73" t="n">
        <f aca="false">B97</f>
        <v>501.512794429732</v>
      </c>
      <c r="C158" s="73"/>
      <c r="D158" s="214"/>
      <c r="E158" s="215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13"/>
      <c r="B159" s="214"/>
      <c r="C159" s="214"/>
      <c r="D159" s="214"/>
      <c r="E159" s="215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13"/>
      <c r="B160" s="214"/>
      <c r="C160" s="214"/>
      <c r="D160" s="214"/>
      <c r="E160" s="215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13"/>
      <c r="B161" s="214"/>
      <c r="C161" s="214"/>
      <c r="D161" s="214"/>
      <c r="E161" s="215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213"/>
      <c r="B162" s="214"/>
      <c r="C162" s="214"/>
      <c r="D162" s="214"/>
      <c r="E162" s="215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284"/>
      <c r="B163" s="285"/>
      <c r="C163" s="285"/>
      <c r="D163" s="285"/>
      <c r="E163" s="286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62"/>
      <c r="B164" s="62"/>
      <c r="C164" s="62"/>
      <c r="D164" s="62"/>
      <c r="E164" s="62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62"/>
      <c r="B165" s="62"/>
      <c r="C165" s="62"/>
      <c r="D165" s="62"/>
      <c r="E165" s="62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62"/>
      <c r="B166" s="62"/>
      <c r="C166" s="62"/>
      <c r="D166" s="62"/>
      <c r="E166" s="62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62"/>
      <c r="B167" s="62"/>
      <c r="C167" s="62"/>
      <c r="D167" s="62"/>
      <c r="E167" s="62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62"/>
      <c r="B168" s="62"/>
      <c r="C168" s="62"/>
      <c r="D168" s="62"/>
      <c r="E168" s="62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62"/>
      <c r="B170" s="62"/>
      <c r="C170" s="62"/>
      <c r="D170" s="62"/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62"/>
      <c r="B171" s="62"/>
      <c r="C171" s="62"/>
      <c r="D171" s="62"/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62"/>
      <c r="B172" s="62"/>
      <c r="C172" s="62"/>
      <c r="D172" s="62"/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62"/>
      <c r="B173" s="62"/>
      <c r="C173" s="62"/>
      <c r="D173" s="62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62"/>
      <c r="B174" s="62"/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62"/>
      <c r="B175" s="62"/>
      <c r="C175" s="62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62"/>
      <c r="B177" s="62"/>
      <c r="C177" s="62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62"/>
      <c r="B178" s="62"/>
      <c r="C178" s="62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62"/>
      <c r="B179" s="62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62"/>
      <c r="B180" s="62"/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62"/>
      <c r="B181" s="62"/>
      <c r="C181" s="62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62"/>
      <c r="B182" s="62"/>
      <c r="C182" s="62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62"/>
      <c r="B183" s="62"/>
      <c r="C183" s="62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62"/>
      <c r="B184" s="62"/>
      <c r="C184" s="62"/>
      <c r="D184" s="62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62"/>
      <c r="B185" s="62"/>
      <c r="C185" s="62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62"/>
      <c r="B186" s="62"/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62"/>
      <c r="B187" s="62"/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62"/>
      <c r="B188" s="62"/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62"/>
      <c r="B189" s="62"/>
      <c r="C189" s="62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62"/>
      <c r="B190" s="62"/>
      <c r="C190" s="62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62"/>
      <c r="B191" s="62"/>
      <c r="C191" s="62"/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62"/>
      <c r="B192" s="62"/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62"/>
      <c r="B193" s="62"/>
      <c r="C193" s="62"/>
      <c r="D193" s="62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62"/>
      <c r="B194" s="62"/>
      <c r="C194" s="62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62"/>
      <c r="B195" s="62"/>
      <c r="C195" s="62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62"/>
      <c r="B196" s="62"/>
      <c r="C196" s="62"/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62"/>
      <c r="B197" s="62"/>
      <c r="C197" s="62"/>
      <c r="D197" s="62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62"/>
      <c r="B198" s="62"/>
      <c r="C198" s="62"/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62"/>
      <c r="B201" s="62"/>
      <c r="C201" s="62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62"/>
      <c r="B202" s="62"/>
      <c r="C202" s="62"/>
      <c r="D202" s="62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62"/>
      <c r="B203" s="62"/>
      <c r="C203" s="62"/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62"/>
      <c r="B204" s="62"/>
      <c r="C204" s="62"/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62"/>
      <c r="B207" s="62"/>
      <c r="C207" s="62"/>
      <c r="D207" s="62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62"/>
      <c r="B208" s="62"/>
      <c r="C208" s="62"/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62"/>
      <c r="B210" s="62"/>
      <c r="C210" s="62"/>
      <c r="D210" s="62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62"/>
      <c r="B211" s="62"/>
      <c r="C211" s="62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62"/>
      <c r="B212" s="62"/>
      <c r="C212" s="62"/>
      <c r="D212" s="62"/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62"/>
      <c r="B213" s="62"/>
      <c r="C213" s="62"/>
      <c r="D213" s="62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62"/>
      <c r="B215" s="62"/>
      <c r="C215" s="62"/>
      <c r="D215" s="62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62"/>
      <c r="B216" s="62"/>
      <c r="C216" s="62"/>
      <c r="D216" s="62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62"/>
      <c r="B217" s="62"/>
      <c r="C217" s="62"/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62"/>
      <c r="B218" s="62"/>
      <c r="C218" s="62"/>
      <c r="D218" s="62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62"/>
      <c r="B219" s="62"/>
      <c r="C219" s="62"/>
      <c r="D219" s="62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62"/>
      <c r="B220" s="62"/>
      <c r="C220" s="62"/>
      <c r="D220" s="62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62"/>
      <c r="B221" s="62"/>
      <c r="C221" s="62"/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62"/>
      <c r="B222" s="62"/>
      <c r="C222" s="62"/>
      <c r="D222" s="62"/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62"/>
      <c r="B223" s="62"/>
      <c r="C223" s="62"/>
      <c r="D223" s="62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62"/>
      <c r="B224" s="62"/>
      <c r="C224" s="62"/>
      <c r="D224" s="62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62"/>
      <c r="B225" s="62"/>
      <c r="C225" s="62"/>
      <c r="D225" s="62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62"/>
      <c r="B226" s="62"/>
      <c r="C226" s="62"/>
      <c r="D226" s="62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62"/>
      <c r="B227" s="62"/>
      <c r="C227" s="62"/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62"/>
      <c r="B228" s="62"/>
      <c r="C228" s="62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62"/>
      <c r="B229" s="62"/>
      <c r="C229" s="62"/>
      <c r="D229" s="6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62"/>
      <c r="B230" s="62"/>
      <c r="C230" s="62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62"/>
      <c r="B231" s="62"/>
      <c r="C231" s="62"/>
      <c r="D231" s="6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62"/>
      <c r="B232" s="62"/>
      <c r="C232" s="62"/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62"/>
      <c r="B233" s="62"/>
      <c r="C233" s="62"/>
      <c r="D233" s="6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62"/>
      <c r="B235" s="62"/>
      <c r="C235" s="62"/>
      <c r="D235" s="6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62"/>
      <c r="B236" s="62"/>
      <c r="C236" s="62"/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4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4" activeCellId="1" sqref="A191 B6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17895</v>
      </c>
      <c r="C3" s="495" t="n">
        <v>0</v>
      </c>
      <c r="D3" s="495" t="n">
        <v>0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</v>
      </c>
      <c r="C4" s="508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340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16745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695</v>
      </c>
      <c r="F10" s="62"/>
      <c r="G10" s="62"/>
      <c r="H10" s="62"/>
      <c r="I10" s="15" t="s">
        <v>1</v>
      </c>
      <c r="J10" s="9" t="n">
        <f aca="false">E15-E11-J8</f>
        <v>17440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3488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290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55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21268</v>
      </c>
      <c r="F15" s="62"/>
      <c r="G15" s="273" t="n">
        <f aca="false">E15</f>
        <v>21268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(B3+C3+E10+D3+E3)*1.2</f>
        <v>20928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21268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45400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n">
        <f aca="false">IF(B38="YES",D38+A41,D38)</f>
        <v>500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0</v>
      </c>
      <c r="C44" s="103"/>
      <c r="D44" s="278" t="n">
        <f aca="false">A44+B44</f>
        <v>1</v>
      </c>
      <c r="E44" s="278"/>
      <c r="F44" s="62"/>
      <c r="G44" s="62" t="s">
        <v>257</v>
      </c>
      <c r="H44" s="237" t="n">
        <f aca="false">((A41*(B35-1))+D32)/B35</f>
        <v>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 t="s">
        <v>4</v>
      </c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501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1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11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20928</v>
      </c>
      <c r="C61" s="214"/>
      <c r="D61" s="214"/>
      <c r="E61" s="215"/>
      <c r="F61" s="62"/>
      <c r="G61" s="213" t="s">
        <v>14</v>
      </c>
      <c r="H61" s="290" t="n">
        <f aca="false">G18</f>
        <v>20928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B62+(B62*0.25*(H29/12-1))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1464.96</v>
      </c>
      <c r="C64" s="214" t="n">
        <v>10000</v>
      </c>
      <c r="D64" s="290" t="n">
        <f aca="false">B64</f>
        <v>1464.96</v>
      </c>
      <c r="E64" s="215"/>
      <c r="F64" s="62"/>
      <c r="G64" s="284" t="s">
        <v>91</v>
      </c>
      <c r="H64" s="132" t="n">
        <f aca="false">H61*H63</f>
        <v>1464.96</v>
      </c>
      <c r="I64" s="214"/>
      <c r="J64" s="290" t="n">
        <f aca="false">H64</f>
        <v>1464.96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209.28</v>
      </c>
      <c r="C67" s="214"/>
      <c r="D67" s="290"/>
      <c r="E67" s="215"/>
      <c r="F67" s="62"/>
      <c r="G67" s="284" t="s">
        <v>94</v>
      </c>
      <c r="H67" s="132" t="n">
        <f aca="false">H61*H66</f>
        <v>104.64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 t="n">
        <f aca="false">IF(G18&gt;40000,325,0)</f>
        <v>0</v>
      </c>
      <c r="D75" s="214"/>
      <c r="E75" s="215"/>
      <c r="F75" s="62"/>
      <c r="G75" s="294" t="s">
        <v>281</v>
      </c>
      <c r="H75" s="298" t="n">
        <f aca="false">IF(G18&gt;40000,325,0)</f>
        <v>0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12.5</v>
      </c>
      <c r="I76" s="214"/>
      <c r="J76" s="290" t="n">
        <f aca="false">H76</f>
        <v>12.5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2791.62666666667</v>
      </c>
      <c r="C81" s="214"/>
      <c r="D81" s="214"/>
      <c r="E81" s="215"/>
      <c r="F81" s="62"/>
      <c r="G81" s="302" t="s">
        <v>103</v>
      </c>
      <c r="H81" s="303" t="n">
        <f aca="false">SUM(J64:J80)</f>
        <v>3091.46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232.635555555556</v>
      </c>
      <c r="C82" s="214"/>
      <c r="D82" s="214"/>
      <c r="E82" s="215"/>
      <c r="F82" s="62"/>
      <c r="G82" s="213" t="s">
        <v>104</v>
      </c>
      <c r="H82" s="299" t="n">
        <f aca="false">H81/H29</f>
        <v>257.621666666667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((B83*(H29)+B81))*1.2</f>
        <v>10564.352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10924.152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(((B83*(H29))+B81)/(1-B70))*B70</f>
        <v>74.5769100443727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77.1168455022186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10638.9289100444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10901.2788455022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IF(B99=Z102,(((H44*B35)+(H44*B35)*(B105/100))/(B58))*1.2,(((H44*B35)+(H44*B35)*(B105/100))/(B57+B58))*1.2)</f>
        <v>0</v>
      </c>
      <c r="C89" s="214"/>
      <c r="D89" s="214"/>
      <c r="E89" s="215"/>
      <c r="F89" s="62"/>
      <c r="G89" s="302" t="s">
        <v>118</v>
      </c>
      <c r="H89" s="303" t="n">
        <f aca="false">(A41+(A41*H105))*1.2</f>
        <v>0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886.577409170364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908.439903791851</v>
      </c>
      <c r="I90" s="214"/>
      <c r="J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886.577409170364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908.439903791851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285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f aca="false">199.99*1.2</f>
        <v>239.99</v>
      </c>
      <c r="B102" s="106" t="n">
        <v>0</v>
      </c>
      <c r="C102" s="106"/>
      <c r="D102" s="106" t="n">
        <v>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19</v>
      </c>
      <c r="B105" s="311" t="n">
        <v>0</v>
      </c>
      <c r="C105" s="311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/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239.988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((E118)+E117)-E114</f>
        <v>-2760.012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886.577409170364</v>
      </c>
      <c r="B128" s="320" t="n">
        <f aca="false">IF(A105="YES",B89,0)</f>
        <v>0</v>
      </c>
      <c r="C128" s="325"/>
      <c r="D128" s="320" t="n">
        <f aca="false">B91</f>
        <v>886.577409170364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908.439903791851</v>
      </c>
      <c r="H130" s="176" t="n">
        <f aca="false">IF(G105="YES",H89*H57,0)</f>
        <v>0</v>
      </c>
      <c r="I130" s="176"/>
      <c r="J130" s="333" t="n">
        <f aca="false">H91</f>
        <v>908.439903791851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Monthly in advance</v>
      </c>
      <c r="B131" s="37" t="n">
        <f aca="false">B90*B57</f>
        <v>886.577409170364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908.439903791851</v>
      </c>
      <c r="H133" s="102" t="n">
        <f aca="false">IF(G105="YES",H89*H57,0)</f>
        <v>0</v>
      </c>
      <c r="I133" s="220"/>
      <c r="J133" s="183" t="n">
        <f aca="false">H91*H57</f>
        <v>908.439903791851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886.577409170364</v>
      </c>
      <c r="B134" s="37" t="n">
        <f aca="false">E114</f>
        <v>4000</v>
      </c>
      <c r="C134" s="316"/>
      <c r="D134" s="336" t="n">
        <f aca="false">B58</f>
        <v>11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0.127608</v>
      </c>
      <c r="H136" s="102" t="n">
        <f aca="false">IF(G105="YES",E15*0.000002,0)</f>
        <v>0.042536</v>
      </c>
      <c r="I136" s="102"/>
      <c r="J136" s="102" t="n">
        <f aca="false">G136+H136</f>
        <v>0.170144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886.577409170364</v>
      </c>
      <c r="B137" s="37" t="n">
        <f aca="false">IF(A105="YES",B89,0)</f>
        <v>0</v>
      </c>
      <c r="C137" s="316"/>
      <c r="D137" s="37" t="n">
        <f aca="false">B91</f>
        <v>886.577409170364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104.64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(G18*0.000006)*1.2*100</f>
        <v>15.06816</v>
      </c>
      <c r="B140" s="342" t="n">
        <f aca="false">G18*0.000002*1.2*100</f>
        <v>5.02272</v>
      </c>
      <c r="C140" s="316"/>
      <c r="D140" s="342" t="n">
        <f aca="false">A140+B140</f>
        <v>20.09088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0</v>
      </c>
      <c r="H142" s="102" t="n">
        <f aca="false">G102-100</f>
        <v>139.988</v>
      </c>
      <c r="I142" s="102"/>
      <c r="J142" s="102" t="n">
        <f aca="false">(H139+J139+G142+H142)-H145</f>
        <v>1324.628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239.988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209.28</v>
      </c>
      <c r="B148" s="37" t="n">
        <f aca="false">B102</f>
        <v>400</v>
      </c>
      <c r="C148" s="37"/>
      <c r="D148" s="37" t="n">
        <f aca="false">IF(A105="YES",(A38/100*B105)*B125,0)*0.001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(E118/1.2)-100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709.27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908.439903791851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886.577409170364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886.577409170364</v>
      </c>
      <c r="B171" s="354" t="n">
        <f aca="false">IF(A105="YES",B89,0)</f>
        <v>0</v>
      </c>
      <c r="C171" s="357"/>
      <c r="D171" s="354" t="n">
        <f aca="false">B91</f>
        <v>886.577409170364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Monthly in advance</v>
      </c>
      <c r="B174" s="102" t="n">
        <f aca="false">B90*B57</f>
        <v>886.577409170364</v>
      </c>
      <c r="C174" s="352"/>
      <c r="D174" s="102" t="n">
        <f aca="false">IF(A105="YES",B89*B57,0)</f>
        <v>0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886.577409170364</v>
      </c>
      <c r="B177" s="102" t="n">
        <f aca="false">E114</f>
        <v>4000</v>
      </c>
      <c r="C177" s="352"/>
      <c r="D177" s="360" t="n">
        <f aca="false">B58</f>
        <v>11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886.577409170364</v>
      </c>
      <c r="B180" s="102" t="n">
        <f aca="false">IF(A105="YES",B89,0)</f>
        <v>0</v>
      </c>
      <c r="C180" s="352"/>
      <c r="D180" s="102" t="n">
        <f aca="false">B91</f>
        <v>886.577409170364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(G18*0.000006)*1.2*100</f>
        <v>15.06816</v>
      </c>
      <c r="B183" s="364" t="n">
        <f aca="false">G18*0.000002*1.2*100</f>
        <v>5.02272</v>
      </c>
      <c r="C183" s="352"/>
      <c r="D183" s="364" t="n">
        <f aca="false">A183+B183</f>
        <v>20.09088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239.988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209.28</v>
      </c>
      <c r="B191" s="102" t="n">
        <f aca="false">B102</f>
        <v>400</v>
      </c>
      <c r="C191" s="102"/>
      <c r="D191" s="102" t="n">
        <f aca="false">IF(A105="YES",(A38/100*B105)*B125,0)*0.001</f>
        <v>0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(E118/1.2)-100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709.27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B209</f>
        <v>0.065</v>
      </c>
      <c r="C203" s="320" t="s">
        <v>216</v>
      </c>
      <c r="D203" s="369" t="n">
        <f aca="false">D64</f>
        <v>1464.96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209.28</v>
      </c>
      <c r="C205" s="319" t="s">
        <v>218</v>
      </c>
      <c r="D205" s="369" t="n">
        <f aca="false">B219+E215+B215+B217</f>
        <v>339.99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1595.67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1464.96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209.28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1595.67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74.5769100443727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operator="between" showDropDown="false" showErrorMessage="true" showInputMessage="false" sqref="A18:A20 H99 N99:O99 G105 M105 O107 H110 N110" type="list">
      <formula1>#ref!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87" colorId="64" zoomScale="85" zoomScaleNormal="85" zoomScalePageLayoutView="100" workbookViewId="0">
      <selection pane="topLeft" activeCell="B184" activeCellId="1" sqref="A191 B18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46854.17</v>
      </c>
      <c r="C3" s="495" t="n">
        <v>0</v>
      </c>
      <c r="D3" s="495" t="n">
        <v>833.33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</v>
      </c>
      <c r="C4" s="497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47687.5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550</v>
      </c>
      <c r="F10" s="62"/>
      <c r="G10" s="62"/>
      <c r="H10" s="62"/>
      <c r="I10" s="15" t="s">
        <v>1</v>
      </c>
      <c r="J10" s="9" t="n">
        <f aca="false">E15-E11-J8</f>
        <v>48237.5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9647.5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58535</v>
      </c>
      <c r="F15" s="62"/>
      <c r="G15" s="273" t="n">
        <f aca="false">E15</f>
        <v>58535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(B3+C3+E10+D3+E3)*1.2</f>
        <v>57885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58535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45400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384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n">
        <f aca="false">IF(B38="YES",D38+A41,D38)</f>
        <v>500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0</v>
      </c>
      <c r="C44" s="103"/>
      <c r="D44" s="278" t="n">
        <f aca="false">A44+B44</f>
        <v>1</v>
      </c>
      <c r="E44" s="278"/>
      <c r="F44" s="62"/>
      <c r="G44" s="62" t="s">
        <v>257</v>
      </c>
      <c r="H44" s="237" t="n">
        <f aca="false">((A41*(B35-1))+D32)/B35</f>
        <v>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 t="n">
        <f aca="false">(A41*(B58+B57))</f>
        <v>0</v>
      </c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501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9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3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57885</v>
      </c>
      <c r="C61" s="214"/>
      <c r="D61" s="214"/>
      <c r="E61" s="215"/>
      <c r="F61" s="62"/>
      <c r="G61" s="213" t="s">
        <v>14</v>
      </c>
      <c r="H61" s="290" t="n">
        <f aca="false">G18</f>
        <v>57885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B62+(B62*0.25*(H29/12-1))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4051.95</v>
      </c>
      <c r="C64" s="214" t="n">
        <v>10000</v>
      </c>
      <c r="D64" s="290" t="n">
        <f aca="false">B64</f>
        <v>4051.95</v>
      </c>
      <c r="E64" s="215"/>
      <c r="F64" s="62"/>
      <c r="G64" s="284" t="s">
        <v>91</v>
      </c>
      <c r="H64" s="132" t="n">
        <f aca="false">H61*H63</f>
        <v>4051.95</v>
      </c>
      <c r="I64" s="214"/>
      <c r="J64" s="290" t="n">
        <f aca="false">H64</f>
        <v>4051.95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578.85</v>
      </c>
      <c r="C67" s="214"/>
      <c r="D67" s="290"/>
      <c r="E67" s="215"/>
      <c r="F67" s="62"/>
      <c r="G67" s="284" t="s">
        <v>94</v>
      </c>
      <c r="H67" s="132" t="n">
        <f aca="false">H61*H66</f>
        <v>289.425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f aca="false">IF(G18&gt;40000,325,0)</f>
        <v>325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39.5833333333333</v>
      </c>
      <c r="I76" s="214"/>
      <c r="J76" s="290" t="n">
        <f aca="false">H76</f>
        <v>39.5833333333333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5378.61666666667</v>
      </c>
      <c r="C81" s="214"/>
      <c r="D81" s="214"/>
      <c r="E81" s="215"/>
      <c r="F81" s="62"/>
      <c r="G81" s="302" t="s">
        <v>103</v>
      </c>
      <c r="H81" s="303" t="n">
        <f aca="false">SUM(J64:J80)</f>
        <v>5705.53333333333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448.218055555556</v>
      </c>
      <c r="C82" s="214"/>
      <c r="D82" s="214"/>
      <c r="E82" s="215"/>
      <c r="F82" s="62"/>
      <c r="G82" s="213" t="s">
        <v>104</v>
      </c>
      <c r="H82" s="299" t="n">
        <f aca="false">H81/H29</f>
        <v>475.461111111111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</f>
        <v>11390.6166666667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14061.04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(B85/(1-B70))*B70</f>
        <v>96.4917103670835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99.2610730133118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11487.1083770338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14060.3110730133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IF(B99=Z102,(((H44*B35)+(H44*B35)*(B105/100))/(B58)),(((H44*B35)+(H44*B35)*(B105/100))/(B57+B58)))</f>
        <v>0</v>
      </c>
      <c r="C89" s="214" t="s">
        <v>4</v>
      </c>
      <c r="D89" s="214"/>
      <c r="E89" s="215"/>
      <c r="F89" s="62"/>
      <c r="G89" s="302" t="s">
        <v>118</v>
      </c>
      <c r="H89" s="303" t="n">
        <f aca="false">(A41+(A41*H105))*1.2</f>
        <v>0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957.259031419479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1171.69258941778</v>
      </c>
      <c r="I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957.259031419479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1171.69258941778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352</v>
      </c>
      <c r="C99" s="311"/>
      <c r="D99" s="106" t="n">
        <v>1000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19</v>
      </c>
      <c r="B105" s="311" t="n">
        <v>0</v>
      </c>
      <c r="C105" s="311"/>
      <c r="D105" s="106" t="s">
        <v>353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/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((E118*1.2)+E117)-E114</f>
        <v>-2760.012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957.259031419479</v>
      </c>
      <c r="B128" s="320" t="n">
        <f aca="false">IF(A105="YES",B89,0)</f>
        <v>0</v>
      </c>
      <c r="C128" s="325"/>
      <c r="D128" s="320" t="n">
        <f aca="false">B91</f>
        <v>957.259031419479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1171.69258941778</v>
      </c>
      <c r="H130" s="176" t="n">
        <f aca="false">IF(G105="YES",H89*H57,0)</f>
        <v>0</v>
      </c>
      <c r="I130" s="176"/>
      <c r="J130" s="333" t="n">
        <f aca="false">H91</f>
        <v>1171.69258941778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Terminal pause with 9 down</v>
      </c>
      <c r="B131" s="37" t="n">
        <f aca="false">B90*B57</f>
        <v>8615.33128277531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1171.69258941778</v>
      </c>
      <c r="H133" s="102" t="n">
        <f aca="false">IF(G105="YES",H89*H57,0)</f>
        <v>0</v>
      </c>
      <c r="I133" s="220"/>
      <c r="J133" s="183" t="n">
        <f aca="false">H91*H57</f>
        <v>1171.69258941778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8615.33128277531</v>
      </c>
      <c r="B134" s="37" t="n">
        <f aca="false">E114</f>
        <v>4000</v>
      </c>
      <c r="C134" s="316"/>
      <c r="D134" s="336" t="n">
        <f aca="false">B58</f>
        <v>3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0.35121</v>
      </c>
      <c r="H136" s="102" t="n">
        <f aca="false">IF(G105="YES",E15*0.000002,0)</f>
        <v>0.11707</v>
      </c>
      <c r="I136" s="102"/>
      <c r="J136" s="102" t="n">
        <f aca="false">G136+H136</f>
        <v>0.46828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957.259031419479</v>
      </c>
      <c r="B137" s="37" t="n">
        <f aca="false">IF(A105="YES",B89,0)</f>
        <v>0</v>
      </c>
      <c r="C137" s="316"/>
      <c r="D137" s="37" t="n">
        <f aca="false">B91</f>
        <v>957.259031419479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289.425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(G18*0.000006)*100</f>
        <v>34.731</v>
      </c>
      <c r="B140" s="342" t="n">
        <f aca="false">G18*0.000002*100</f>
        <v>11.577</v>
      </c>
      <c r="C140" s="316"/>
      <c r="D140" s="342" t="n">
        <f aca="false">A140+B140</f>
        <v>46.308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0</v>
      </c>
      <c r="H142" s="102" t="n">
        <f aca="false">G102-100</f>
        <v>139.988</v>
      </c>
      <c r="I142" s="102"/>
      <c r="J142" s="102" t="n">
        <f aca="false">(H139+J139+G142+H142)-H145</f>
        <v>1509.413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578.85</v>
      </c>
      <c r="B148" s="37" t="n">
        <f aca="false">B102</f>
        <v>400</v>
      </c>
      <c r="C148" s="37"/>
      <c r="D148" s="37" t="n">
        <f aca="false">IF(A105="YES",(A38/100*B105)*B125,0)*0.001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1078.84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1171.69258941778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957.259031419479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957.259031419479</v>
      </c>
      <c r="B171" s="354" t="n">
        <f aca="false">IF(A105="YES",B89,0)</f>
        <v>0</v>
      </c>
      <c r="C171" s="357"/>
      <c r="D171" s="354" t="n">
        <f aca="false">B91</f>
        <v>957.259031419479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Terminal pause with 9 down</v>
      </c>
      <c r="B174" s="102" t="n">
        <f aca="false">B90*B57</f>
        <v>8615.33128277531</v>
      </c>
      <c r="C174" s="352"/>
      <c r="D174" s="102" t="n">
        <f aca="false">IF(A105="YES",B89*B57,0)</f>
        <v>0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8615.33128277531</v>
      </c>
      <c r="B177" s="102" t="n">
        <f aca="false">E114</f>
        <v>4000</v>
      </c>
      <c r="C177" s="352"/>
      <c r="D177" s="360" t="n">
        <f aca="false">B58</f>
        <v>3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957.259031419479</v>
      </c>
      <c r="B180" s="102" t="n">
        <f aca="false">IF(A105="YES",B89,0)</f>
        <v>0</v>
      </c>
      <c r="C180" s="352"/>
      <c r="D180" s="102" t="n">
        <f aca="false">B91</f>
        <v>957.259031419479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(G18*0.000006)*100</f>
        <v>34.731</v>
      </c>
      <c r="B183" s="364" t="n">
        <f aca="false">G18*0.000002*100</f>
        <v>11.577</v>
      </c>
      <c r="C183" s="352"/>
      <c r="D183" s="364" t="n">
        <f aca="false">A183+B183</f>
        <v>46.308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199.99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578.85</v>
      </c>
      <c r="B191" s="102" t="n">
        <f aca="false">B102</f>
        <v>400</v>
      </c>
      <c r="C191" s="102"/>
      <c r="D191" s="102" t="n">
        <f aca="false">IF(A105="YES",(A38/100*B105)*B125,0)*0.001</f>
        <v>0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E118-100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1078.84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B209</f>
        <v>0.065</v>
      </c>
      <c r="C203" s="320" t="s">
        <v>216</v>
      </c>
      <c r="D203" s="369" t="n">
        <f aca="false">D64</f>
        <v>4051.95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578.85</v>
      </c>
      <c r="C205" s="319" t="s">
        <v>218</v>
      </c>
      <c r="D205" s="369" t="n">
        <f aca="false">B219+E215+B215+B217</f>
        <v>339.99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3813.09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4051.95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578.85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3813.09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96.4917103670835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operator="between" showDropDown="false" showErrorMessage="true" showInputMessage="false" sqref="A18:A20 H99 N99:O99 G105 M105 O107 H110 N110" type="list">
      <formula1>#ref!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A32 B99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76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2020-12-02T11:02:00Z</dcterms:created>
  <dc:creator>Kushal Panchal</dc:creator>
  <dc:language>en-US</dc:language>
  <dcterms:modified xsi:type="dcterms:W3CDTF">2024-04-17T20:16:05Z</dcterms:modified>
  <cp:revision>932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ICV">
    <vt:lpwstr>CE3AEC47E53A4CF5B6673284C36DFA3F_12</vt:lpwstr>
  </property>
  <property fmtid="{D5CDD505-2E9C-101B-9397-08002B2CF9AE}" pid="5" name="KSOProductBuildVer">
    <vt:lpwstr>1033-12.2.0.13489</vt:lpwstr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