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4"/>
  </bookViews>
  <sheets>
    <sheet name="CP(F2)-PCP_Used_car" sheetId="1" state="visible" r:id="rId2"/>
    <sheet name="CP(F2)-CP_Used_car" sheetId="2" state="visible" r:id="rId3"/>
    <sheet name="HPNR(F3)-PCP_Used_car" sheetId="3" state="visible" r:id="rId4"/>
    <sheet name="HPNR(F3)-CP_Used_car" sheetId="4" state="visible" r:id="rId5"/>
    <sheet name="HPNR(F3)-HPR_Used_car" sheetId="5" state="visible" r:id="rId6"/>
    <sheet name="HPNR(F3)-HPNR_Used_car" sheetId="6" state="visible" r:id="rId7"/>
    <sheet name="CP(F3)-PCH_Used_car" sheetId="7" state="visible" r:id="rId8"/>
    <sheet name="CP(F3)-BCH_Used_car" sheetId="8" state="visible" r:id="rId9"/>
    <sheet name="FL(F3)-FL_Used_car" sheetId="9" state="visible" r:id="rId10"/>
    <sheet name="FL(F3)-PCH_Used_car" sheetId="10" state="visible" r:id="rId11"/>
    <sheet name="FL(F3)-BCH_Used_car" sheetId="11" state="visible" r:id="rId12"/>
    <sheet name="HPNR (F3)-FL_Used_car" sheetId="12" state="visible" r:id="rId13"/>
    <sheet name="HPNR (F3)-PCH_Used_car" sheetId="13" state="visible" r:id="rId14"/>
    <sheet name="HPNR (F3)-BCH_Used_car" sheetId="14" state="visible" r:id="rId15"/>
    <sheet name="PCP_used_car" sheetId="15" state="visible" r:id="rId16"/>
    <sheet name="CP_used_car" sheetId="16" state="visible" r:id="rId17"/>
    <sheet name="HPR_used_car" sheetId="17" state="visible" r:id="rId18"/>
    <sheet name="HPNR_used_car" sheetId="18" state="visible" r:id="rId19"/>
    <sheet name="BCH-F3-PCH_Used_car" sheetId="19" state="visible" r:id="rId20"/>
    <sheet name="BCH-F3-BCH_Used_car" sheetId="20" state="visible" r:id="rId21"/>
    <sheet name="Formula1-FL_Used_car" sheetId="21" state="visible" r:id="rId22"/>
    <sheet name="Formula1-PCH_Used_car" sheetId="22" state="visible" r:id="rId23"/>
    <sheet name="CP (Formula 3) - PCH" sheetId="23" state="visible" r:id="rId24"/>
    <sheet name="CP (Formula 3) - BCH" sheetId="24" state="visible" r:id="rId25"/>
    <sheet name="CP (Formula 2) - CP" sheetId="25" state="visible" r:id="rId26"/>
    <sheet name="CP (Formula 2) - PCP" sheetId="26" state="visible" r:id="rId27"/>
    <sheet name="Formula1-BCH_Used_car" sheetId="27" state="visible" r:id="rId28"/>
    <sheet name="HPNR (Formula 3) - PCP" sheetId="28" state="visible" r:id="rId29"/>
    <sheet name="HPNR (Formula 3) - CP" sheetId="29" state="visible" r:id="rId30"/>
    <sheet name="HPNR (Formula 3) - HPR" sheetId="30" state="visible" r:id="rId31"/>
    <sheet name="HPNR (Formula 3) - FL" sheetId="31" state="visible" r:id="rId32"/>
    <sheet name="HPNR (Formula 3) - PCH" sheetId="32" state="visible" r:id="rId33"/>
    <sheet name="HPNR (Formula 3) - BCH" sheetId="33" state="visible" r:id="rId34"/>
    <sheet name="HPNR (Formula 3) - HPNR" sheetId="34" state="visible" r:id="rId35"/>
    <sheet name="FL (Formula 3) - FL" sheetId="35" state="visible" r:id="rId36"/>
    <sheet name="FL (Formula 3) - PCH" sheetId="36" state="visible" r:id="rId37"/>
    <sheet name="FL (Formula 3) - BCH" sheetId="37" state="visible" r:id="rId38"/>
    <sheet name="HirePurchaseNonRegulated" sheetId="38" state="visible" r:id="rId39"/>
    <sheet name="HirePurchaseRegulated" sheetId="39" state="visible" r:id="rId40"/>
    <sheet name="PersonalContractPurchase" sheetId="40" state="visible" r:id="rId41"/>
    <sheet name="ContractPurchase" sheetId="41" state="visible" r:id="rId42"/>
    <sheet name="Formula1-FL" sheetId="42" state="visible" r:id="rId43"/>
    <sheet name="Formula1-PCH" sheetId="43" state="visible" r:id="rId44"/>
    <sheet name="Formula1-BCH" sheetId="44" state="visible" r:id="rId45"/>
    <sheet name="FL (Formula 3) - BCH, PCH, FL" sheetId="45" state="visible" r:id="rId46"/>
    <sheet name="BCH (Formula 3) - PCH" sheetId="46" state="visible" r:id="rId47"/>
    <sheet name="BCH (Formula 3) - BCH" sheetId="47" state="visible" r:id="rId48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<sst xmlns="http://schemas.openxmlformats.org/spreadsheetml/2006/main" count="21352" uniqueCount="393">
  <si>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</si>
  <si>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</si>
  <si>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</si>
  <si>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</si>
  <si>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</si>
  <si>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</si>
  <si>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</si>
  <si>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</si>
  <si>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</si>
  <si>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</si>
  <si>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</si>
  <si>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</si>
  <si>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</si>
  <si>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</si>
  <si>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</si>
  <si>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</si>
  <si>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</si>
  <si>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</si>
  <si>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</si>
  <si>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</si>
  <si>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</si>
  <si>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</si>
  <si>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</si>
  <si>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</si>
  <si>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</si>
  <si>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</si>
  <si>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</si>
  <si>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</si>
  <si>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</si>
  <si>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</si>
  <si>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</si>
  <si>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</si>
  <si>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</si>
  <si>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</si>
  <si>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</si>
  <si>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</si>
  <si>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</si>
  <si>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</si>
  <si>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</si>
  <si>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</si>
  <si>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</si>
  <si>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</si>
  <si>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</si>
  <si>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</si>
  <si>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</si>
  <si>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</si>
  <si>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</si>
  <si>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</si>
  <si>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</si>
  <si>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</si>
  <si>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</si>
  <si>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</si>
  <si>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</si>
  <si>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</si>
  <si>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</si>
  <si>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</si>
  <si>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</si>
  <si>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</si>
  <si>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</si>
  <si>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</si>
  <si>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</si>
  <si>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</si>
  <si>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</si>
  <si>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</si>
  <si>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6000</t>
  </si>
  <si>
    <t xml:space="preserve">20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</si>
  <si>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</si>
  <si>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</si>
  <si>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</si>
  <si>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</si>
  <si>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</si>
  <si>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</si>
  <si>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</si>
  <si>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</si>
  <si>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</si>
  <si>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</si>
  <si>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</si>
  <si>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</si>
  <si>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</si>
  <si>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</si>
  <si>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</si>
  <si>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</si>
  <si>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364.17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</si>
  <si>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</si>
  <si>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</si>
  <si>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</si>
  <si>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</si>
  <si>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</si>
  <si>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</si>
  <si>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</si>
  <si>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</si>
  <si>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</si>
  <si>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</si>
  <si>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</si>
  <si>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</si>
  <si>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</si>
  <si>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</si>
  <si>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</si>
  <si>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</si>
  <si>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</si>
  <si>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</si>
  <si>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</si>
  <si>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</si>
  <si>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</si>
  <si>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</si>
  <si>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</si>
  <si>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</si>
  <si>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</si>
  <si>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</si>
  <si>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</si>
  <si>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</si>
  <si>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</si>
  <si>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</si>
  <si>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</si>
  <si>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</si>
  <si>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</si>
  <si>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</si>
  <si>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</si>
  <si>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</si>
  <si>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</si>
  <si>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</si>
  <si>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</si>
  <si>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</si>
  <si>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</si>
  <si>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</si>
  <si>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</si>
  <si>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</si>
  <si>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</si>
  <si>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</si>
  <si>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</si>
  <si>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</si>
  <si>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</si>
  <si>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</si>
  <si>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</si>
  <si>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</si>
  <si>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</si>
  <si>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</si>
  <si>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</si>
  <si>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</si>
  <si>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</si>
  <si>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</si>
  <si>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</si>
  <si>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</si>
  <si>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</si>
  <si>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</si>
  <si>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</si>
  <si>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</si>
  <si>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</si>
  <si>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</si>
  <si>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</si>
  <si>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</si>
  <si>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</si>
  <si>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</si>
  <si>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</si>
  <si>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</si>
  <si>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</si>
  <si>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</si>
  <si>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</si>
  <si>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</si>
  <si>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</si>
  <si>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</si>
  <si>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</si>
  <si>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</si>
  <si>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</si>
  <si>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</si>
  <si>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</si>
  <si>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</si>
  <si>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</si>
  <si>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</si>
  <si>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</si>
  <si>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</si>
  <si>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</si>
  <si>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</si>
  <si>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</si>
  <si>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</si>
  <si>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</si>
  <si>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</si>
  <si>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</si>
  <si>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</si>
  <si>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</si>
  <si>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</si>
  <si>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</si>
  <si>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</si>
  <si>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</si>
  <si>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</si>
  <si>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</si>
  <si>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</si>
  <si>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</si>
  <si>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</si>
  <si>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</si>
  <si>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</si>
  <si>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</si>
  <si>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</si>
  <si>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</si>
  <si>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</si>
  <si>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</si>
  <si>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</si>
  <si>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</si>
  <si>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</si>
  <si>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</si>
  <si>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</si>
  <si>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</si>
  <si>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</si>
  <si>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</si>
  <si>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</si>
  <si>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</si>
  <si>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</si>
  <si>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</si>
  <si>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</si>
  <si>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</si>
  <si>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</si>
  <si>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</si>
  <si>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</si>
  <si>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</si>
  <si>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</si>
  <si>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</si>
  <si>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</si>
  <si>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</si>
  <si>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</si>
  <si>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</si>
  <si>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</si>
  <si>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</si>
  <si>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</si>
  <si>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</si>
  <si>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</si>
  <si>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</si>
  <si>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</si>
  <si>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</si>
  <si>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</si>
  <si>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</si>
  <si>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</si>
  <si>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</si>
  <si>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</si>
  <si>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</si>
  <si>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</si>
  <si>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</si>
  <si>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</si>
  <si>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</si>
  <si>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</si>
  <si>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</si>
  <si>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</si>
  <si>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</si>
  <si>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</si>
  <si>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</si>
  <si>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</si>
  <si>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</si>
  <si>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</si>
  <si>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</si>
  <si>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</si>
  <si>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</si>
  <si>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</si>
  <si>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</si>
  <si>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</si>
  <si>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</si>
  <si>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</si>
  <si>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</si>
  <si>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</si>
  <si>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</si>
  <si>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</si>
  <si>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</si>
  <si>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</si>
  <si>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</si>
  <si>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</si>
  <si>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</si>
  <si>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</si>
  <si>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</si>
  <si>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</si>
  <si>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</si>
  <si>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</si>
  <si>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</si>
  <si>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</si>
  <si>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</si>
  <si>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</si>
  <si>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</si>
  <si>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</si>
  <si>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</si>
  <si>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</si>
  <si>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</si>
  <si>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</si>
  <si>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</si>
  <si>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</si>
  <si>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</si>
  <si>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Referrer commision</t>
  </si>
  <si>
    <t xml:space="preserve">Refferal commision</t>
  </si>
  <si>
    <t xml:space="preserve">Customer Quote - Business Contract Hire</t>
  </si>
  <si>
    <t xml:space="preserve">Customer Quote - Personal Contract Hire</t>
  </si>
  <si>
    <t xml:space="preserve">Customer Quote - Finance Lease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</si>
  <si>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</si>
  <si>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</si>
  <si>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</si>
  <si>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</si>
  <si>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</si>
  <si>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With balloon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</si>
  <si>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</si>
  <si>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</si>
  <si>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</si>
  <si>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</si>
  <si>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</si>
  <si>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</si>
  <si>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</si>
  <si>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</si>
  <si>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</si>
  <si>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Monthly finance rental (Ex.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</si>
  <si>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</si>
  <si>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</si>
  <si>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</si>
  <si>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</si>
  <si>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</si>
  <si>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Initial finance rental (Ex.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</si>
  <si>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</si>
  <si>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</si>
  <si>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</si>
  <si>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</si>
  <si>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</si>
  <si>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</si>
  <si>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</si>
  <si>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</si>
  <si>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</si>
  <si>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</si>
  <si>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</si>
  <si>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</si>
  <si>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</si>
  <si>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</si>
  <si>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</si>
  <si>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</si>
  <si>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</si>
  <si>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</si>
  <si>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</si>
  <si>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Final Balloon Payment</t>
  </si>
  <si>
    <t xml:space="preserve">Percentage of sales proceeds to customer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</si>
  <si>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</si>
  <si>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</si>
  <si>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</si>
  <si>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</si>
  <si>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</si>
  <si>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</si>
  <si>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</si>
  <si>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</si>
  <si>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</si>
  <si>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 Terminal pause with 9 down </t>
  </si>
  <si>
    <t xml:space="preserve">200</t>
  </si>
  <si>
    <t xml:space="preserve">60</t>
  </si>
  <si>
    <t xml:space="preserve">2</t>
  </si>
  <si>
    <t xml:space="preserve">1</t>
  </si>
  <si>
    <t xml:space="preserve">Customer Quote – Finance Lease</t>
  </si>
  <si>
    <t xml:space="preserve">30.35</t>
  </si>
  <si>
    <t xml:space="preserve">Holding cost - formula - 1</t>
  </si>
  <si>
    <t xml:space="preserve">0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</si>
  <si>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</si>
  <si>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</si>
  <si>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</si>
  <si>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</si>
  <si>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</si>
  <si>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</si>
  <si>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</si>
  <si>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</si>
  <si>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</si>
  <si>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</si>
  <si>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</si>
  <si>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</si>
  <si>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</si>
  <si>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</si>
  <si>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</si>
  <si>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</si>
  <si>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</si>
  <si>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Upload document</t>
  </si>
  <si>
    <t xml:space="preserve">`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</si>
  <si>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</si>
  <si>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</si>
  <si>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</si>
  <si>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</si>
  <si>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</si>
  <si>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</si>
  <si>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</si>
  <si>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</si>
  <si>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OTR Calculation</t>
  </si>
  <si>
    <t xml:space="preserve">470.00</t>
  </si>
  <si>
    <t xml:space="preserve">296.00</t>
  </si>
  <si>
    <t xml:space="preserve">17770.00</t>
  </si>
  <si>
    <t xml:space="preserve">48877.50</t>
  </si>
  <si>
    <t xml:space="preserve">5.28</t>
  </si>
  <si>
    <t xml:space="preserve">RFL included?</t>
  </si>
  <si>
    <t>33</t>
  </si>
  <si>
    <t>5000</t>
  </si>
  <si>
    <t>1000</t>
  </si>
  <si>
    <t>12</t>
  </si>
  <si>
    <t>500</t>
  </si>
  <si>
    <t>6000</t>
  </si>
  <si>
    <t>20</t>
  </si>
  <si>
    <t>50</t>
  </si>
  <si>
    <t>296.00</t>
  </si>
  <si>
    <t>199.99</t>
  </si>
  <si>
    <t>YES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</si>
</sst>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#,##0.0000000"/>
    <numFmt numFmtId="174" formatCode="_(* #,##0.00_);_(* \(#,##0.00\);_(* \-??_);_(@_)"/>
    <numFmt numFmtId="175" formatCode="_(* #,##0_);_(* \(#,##0\);_(* \-??_);_(@_)"/>
    <numFmt numFmtId="176" formatCode="\£#,##0.00000"/>
    <numFmt numFmtId="177" formatCode="\£#,##0.0000"/>
    <numFmt numFmtId="178" formatCode="0.0000%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FD095"/>
        <bgColor rgb="FFA9D18E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7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7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7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8" fillId="17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8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8" fillId="17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8" fontId="28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15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1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sharedStrings.xml" Type="http://schemas.openxmlformats.org/officeDocument/2006/relationships/sharedStrings"/><Relationship Id="rId5" Target="worksheets/sheet4.xml" Type="http://schemas.openxmlformats.org/officeDocument/2006/relationships/worksheet"/><Relationship Id="rId6" Target="worksheets/sheet5.xml" Type="http://schemas.openxmlformats.org/officeDocument/2006/relationships/worksheet"/><Relationship Id="rId7" Target="worksheets/sheet6.xml" Type="http://schemas.openxmlformats.org/officeDocument/2006/relationships/worksheet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3" colorId="64" zoomScale="75" zoomScaleNormal="7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197.916666666667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200.583333333333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200.583333333333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200.583333333333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200.583333333333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200.583333333333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1656.1965190327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0</v>
      </c>
      <c r="C176" s="171"/>
      <c r="D176" s="171"/>
      <c r="E176" s="174" t="n">
        <f aca="false">B105</f>
        <v>1656.1965190327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199.99</v>
      </c>
      <c r="C191" s="99"/>
      <c r="D191" s="23"/>
      <c r="E191" s="99" t="n">
        <f aca="false">E188+A191+B191+A194</f>
        <v>24428.1517093596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1656.1965190327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0</v>
      </c>
      <c r="C221" s="171"/>
      <c r="D221" s="171"/>
      <c r="E221" s="174" t="n">
        <f aca="false">E176</f>
        <v>1656.1965190327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199.99</v>
      </c>
      <c r="C233" s="99"/>
      <c r="D233" s="109"/>
      <c r="E233" s="99" t="n">
        <f aca="false">E191</f>
        <v>24428.1517093596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0</v>
      </c>
      <c r="C239" s="183"/>
      <c r="D239" s="183"/>
      <c r="E239" s="99" t="n">
        <f aca="false">E176</f>
        <v>1656.1965190327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2099.99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17717.1617093596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16943.1682206957</v>
      </c>
      <c r="C88" s="130" t="n">
        <f aca="false">B81-B86</f>
        <v>16943.1682206957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1656.1965190327</v>
      </c>
      <c r="C89" s="130" t="n">
        <f aca="false">(B88/B87)</f>
        <v>1656.1965190327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18218.1617093596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18218.1617093596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1656.1965190327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1656.1965190327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1656.1965190327</v>
      </c>
      <c r="B167" s="174" t="str">
        <f aca="false">B94</f>
        <v>0</v>
      </c>
      <c r="C167" s="171"/>
      <c r="D167" s="171"/>
      <c r="E167" s="174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-5781.83829064035</v>
      </c>
      <c r="B182" s="99" t="str">
        <f aca="false">B114</f>
        <v>199.99</v>
      </c>
      <c r="C182" s="99"/>
      <c r="D182" s="23"/>
      <c r="E182" s="99" t="n">
        <f aca="false">E179+A182+B182+A185</f>
        <v>24428.1517093596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1656.1965190327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1656.1965190327</v>
      </c>
      <c r="B212" s="174" t="str">
        <f aca="false">B167</f>
        <v>0</v>
      </c>
      <c r="C212" s="171"/>
      <c r="D212" s="171"/>
      <c r="E212" s="174" t="n">
        <f aca="false">E167</f>
        <v>1656.1965190327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-5781.83829064035</v>
      </c>
      <c r="B224" s="99" t="str">
        <f aca="false">B182</f>
        <v>199.99</v>
      </c>
      <c r="C224" s="99"/>
      <c r="D224" s="109"/>
      <c r="E224" s="99" t="n">
        <f aca="false">E182</f>
        <v>24428.1517093596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1656.1965190327</v>
      </c>
      <c r="B230" s="99" t="str">
        <f aca="false">B167</f>
        <v>0</v>
      </c>
      <c r="C230" s="183"/>
      <c r="D230" s="183"/>
      <c r="E230" s="99" t="n">
        <f aca="false">E167</f>
        <v>1656.1965190327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17031.8367972182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5433.96849626786</v>
      </c>
      <c r="C86" s="130" t="n">
        <f aca="false">(B82/((1+B84)^(B85+1)))</f>
        <v>5433.96849626786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 t="n">
        <f aca="false">((1-(1/((1+B84)^B85)))/B84)</f>
        <v>10.4718562469129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16691.0315037321</v>
      </c>
      <c r="C88" s="130" t="n">
        <f aca="false">B81-B86</f>
        <v>16691.0315037321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1593.89425429256</v>
      </c>
      <c r="C89" s="130" t="n">
        <f aca="false">(B88/B87)</f>
        <v>1593.89425429256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17532.8367972182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17532.8367972182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1593.89425429256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1593.89425429256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268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269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1593.89425429256</v>
      </c>
      <c r="B167" s="174" t="str">
        <f aca="false">B94</f>
        <v>0</v>
      </c>
      <c r="C167" s="171"/>
      <c r="D167" s="171"/>
      <c r="E167" s="174" t="n">
        <f aca="false">B96</f>
        <v>1593.89425429256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-6467.16320278182</v>
      </c>
      <c r="B182" s="99" t="str">
        <f aca="false">B114</f>
        <v>199.99</v>
      </c>
      <c r="C182" s="99"/>
      <c r="D182" s="23"/>
      <c r="E182" s="99" t="n">
        <f aca="false">E179+A182+B182+A185</f>
        <v>23742.8267972182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199.99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66.6583333333334</v>
      </c>
      <c r="B191" s="99" t="n">
        <f aca="false">B188+E188+A191</f>
        <v>191.658333333333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1593.89425429256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1593.89425429256</v>
      </c>
      <c r="B212" s="174" t="str">
        <f aca="false">B167</f>
        <v>0</v>
      </c>
      <c r="C212" s="171"/>
      <c r="D212" s="171"/>
      <c r="E212" s="174" t="n">
        <f aca="false">E167</f>
        <v>1593.89425429256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-6467.16320278182</v>
      </c>
      <c r="B224" s="99" t="str">
        <f aca="false">B182</f>
        <v>199.99</v>
      </c>
      <c r="C224" s="99"/>
      <c r="D224" s="109"/>
      <c r="E224" s="99" t="n">
        <f aca="false">E182</f>
        <v>23742.8267972182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199.99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1593.89425429256</v>
      </c>
      <c r="B230" s="99" t="str">
        <f aca="false">B167</f>
        <v>0</v>
      </c>
      <c r="C230" s="183"/>
      <c r="D230" s="183"/>
      <c r="E230" s="99" t="n">
        <f aca="false">E167</f>
        <v>1593.89425429256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66.6583333333334</v>
      </c>
      <c r="B243" s="99" t="n">
        <f aca="false">B240+E240+A243+A240</f>
        <v>2066.65833333333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66.6583333333334</v>
      </c>
      <c r="C255" s="194"/>
      <c r="D255" s="195" t="s">
        <v>218</v>
      </c>
      <c r="E255" s="195"/>
      <c r="F255" s="196" t="n">
        <f aca="false">(B254-F254)+B255</f>
        <v>-83.3416666666667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66.6583333333334</v>
      </c>
      <c r="C263" s="32"/>
      <c r="D263" s="39" t="s">
        <v>218</v>
      </c>
      <c r="E263" s="39"/>
      <c r="F263" s="143" t="n">
        <f aca="false">(B254-F254)+B255</f>
        <v>-83.3416666666667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17717.1617093596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16943.1682206957</v>
      </c>
      <c r="C88" s="130" t="n">
        <f aca="false">B81-B86</f>
        <v>16943.1682206957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1656.1965190327</v>
      </c>
      <c r="C89" s="130" t="n">
        <f aca="false">(B88/B87)</f>
        <v>1656.1965190327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18218.1617093596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18218.1617093596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1656.1965190327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1656.1965190327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1656.1965190327</v>
      </c>
      <c r="B167" s="174" t="str">
        <f aca="false">B94</f>
        <v>0</v>
      </c>
      <c r="C167" s="171"/>
      <c r="D167" s="171"/>
      <c r="E167" s="174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-5781.83829064035</v>
      </c>
      <c r="B182" s="99" t="str">
        <f aca="false">B114</f>
        <v>199.99</v>
      </c>
      <c r="C182" s="99"/>
      <c r="D182" s="23"/>
      <c r="E182" s="99" t="n">
        <f aca="false">E179+A182+B182+A185</f>
        <v>24428.1517093596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1656.1965190327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1656.1965190327</v>
      </c>
      <c r="B212" s="174" t="str">
        <f aca="false">B167</f>
        <v>0</v>
      </c>
      <c r="C212" s="171"/>
      <c r="D212" s="171"/>
      <c r="E212" s="174" t="n">
        <f aca="false">E167</f>
        <v>1656.1965190327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-5781.83829064035</v>
      </c>
      <c r="B224" s="99" t="str">
        <f aca="false">B182</f>
        <v>199.99</v>
      </c>
      <c r="C224" s="99"/>
      <c r="D224" s="109"/>
      <c r="E224" s="99" t="n">
        <f aca="false">E182</f>
        <v>24428.1517093596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1656.1965190327</v>
      </c>
      <c r="B230" s="99" t="str">
        <f aca="false">B167</f>
        <v>0</v>
      </c>
      <c r="C230" s="183"/>
      <c r="D230" s="183"/>
      <c r="E230" s="99" t="n">
        <f aca="false">E167</f>
        <v>1656.1965190327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265"/>
      <c r="I8" s="13" t="s">
        <v>3</v>
      </c>
      <c r="J8" s="14" t="n">
        <f aca="false">E13+E14</f>
        <v>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265"/>
      <c r="I10" s="16" t="s">
        <v>1</v>
      </c>
      <c r="J10" s="14" t="n">
        <f aca="false">E15-E11-J8</f>
        <v>0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45015</v>
      </c>
      <c r="E29" s="287"/>
      <c r="F29" s="265"/>
      <c r="G29" s="29" t="s">
        <v>28</v>
      </c>
      <c r="H29" s="37" t="n">
        <f aca="false">A32</f>
        <v>12</v>
      </c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600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90" t="n">
        <f aca="false">A35-B35</f>
        <v>-1000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45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57</v>
      </c>
      <c r="G40" s="2" t="s">
        <v>58</v>
      </c>
      <c r="H40" s="2" t="n">
        <f aca="false">C15</f>
        <v>4625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265"/>
      <c r="G41" s="2" t="s">
        <v>59</v>
      </c>
      <c r="H41" s="2" t="str">
        <f aca="false">IF(D41="Yes",A44, 0)</f>
        <v>50</v>
      </c>
      <c r="I41" s="2"/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120</v>
      </c>
      <c r="B43" s="236" t="s">
        <v>69</v>
      </c>
      <c r="C43" s="226" t="s">
        <v>65</v>
      </c>
      <c r="D43" s="236" t="s">
        <v>209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s">
        <v>72</v>
      </c>
      <c r="B44" s="100" t="s">
        <v>271</v>
      </c>
      <c r="C44" s="100"/>
      <c r="D44" s="100" t="s">
        <v>271</v>
      </c>
      <c r="E44" s="100"/>
      <c r="F44" s="265"/>
      <c r="G44" s="2" t="s">
        <v>67</v>
      </c>
      <c r="H44" s="2" t="n">
        <f aca="false">((H40-(((H42/(1.2))*0.2)))/(H43))</f>
        <v>302.083333333333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247.916666666667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6" t="s">
        <v>273</v>
      </c>
      <c r="C46" s="226" t="s">
        <v>4</v>
      </c>
      <c r="D46" s="226"/>
      <c r="E46" s="239"/>
      <c r="F46" s="265" t="n">
        <v>0</v>
      </c>
      <c r="G46" s="2" t="s">
        <v>73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272</v>
      </c>
      <c r="B47" s="226"/>
      <c r="C47" s="226"/>
      <c r="D47" s="226"/>
      <c r="E47" s="239"/>
      <c r="F47" s="265"/>
      <c r="G47" s="2" t="s">
        <v>74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76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77</v>
      </c>
      <c r="H49" s="2" t="n">
        <f aca="false">H45+H48+H47</f>
        <v>250.583333333333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265"/>
      <c r="G50" s="2" t="s">
        <v>274</v>
      </c>
      <c r="H50" s="2" t="n">
        <f aca="false">H49-H41</f>
        <v>200.583333333333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250.583333333333</v>
      </c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250.583333333333</v>
      </c>
      <c r="C58" s="74"/>
      <c r="D58" s="282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87</v>
      </c>
      <c r="B63" s="280" t="n">
        <f aca="false">IF(B105=Z103,1,IF(B105=Z104,1,IF(B105=Z105,3,IF(B105=Z106,6,IF(B105=Z107,9,IF(B105=Z108,12,IF(B105=Z109,3,IF(B105=Z110,6,IF(B105=Z111,9,0)))))))))</f>
        <v>1</v>
      </c>
      <c r="C63" s="280"/>
      <c r="D63" s="280"/>
      <c r="E63" s="283"/>
      <c r="F63" s="265"/>
      <c r="G63" s="281" t="s">
        <v>87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87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88</v>
      </c>
      <c r="B64" s="280" t="n">
        <f aca="false">IF(B105=Z103,H29-B63,IF(B105=Z104,H29-B63,IF(B105=Z105,H29-1,IF(B105=Z106,H29-1,IF(B105=Z107,H29-1,IF(B105=Z108,H29-1,IF(B105=Z109,H29-B63,IF(B105=Z110,H29-B63,IF(B105=Z111,H29-B63,0)))))))))</f>
        <v>11</v>
      </c>
      <c r="C64" s="280"/>
      <c r="D64" s="280"/>
      <c r="E64" s="283"/>
      <c r="F64" s="265"/>
      <c r="G64" s="281" t="s">
        <v>88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88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80"/>
      <c r="D67" s="280"/>
      <c r="E67" s="283"/>
      <c r="F67" s="265"/>
      <c r="G67" s="281" t="s">
        <v>14</v>
      </c>
      <c r="H67" s="32" t="n">
        <f aca="false">G18</f>
        <v>37404</v>
      </c>
      <c r="I67" s="280"/>
      <c r="J67" s="280"/>
      <c r="K67" s="283"/>
      <c r="L67" s="265"/>
      <c r="M67" s="281" t="s">
        <v>14</v>
      </c>
      <c r="N67" s="32" t="n">
        <f aca="false">G18</f>
        <v>37404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310" t="s">
        <v>93</v>
      </c>
      <c r="B70" s="129" t="n">
        <f aca="false">B67*B69</f>
        <v>2618.28</v>
      </c>
      <c r="C70" s="280" t="n">
        <v>10000</v>
      </c>
      <c r="D70" s="32" t="n">
        <f aca="false">B70-A149</f>
        <v>2618.28</v>
      </c>
      <c r="E70" s="283" t="n">
        <f aca="false">D70/12</f>
        <v>218.19</v>
      </c>
      <c r="F70" s="265"/>
      <c r="G70" s="298" t="s">
        <v>93</v>
      </c>
      <c r="H70" s="65" t="n">
        <f aca="false">H67*H69</f>
        <v>2618.28</v>
      </c>
      <c r="I70" s="280"/>
      <c r="J70" s="32" t="n">
        <f aca="false">H70-G151</f>
        <v>2618.28</v>
      </c>
      <c r="K70" s="283"/>
      <c r="L70" s="265"/>
      <c r="M70" s="298" t="s">
        <v>93</v>
      </c>
      <c r="N70" s="65" t="n">
        <f aca="false">N67*N69</f>
        <v>2618.28</v>
      </c>
      <c r="O70" s="280"/>
      <c r="P70" s="32" t="n">
        <f aca="false">N70-M151</f>
        <v>2618.28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4" t="s">
        <v>94</v>
      </c>
      <c r="B71" s="305" t="n">
        <v>0.01</v>
      </c>
      <c r="C71" s="280"/>
      <c r="D71" s="280"/>
      <c r="E71" s="283"/>
      <c r="F71" s="265"/>
      <c r="G71" s="306" t="s">
        <v>94</v>
      </c>
      <c r="H71" s="307" t="n">
        <v>0.005</v>
      </c>
      <c r="I71" s="280"/>
      <c r="J71" s="280"/>
      <c r="K71" s="283"/>
      <c r="L71" s="265"/>
      <c r="M71" s="306" t="s">
        <v>94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80"/>
      <c r="D72" s="280"/>
      <c r="E72" s="283"/>
      <c r="F72" s="265"/>
      <c r="G72" s="281" t="s">
        <v>95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95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80"/>
      <c r="D73" s="32"/>
      <c r="E73" s="283"/>
      <c r="F73" s="265"/>
      <c r="G73" s="298" t="s">
        <v>96</v>
      </c>
      <c r="H73" s="65" t="n">
        <f aca="false">H67*H72</f>
        <v>187.02</v>
      </c>
      <c r="I73" s="280"/>
      <c r="J73" s="32"/>
      <c r="K73" s="283"/>
      <c r="L73" s="265"/>
      <c r="M73" s="298" t="s">
        <v>96</v>
      </c>
      <c r="N73" s="65" t="n">
        <f aca="false">N67*N72</f>
        <v>187.02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97</v>
      </c>
      <c r="B74" s="307" t="n">
        <v>0.0075</v>
      </c>
      <c r="C74" s="280"/>
      <c r="D74" s="280"/>
      <c r="E74" s="283"/>
      <c r="F74" s="265"/>
      <c r="G74" s="306" t="s">
        <v>97</v>
      </c>
      <c r="H74" s="307" t="n">
        <v>0.0075</v>
      </c>
      <c r="I74" s="280"/>
      <c r="J74" s="280"/>
      <c r="K74" s="283"/>
      <c r="L74" s="265"/>
      <c r="M74" s="306" t="s">
        <v>97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98</v>
      </c>
      <c r="B75" s="312" t="n">
        <v>0.12</v>
      </c>
      <c r="C75" s="280"/>
      <c r="D75" s="280"/>
      <c r="E75" s="283"/>
      <c r="F75" s="265"/>
      <c r="G75" s="311" t="s">
        <v>98</v>
      </c>
      <c r="H75" s="312" t="n">
        <v>0.12</v>
      </c>
      <c r="I75" s="280"/>
      <c r="J75" s="280"/>
      <c r="K75" s="283"/>
      <c r="L75" s="265"/>
      <c r="M75" s="311" t="s">
        <v>98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99</v>
      </c>
      <c r="B76" s="313" t="n">
        <f aca="false">B74*(1+B75)</f>
        <v>0.0084</v>
      </c>
      <c r="C76" s="280"/>
      <c r="D76" s="280"/>
      <c r="E76" s="283"/>
      <c r="F76" s="265"/>
      <c r="G76" s="298" t="s">
        <v>99</v>
      </c>
      <c r="H76" s="313" t="n">
        <f aca="false">H74*(1+H75)</f>
        <v>0.0084</v>
      </c>
      <c r="I76" s="280"/>
      <c r="J76" s="280"/>
      <c r="K76" s="283"/>
      <c r="L76" s="265"/>
      <c r="M76" s="298" t="s">
        <v>99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100</v>
      </c>
      <c r="B77" s="86" t="n">
        <v>200</v>
      </c>
      <c r="C77" s="280"/>
      <c r="D77" s="280"/>
      <c r="E77" s="283"/>
      <c r="F77" s="265"/>
      <c r="G77" s="306" t="s">
        <v>100</v>
      </c>
      <c r="H77" s="86" t="n">
        <v>160</v>
      </c>
      <c r="I77" s="280"/>
      <c r="J77" s="280"/>
      <c r="K77" s="283"/>
      <c r="L77" s="265"/>
      <c r="M77" s="306" t="s">
        <v>100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101</v>
      </c>
      <c r="B78" s="77" t="n">
        <v>5</v>
      </c>
      <c r="C78" s="280"/>
      <c r="D78" s="280"/>
      <c r="E78" s="283"/>
      <c r="F78" s="265"/>
      <c r="G78" s="311" t="s">
        <v>101</v>
      </c>
      <c r="H78" s="77" t="n">
        <v>4.5</v>
      </c>
      <c r="I78" s="280"/>
      <c r="J78" s="280"/>
      <c r="K78" s="283"/>
      <c r="L78" s="265"/>
      <c r="M78" s="311" t="s">
        <v>101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102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102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102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6" t="n">
        <v>165</v>
      </c>
      <c r="C80" s="280"/>
      <c r="D80" s="280"/>
      <c r="E80" s="314" t="n">
        <f aca="false">E79+D82</f>
        <v>838.75</v>
      </c>
      <c r="F80" s="265"/>
      <c r="G80" s="306" t="s">
        <v>278</v>
      </c>
      <c r="H80" s="86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7" t="n">
        <v>0</v>
      </c>
      <c r="C81" s="280"/>
      <c r="D81" s="280"/>
      <c r="E81" s="283" t="n">
        <f aca="false">E80/12</f>
        <v>69.8958333333333</v>
      </c>
      <c r="F81" s="265"/>
      <c r="G81" s="311" t="s">
        <v>279</v>
      </c>
      <c r="H81" s="77" t="n">
        <f aca="false">IF(G18&gt;40000, 325, 0)</f>
        <v>0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5" t="n">
        <f aca="false">((B80+B81)/12)*(H29+1)</f>
        <v>178.75</v>
      </c>
      <c r="C82" s="280"/>
      <c r="D82" s="32" t="n">
        <f aca="false">IF(A50="YES", 0, B82)</f>
        <v>178.75</v>
      </c>
      <c r="E82" s="283"/>
      <c r="F82" s="265"/>
      <c r="G82" s="298" t="s">
        <v>280</v>
      </c>
      <c r="H82" s="65" t="n">
        <f aca="false">((H80+H81)/12)*(H29-11)</f>
        <v>12.5</v>
      </c>
      <c r="I82" s="280"/>
      <c r="J82" s="32" t="n">
        <f aca="false">IF(A50="YES", 0, H82)</f>
        <v>12.5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103</v>
      </c>
      <c r="B85" s="77" t="n">
        <v>200</v>
      </c>
      <c r="C85" s="280"/>
      <c r="D85" s="32" t="n">
        <f aca="false">B85</f>
        <v>200</v>
      </c>
      <c r="E85" s="283"/>
      <c r="F85" s="265"/>
      <c r="G85" s="311" t="s">
        <v>103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103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104</v>
      </c>
      <c r="B86" s="87" t="n">
        <v>200</v>
      </c>
      <c r="C86" s="280"/>
      <c r="D86" s="32" t="n">
        <f aca="false">B86</f>
        <v>200</v>
      </c>
      <c r="E86" s="283"/>
      <c r="F86" s="265"/>
      <c r="G86" s="321" t="s">
        <v>104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104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105</v>
      </c>
      <c r="B87" s="323" t="n">
        <f aca="false">SUM(D70:D86)</f>
        <v>4123.69666666667</v>
      </c>
      <c r="C87" s="280"/>
      <c r="D87" s="280"/>
      <c r="E87" s="283"/>
      <c r="F87" s="265"/>
      <c r="G87" s="322" t="s">
        <v>105</v>
      </c>
      <c r="H87" s="323" t="n">
        <f aca="false">SUM(J70:J86)</f>
        <v>5744.78</v>
      </c>
      <c r="I87" s="280"/>
      <c r="J87" s="280"/>
      <c r="K87" s="283"/>
      <c r="L87" s="265"/>
      <c r="M87" s="322" t="s">
        <v>105</v>
      </c>
      <c r="N87" s="323" t="n">
        <f aca="false">SUM(P70:P86)</f>
        <v>5732.28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106</v>
      </c>
      <c r="B88" s="33" t="n">
        <f aca="false">B87/H29</f>
        <v>343.641388888889</v>
      </c>
      <c r="C88" s="280"/>
      <c r="D88" s="280"/>
      <c r="E88" s="283"/>
      <c r="F88" s="265"/>
      <c r="G88" s="281" t="s">
        <v>106</v>
      </c>
      <c r="H88" s="33" t="n">
        <f aca="false">H87/H29</f>
        <v>478.731666666667</v>
      </c>
      <c r="I88" s="280"/>
      <c r="J88" s="280"/>
      <c r="K88" s="283"/>
      <c r="L88" s="265"/>
      <c r="M88" s="281" t="s">
        <v>106</v>
      </c>
      <c r="N88" s="33" t="n">
        <f aca="false">N87/H29</f>
        <v>477.69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107</v>
      </c>
      <c r="B89" s="59" t="n">
        <f aca="false">H50</f>
        <v>200.583333333333</v>
      </c>
      <c r="C89" s="280"/>
      <c r="D89" s="280"/>
      <c r="E89" s="283"/>
      <c r="F89" s="265"/>
      <c r="G89" s="324" t="s">
        <v>107</v>
      </c>
      <c r="H89" s="59" t="n">
        <f aca="false">H46</f>
        <v>0</v>
      </c>
      <c r="I89" s="280"/>
      <c r="J89" s="280"/>
      <c r="K89" s="283"/>
      <c r="L89" s="265"/>
      <c r="M89" s="324" t="s">
        <v>107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117</v>
      </c>
      <c r="B91" s="27" t="n">
        <f aca="false">((B89*H29)+B87)*1.2</f>
        <v>7836.836</v>
      </c>
      <c r="C91" s="280"/>
      <c r="D91" s="280"/>
      <c r="E91" s="283"/>
      <c r="F91" s="265"/>
      <c r="G91" s="301" t="s">
        <v>117</v>
      </c>
      <c r="H91" s="27" t="n">
        <f aca="false">((H89*H29)+H87)*1.2</f>
        <v>6893.736</v>
      </c>
      <c r="I91" s="280"/>
      <c r="J91" s="280"/>
      <c r="K91" s="283"/>
      <c r="L91" s="265"/>
      <c r="M91" s="301" t="s">
        <v>117</v>
      </c>
      <c r="N91" s="27" t="n">
        <f aca="false">((N89*H29)+N87)</f>
        <v>5732.28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118</v>
      </c>
      <c r="B92" s="33" t="n">
        <f aca="false">(((B89*H29)+B87)/(1-B76))*B76</f>
        <v>55.3225615167406</v>
      </c>
      <c r="C92" s="280"/>
      <c r="D92" s="280"/>
      <c r="E92" s="325"/>
      <c r="F92" s="265"/>
      <c r="G92" s="281" t="s">
        <v>118</v>
      </c>
      <c r="H92" s="33" t="n">
        <f aca="false">(((H89*H29)+H87)/(1-H76))*H76</f>
        <v>48.6649374747882</v>
      </c>
      <c r="I92" s="280"/>
      <c r="J92" s="280"/>
      <c r="K92" s="283"/>
      <c r="L92" s="265"/>
      <c r="M92" s="281" t="s">
        <v>118</v>
      </c>
      <c r="N92" s="33" t="n">
        <f aca="false">(N91/(1-N76))*N76</f>
        <v>48.5590480032271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119</v>
      </c>
      <c r="B93" s="65" t="n">
        <f aca="false">IF(B116="YES",((B91+B92)-E120),(B91+B92))</f>
        <v>3892.15856151674</v>
      </c>
      <c r="C93" s="280"/>
      <c r="D93" s="280"/>
      <c r="E93" s="283"/>
      <c r="F93" s="265"/>
      <c r="G93" s="298" t="s">
        <v>119</v>
      </c>
      <c r="H93" s="65" t="n">
        <f aca="false">IF(H116="YES",((H91+H92)-K120),(H91+H92))</f>
        <v>8942.40093747479</v>
      </c>
      <c r="I93" s="280"/>
      <c r="J93" s="280"/>
      <c r="K93" s="283"/>
      <c r="L93" s="265"/>
      <c r="M93" s="298" t="s">
        <v>119</v>
      </c>
      <c r="N93" s="65" t="n">
        <f aca="false">IF(N116="YES",((N91+N92)-K120),(N91+N92))</f>
        <v>7780.83904800323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120</v>
      </c>
      <c r="B95" s="323" t="n">
        <f aca="false">IF(B105=Z104,(((H41*A32)+(H41*A32)*(B111/100))/(B64)),(((H41*A32)+(H41*A32)*(B111/100))/(B63+B64)))*1.2</f>
        <v>78</v>
      </c>
      <c r="C95" s="280"/>
      <c r="D95" s="280"/>
      <c r="E95" s="283"/>
      <c r="F95" s="265"/>
      <c r="G95" s="322" t="s">
        <v>120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120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121</v>
      </c>
      <c r="B96" s="327" t="n">
        <f aca="false">IF(B105=Z104, (B93-D111)/(B64), B93/(B63+B64))</f>
        <v>324.346546793062</v>
      </c>
      <c r="C96" s="280"/>
      <c r="D96" s="280"/>
      <c r="E96" s="283"/>
      <c r="F96" s="265"/>
      <c r="G96" s="326" t="s">
        <v>121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121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122</v>
      </c>
      <c r="B97" s="329" t="n">
        <f aca="false">IF(A111="YES", B96+B95, B96)</f>
        <v>402.346546793062</v>
      </c>
      <c r="C97" s="280"/>
      <c r="D97" s="330"/>
      <c r="E97" s="283"/>
      <c r="F97" s="265"/>
      <c r="G97" s="328" t="s">
        <v>122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122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265"/>
      <c r="G100" s="209" t="s">
        <v>285</v>
      </c>
      <c r="H100" s="209"/>
      <c r="I100" s="209"/>
      <c r="J100" s="209"/>
      <c r="K100" s="209"/>
      <c r="L100" s="265"/>
      <c r="M100" s="209" t="s">
        <v>286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265"/>
      <c r="G102" s="213" t="s">
        <v>127</v>
      </c>
      <c r="H102" s="213"/>
      <c r="I102" s="213"/>
      <c r="J102" s="213"/>
      <c r="K102" s="213"/>
      <c r="L102" s="265"/>
      <c r="M102" s="213" t="s">
        <v>127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131</v>
      </c>
    </row>
    <row r="104" customFormat="false" ht="18.75" hidden="false" customHeight="true" outlineLevel="0" collapsed="false">
      <c r="A104" s="281" t="s">
        <v>128</v>
      </c>
      <c r="B104" s="280" t="s">
        <v>23</v>
      </c>
      <c r="C104" s="280"/>
      <c r="D104" s="280" t="s">
        <v>287</v>
      </c>
      <c r="E104" s="283"/>
      <c r="F104" s="265"/>
      <c r="G104" s="281" t="s">
        <v>128</v>
      </c>
      <c r="H104" s="280" t="s">
        <v>23</v>
      </c>
      <c r="I104" s="280"/>
      <c r="J104" s="280" t="s">
        <v>287</v>
      </c>
      <c r="K104" s="283"/>
      <c r="L104" s="265"/>
      <c r="M104" s="281" t="s">
        <v>128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131</v>
      </c>
      <c r="C105" s="331"/>
      <c r="D105" s="332" t="n">
        <v>1000</v>
      </c>
      <c r="E105" s="332"/>
      <c r="F105" s="265"/>
      <c r="G105" s="284" t="s">
        <v>288</v>
      </c>
      <c r="H105" s="331" t="s">
        <v>265</v>
      </c>
      <c r="I105" s="331"/>
      <c r="J105" s="332" t="n">
        <v>5000</v>
      </c>
      <c r="K105" s="332"/>
      <c r="L105" s="265"/>
      <c r="M105" s="284" t="s">
        <v>288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129</v>
      </c>
      <c r="B110" s="265" t="s">
        <v>132</v>
      </c>
      <c r="C110" s="280"/>
      <c r="D110" s="280" t="s">
        <v>143</v>
      </c>
      <c r="E110" s="283"/>
      <c r="F110" s="265"/>
      <c r="G110" s="284" t="s">
        <v>129</v>
      </c>
      <c r="H110" s="265" t="s">
        <v>132</v>
      </c>
      <c r="I110" s="280"/>
      <c r="J110" s="280" t="s">
        <v>143</v>
      </c>
      <c r="K110" s="283"/>
      <c r="L110" s="265"/>
      <c r="M110" s="284" t="s">
        <v>129</v>
      </c>
      <c r="N110" s="265" t="s">
        <v>132</v>
      </c>
      <c r="O110" s="280"/>
      <c r="P110" s="280" t="s">
        <v>143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18</v>
      </c>
      <c r="B111" s="331" t="n">
        <v>30</v>
      </c>
      <c r="C111" s="331"/>
      <c r="D111" s="103" t="n">
        <v>200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265"/>
      <c r="G114" s="213" t="s">
        <v>293</v>
      </c>
      <c r="H114" s="213"/>
      <c r="I114" s="213"/>
      <c r="J114" s="213"/>
      <c r="K114" s="213"/>
      <c r="L114" s="265"/>
      <c r="M114" s="213" t="s">
        <v>293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18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177</v>
      </c>
      <c r="B118" s="280"/>
      <c r="C118" s="280"/>
      <c r="D118" s="333" t="n">
        <v>10000</v>
      </c>
      <c r="E118" s="103" t="n">
        <v>6000</v>
      </c>
      <c r="F118" s="265"/>
      <c r="G118" s="281" t="s">
        <v>177</v>
      </c>
      <c r="H118" s="280"/>
      <c r="I118" s="280"/>
      <c r="J118" s="333" t="n">
        <v>10000</v>
      </c>
      <c r="K118" s="103" t="n">
        <v>5000</v>
      </c>
      <c r="L118" s="265"/>
      <c r="M118" s="281" t="s">
        <v>177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178</v>
      </c>
      <c r="B119" s="280"/>
      <c r="C119" s="280"/>
      <c r="D119" s="39" t="n">
        <f aca="false">E119</f>
        <v>2000</v>
      </c>
      <c r="E119" s="103" t="n">
        <v>2000</v>
      </c>
      <c r="F119" s="265"/>
      <c r="G119" s="281" t="s">
        <v>178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178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179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179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179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180</v>
      </c>
      <c r="B121" s="280"/>
      <c r="C121" s="280"/>
      <c r="D121" s="39" t="n">
        <f aca="false">D120-E120</f>
        <v>4000</v>
      </c>
      <c r="E121" s="283"/>
      <c r="F121" s="265"/>
      <c r="G121" s="281" t="s">
        <v>180</v>
      </c>
      <c r="H121" s="280"/>
      <c r="I121" s="280"/>
      <c r="J121" s="39" t="n">
        <f aca="false">J120-K120</f>
        <v>5000</v>
      </c>
      <c r="K121" s="283"/>
      <c r="L121" s="265"/>
      <c r="M121" s="281" t="s">
        <v>180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139</v>
      </c>
      <c r="B123" s="302"/>
      <c r="C123" s="302"/>
      <c r="D123" s="302"/>
      <c r="E123" s="27" t="n">
        <f aca="false">D105</f>
        <v>1000</v>
      </c>
      <c r="F123" s="265"/>
      <c r="G123" s="301" t="s">
        <v>139</v>
      </c>
      <c r="H123" s="302"/>
      <c r="I123" s="302"/>
      <c r="J123" s="302"/>
      <c r="K123" s="27" t="n">
        <f aca="false">J105</f>
        <v>5000</v>
      </c>
      <c r="L123" s="265"/>
      <c r="M123" s="301" t="s">
        <v>139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239.99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5" t="n">
        <f aca="false">(E124+E123)-E120</f>
        <v>-2760.01</v>
      </c>
      <c r="F125" s="265"/>
      <c r="G125" s="335" t="s">
        <v>295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265"/>
      <c r="G128" s="213" t="s">
        <v>296</v>
      </c>
      <c r="H128" s="213"/>
      <c r="I128" s="213"/>
      <c r="J128" s="213"/>
      <c r="K128" s="213"/>
      <c r="L128" s="265"/>
      <c r="M128" s="213" t="s">
        <v>296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265"/>
      <c r="G130" s="281" t="s">
        <v>184</v>
      </c>
      <c r="H130" s="169" t="n">
        <v>0</v>
      </c>
      <c r="I130" s="169"/>
      <c r="J130" s="280"/>
      <c r="K130" s="283"/>
      <c r="L130" s="265"/>
      <c r="M130" s="281" t="s">
        <v>184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85</v>
      </c>
      <c r="H132" s="280" t="s">
        <v>86</v>
      </c>
      <c r="I132" s="280"/>
      <c r="J132" s="280" t="s">
        <v>88</v>
      </c>
      <c r="K132" s="283"/>
      <c r="L132" s="265"/>
      <c r="M132" s="281" t="s">
        <v>85</v>
      </c>
      <c r="N132" s="280" t="s">
        <v>86</v>
      </c>
      <c r="O132" s="280"/>
      <c r="P132" s="280" t="s">
        <v>88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11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11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324.346546793062</v>
      </c>
      <c r="B134" s="338" t="n">
        <f aca="false">IF(A111="YES", B95, 0)</f>
        <v>78</v>
      </c>
      <c r="C134" s="342"/>
      <c r="D134" s="338" t="n">
        <f aca="false">B97</f>
        <v>402.346546793062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248</v>
      </c>
      <c r="O135" s="345"/>
      <c r="P135" s="345" t="s">
        <v>122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Monthly in advance </v>
      </c>
      <c r="B137" s="38" t="n">
        <f aca="false">B96*B63</f>
        <v>324.346546793062</v>
      </c>
      <c r="C137" s="280"/>
      <c r="D137" s="38" t="n">
        <f aca="false">IF(A111="YES", B95*B63, 0)</f>
        <v>78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402.346546793062</v>
      </c>
      <c r="B140" s="38" t="n">
        <f aca="false">E120</f>
        <v>4000</v>
      </c>
      <c r="C140" s="280"/>
      <c r="D140" s="352" t="n">
        <f aca="false">B64</f>
        <v>11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265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265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324.346546793062</v>
      </c>
      <c r="B143" s="38" t="n">
        <f aca="false">IF(A111="YES", B95, 0)</f>
        <v>78</v>
      </c>
      <c r="C143" s="280"/>
      <c r="D143" s="38" t="n">
        <f aca="false">B97</f>
        <v>402.346546793062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142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265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4625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85</v>
      </c>
      <c r="H156" s="247" t="s">
        <v>86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85</v>
      </c>
      <c r="N159" s="247" t="s">
        <v>86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402.346546793062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265"/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324.346546793062</v>
      </c>
      <c r="B177" s="367" t="n">
        <f aca="false">IF(A111="YES", B95, 0)</f>
        <v>78</v>
      </c>
      <c r="C177" s="369"/>
      <c r="D177" s="367" t="n">
        <f aca="false">A177+B177</f>
        <v>402.346546793062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Monthly in advance </v>
      </c>
      <c r="B180" s="99" t="n">
        <f aca="false">B96*B63</f>
        <v>324.346546793062</v>
      </c>
      <c r="C180" s="282"/>
      <c r="D180" s="99" t="n">
        <f aca="false">IF(A111="YES", B95*B63, 0)</f>
        <v>78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402.346546793062</v>
      </c>
      <c r="B183" s="99" t="n">
        <f aca="false">E120</f>
        <v>4000</v>
      </c>
      <c r="C183" s="282"/>
      <c r="D183" s="371" t="n">
        <f aca="false">B64</f>
        <v>11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324.346546793062</v>
      </c>
      <c r="B186" s="99" t="n">
        <f aca="false">IF(A111="YES", B95, 0)</f>
        <v>78</v>
      </c>
      <c r="C186" s="282"/>
      <c r="D186" s="99" t="n">
        <f aca="false">B97</f>
        <v>402.346546793062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G201" s="265"/>
      <c r="H201" s="265"/>
      <c r="I201" s="265"/>
      <c r="J201" s="265"/>
      <c r="K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G202" s="265"/>
      <c r="H202" s="265"/>
      <c r="I202" s="265"/>
      <c r="J202" s="265"/>
      <c r="K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G203" s="265"/>
      <c r="H203" s="265"/>
      <c r="I203" s="265"/>
      <c r="J203" s="265"/>
      <c r="K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G204" s="265"/>
      <c r="H204" s="265"/>
      <c r="I204" s="265"/>
      <c r="J204" s="265"/>
      <c r="K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G205" s="265"/>
      <c r="H205" s="265"/>
      <c r="I205" s="265"/>
      <c r="J205" s="265"/>
      <c r="K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G206" s="265"/>
      <c r="H206" s="265"/>
      <c r="I206" s="265"/>
      <c r="J206" s="265"/>
      <c r="K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265"/>
      <c r="G207" s="265"/>
      <c r="H207" s="265"/>
      <c r="I207" s="265"/>
      <c r="J207" s="265"/>
      <c r="K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G208" s="265"/>
      <c r="H208" s="265"/>
      <c r="I208" s="265"/>
      <c r="J208" s="265"/>
      <c r="K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D70</f>
        <v>2618.28</v>
      </c>
      <c r="E209" s="339"/>
      <c r="F209" s="265"/>
      <c r="G209" s="265"/>
      <c r="H209" s="265"/>
      <c r="I209" s="265"/>
      <c r="J209" s="265"/>
      <c r="K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G210" s="265"/>
      <c r="H210" s="265"/>
      <c r="I210" s="265"/>
      <c r="J210" s="265"/>
      <c r="K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519.991666666667</v>
      </c>
      <c r="E211" s="339"/>
      <c r="F211" s="265"/>
      <c r="G211" s="265"/>
      <c r="H211" s="265"/>
      <c r="I211" s="265"/>
      <c r="J211" s="265"/>
      <c r="K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G212" s="265"/>
      <c r="H212" s="265"/>
      <c r="I212" s="265"/>
      <c r="J212" s="265"/>
      <c r="K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218</v>
      </c>
      <c r="B213" s="338" t="n">
        <f aca="false">E223</f>
        <v>2764.23166666667</v>
      </c>
      <c r="C213" s="342"/>
      <c r="D213" s="338"/>
      <c r="E213" s="339"/>
      <c r="F213" s="265"/>
      <c r="G213" s="265"/>
      <c r="H213" s="265"/>
      <c r="I213" s="265"/>
      <c r="J213" s="265"/>
      <c r="K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G214" s="265"/>
      <c r="H214" s="265"/>
      <c r="I214" s="265"/>
      <c r="J214" s="265"/>
      <c r="K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265"/>
      <c r="G215" s="265"/>
      <c r="H215" s="265"/>
      <c r="I215" s="265"/>
      <c r="J215" s="265"/>
      <c r="K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G216" s="265"/>
      <c r="H216" s="265"/>
      <c r="I216" s="265"/>
      <c r="J216" s="265"/>
      <c r="K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215</v>
      </c>
      <c r="B217" s="100" t="n">
        <f aca="false">D70</f>
        <v>2618.28</v>
      </c>
      <c r="C217" s="381" t="s">
        <v>221</v>
      </c>
      <c r="D217" s="280"/>
      <c r="E217" s="309" t="n">
        <f aca="false">B72</f>
        <v>0.01</v>
      </c>
      <c r="F217" s="265"/>
      <c r="G217" s="265"/>
      <c r="H217" s="265"/>
      <c r="I217" s="265"/>
      <c r="J217" s="265"/>
      <c r="K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G218" s="265"/>
      <c r="H218" s="265"/>
      <c r="I218" s="265"/>
      <c r="J218" s="265"/>
      <c r="K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265"/>
      <c r="G219" s="265"/>
      <c r="H219" s="265"/>
      <c r="I219" s="265"/>
      <c r="J219" s="265"/>
      <c r="K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G220" s="265"/>
      <c r="H220" s="265"/>
      <c r="I220" s="265"/>
      <c r="J220" s="265"/>
      <c r="K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2764.23166666667</v>
      </c>
      <c r="F223" s="265"/>
      <c r="G223" s="265"/>
      <c r="H223" s="265"/>
      <c r="I223" s="265"/>
      <c r="J223" s="265"/>
      <c r="K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G226" s="265"/>
      <c r="H226" s="265"/>
      <c r="I226" s="265"/>
      <c r="J226" s="265"/>
      <c r="K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G227" s="265"/>
      <c r="H227" s="265"/>
      <c r="I227" s="265"/>
      <c r="J227" s="265"/>
      <c r="K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G228" s="265"/>
      <c r="H228" s="265"/>
      <c r="I228" s="265"/>
      <c r="J228" s="265"/>
      <c r="K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265"/>
      <c r="G229" s="265"/>
      <c r="H229" s="265"/>
      <c r="I229" s="265"/>
      <c r="J229" s="265"/>
      <c r="K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265"/>
      <c r="G230" s="265"/>
      <c r="H230" s="265"/>
      <c r="I230" s="265"/>
      <c r="J230" s="265"/>
      <c r="K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265"/>
      <c r="G231" s="265"/>
      <c r="H231" s="265"/>
      <c r="I231" s="265"/>
      <c r="J231" s="265"/>
      <c r="K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55.3225615167406</v>
      </c>
      <c r="F232" s="265"/>
      <c r="G232" s="265"/>
      <c r="H232" s="265"/>
      <c r="I232" s="265"/>
      <c r="J232" s="265"/>
      <c r="K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265"/>
      <c r="G233" s="265"/>
      <c r="H233" s="265"/>
      <c r="I233" s="265"/>
      <c r="J233" s="265"/>
      <c r="K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G234" s="265"/>
      <c r="H234" s="265"/>
      <c r="I234" s="265"/>
      <c r="J234" s="265"/>
      <c r="K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265"/>
      <c r="G235" s="265"/>
      <c r="H235" s="265"/>
      <c r="I235" s="265"/>
      <c r="J235" s="265"/>
      <c r="K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G236" s="265"/>
      <c r="H236" s="265"/>
      <c r="I236" s="265"/>
      <c r="J236" s="265"/>
      <c r="K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G237" s="265"/>
      <c r="H237" s="265"/>
      <c r="I237" s="265"/>
      <c r="J237" s="265"/>
      <c r="K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G238" s="265"/>
      <c r="H238" s="265"/>
      <c r="I238" s="265"/>
      <c r="J238" s="265"/>
      <c r="K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G239" s="265"/>
      <c r="H239" s="265"/>
      <c r="I239" s="265"/>
      <c r="J239" s="265"/>
      <c r="K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G240" s="265"/>
      <c r="H240" s="265"/>
      <c r="I240" s="265"/>
      <c r="J240" s="265"/>
      <c r="K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G241" s="265"/>
      <c r="H241" s="265"/>
      <c r="I241" s="265"/>
      <c r="J241" s="265"/>
      <c r="K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G242" s="265"/>
      <c r="H242" s="265"/>
      <c r="I242" s="265"/>
      <c r="J242" s="265"/>
      <c r="K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65"/>
      <c r="B243" s="265"/>
      <c r="C243" s="265"/>
      <c r="D243" s="265"/>
      <c r="E243" s="265"/>
      <c r="F243" s="265"/>
      <c r="G243" s="265"/>
      <c r="H243" s="265"/>
      <c r="I243" s="265"/>
      <c r="J243" s="265"/>
      <c r="K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265"/>
      <c r="B244" s="265"/>
      <c r="C244" s="265"/>
      <c r="D244" s="265"/>
      <c r="E244" s="265"/>
      <c r="F244" s="265"/>
      <c r="G244" s="265"/>
      <c r="H244" s="265"/>
      <c r="I244" s="265"/>
      <c r="J244" s="265"/>
      <c r="K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65"/>
      <c r="B245" s="265"/>
      <c r="C245" s="265"/>
      <c r="D245" s="265"/>
      <c r="E245" s="265"/>
      <c r="F245" s="265"/>
      <c r="G245" s="265"/>
      <c r="H245" s="265"/>
      <c r="I245" s="265"/>
      <c r="J245" s="265"/>
      <c r="K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65"/>
      <c r="B246" s="265"/>
      <c r="C246" s="265"/>
      <c r="D246" s="265"/>
      <c r="E246" s="265"/>
      <c r="F246" s="265"/>
      <c r="G246" s="265"/>
      <c r="H246" s="265"/>
      <c r="I246" s="265"/>
      <c r="J246" s="265"/>
      <c r="K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265"/>
      <c r="B247" s="265"/>
      <c r="C247" s="265"/>
      <c r="D247" s="265"/>
      <c r="E247" s="265"/>
      <c r="F247" s="265"/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65"/>
      <c r="B248" s="265"/>
      <c r="C248" s="265"/>
      <c r="D248" s="265"/>
      <c r="E248" s="265"/>
      <c r="F248" s="265"/>
      <c r="G248" s="265"/>
      <c r="H248" s="265"/>
      <c r="I248" s="265"/>
      <c r="J248" s="265"/>
      <c r="K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75" zoomScaleNormal="75" zoomScalePageLayoutView="100" workbookViewId="0">
      <selection pane="topLeft" activeCell="H41" activeCellId="0" sqref="H4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265"/>
      <c r="I8" s="13" t="s">
        <v>3</v>
      </c>
      <c r="J8" s="14" t="n">
        <f aca="false">E13+E14</f>
        <v>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265"/>
      <c r="I10" s="16" t="s">
        <v>1</v>
      </c>
      <c r="J10" s="14" t="n">
        <f aca="false">E15-E11-J8</f>
        <v>0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45015</v>
      </c>
      <c r="E29" s="287"/>
      <c r="F29" s="265"/>
      <c r="G29" s="29" t="s">
        <v>28</v>
      </c>
      <c r="H29" s="37" t="n">
        <f aca="false">A32</f>
        <v>12</v>
      </c>
      <c r="I29" s="392" t="n">
        <f aca="false">ISNUMBER(I31)</f>
        <v>0</v>
      </c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272</v>
      </c>
      <c r="B34" s="227" t="s">
        <v>48</v>
      </c>
      <c r="C34" s="226" t="s">
        <v>4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90" t="n">
        <f aca="false">A35-B35</f>
        <v>-1000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4</v>
      </c>
      <c r="G40" s="2" t="s">
        <v>58</v>
      </c>
      <c r="H40" s="2" t="n">
        <f aca="false">C15</f>
        <v>4625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265"/>
      <c r="G41" s="2" t="s">
        <v>59</v>
      </c>
      <c r="H41" s="2" t="n">
        <f aca="false">IF(D41="Yes",A44, 0)</f>
        <v>0</v>
      </c>
      <c r="I41" s="2" t="s">
        <v>4</v>
      </c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120</v>
      </c>
      <c r="B43" s="236" t="s">
        <v>69</v>
      </c>
      <c r="C43" s="226" t="s">
        <v>4</v>
      </c>
      <c r="D43" s="236" t="s">
        <v>209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n">
        <v>0</v>
      </c>
      <c r="B44" s="100" t="s">
        <v>271</v>
      </c>
      <c r="C44" s="100"/>
      <c r="D44" s="100" t="n">
        <v>0</v>
      </c>
      <c r="E44" s="100"/>
      <c r="F44" s="265"/>
      <c r="G44" s="2" t="s">
        <v>67</v>
      </c>
      <c r="H44" s="2" t="n">
        <f aca="false">((H40-(((H42/(1.2))*0.2)))/(H43))</f>
        <v>302.083333333333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197.916666666667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6" t="s">
        <v>273</v>
      </c>
      <c r="C46" s="226" t="s">
        <v>4</v>
      </c>
      <c r="D46" s="226"/>
      <c r="E46" s="239"/>
      <c r="F46" s="265" t="n">
        <v>0</v>
      </c>
      <c r="G46" s="2" t="s">
        <v>73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272</v>
      </c>
      <c r="B47" s="226"/>
      <c r="C47" s="226"/>
      <c r="D47" s="226"/>
      <c r="E47" s="239"/>
      <c r="F47" s="265"/>
      <c r="G47" s="2" t="s">
        <v>74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76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77</v>
      </c>
      <c r="H49" s="2" t="n">
        <f aca="false">H45+H48+H47</f>
        <v>200.583333333333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265"/>
      <c r="G50" s="2" t="s">
        <v>274</v>
      </c>
      <c r="H50" s="2" t="n">
        <f aca="false">H49-H41</f>
        <v>200.583333333333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200.583333333333</v>
      </c>
      <c r="C58" s="74"/>
      <c r="D58" s="393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87</v>
      </c>
      <c r="B63" s="280" t="n">
        <f aca="false">IF(B105=Z103,1,IF(B105=Z104,1,IF(B105=Z105,3,IF(B105=Z106,6,IF(B105=Z107,9,IF(B105=Z108,12,IF(B105=Z109,3,IF(B105=Z110,6,IF(B105=Z111,9,0)))))))))</f>
        <v>9</v>
      </c>
      <c r="C63" s="280"/>
      <c r="D63" s="280"/>
      <c r="E63" s="283"/>
      <c r="F63" s="265"/>
      <c r="G63" s="281" t="s">
        <v>87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87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88</v>
      </c>
      <c r="B64" s="280" t="n">
        <f aca="false">IF(B105=Z103,H29-B63,IF(B105=Z104,H29-B63,IF(B105=Z105,H29-1,IF(B105=Z106,H29-1,IF(B105=Z107,H29-1,IF(B105=Z108,H29-1,IF(B105=Z109,H29-B63,IF(B105=Z110,H29-B63,IF(B105=Z111,H29-B63,0)))))))))</f>
        <v>3</v>
      </c>
      <c r="C64" s="280" t="s">
        <v>4</v>
      </c>
      <c r="D64" s="280"/>
      <c r="E64" s="283"/>
      <c r="F64" s="265"/>
      <c r="G64" s="281" t="s">
        <v>88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88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80"/>
      <c r="D67" s="280"/>
      <c r="E67" s="283"/>
      <c r="F67" s="265"/>
      <c r="G67" s="281" t="s">
        <v>14</v>
      </c>
      <c r="H67" s="32" t="n">
        <f aca="false">G18</f>
        <v>37404</v>
      </c>
      <c r="I67" s="280"/>
      <c r="J67" s="280"/>
      <c r="K67" s="283"/>
      <c r="L67" s="265"/>
      <c r="M67" s="281" t="s">
        <v>14</v>
      </c>
      <c r="N67" s="32" t="n">
        <f aca="false">G18</f>
        <v>37404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310" t="s">
        <v>93</v>
      </c>
      <c r="B70" s="129" t="n">
        <f aca="false">B67*B69</f>
        <v>2618.28</v>
      </c>
      <c r="C70" s="280" t="n">
        <v>10000</v>
      </c>
      <c r="D70" s="32" t="n">
        <f aca="false">B70-A149</f>
        <v>2618.28</v>
      </c>
      <c r="E70" s="283" t="n">
        <f aca="false">D70/12</f>
        <v>218.19</v>
      </c>
      <c r="F70" s="265"/>
      <c r="G70" s="298" t="s">
        <v>93</v>
      </c>
      <c r="H70" s="65" t="n">
        <f aca="false">H67*H69</f>
        <v>2618.28</v>
      </c>
      <c r="I70" s="280"/>
      <c r="J70" s="32" t="n">
        <f aca="false">H70-G151</f>
        <v>2618.28</v>
      </c>
      <c r="K70" s="283"/>
      <c r="L70" s="265"/>
      <c r="M70" s="298" t="s">
        <v>93</v>
      </c>
      <c r="N70" s="65" t="n">
        <f aca="false">N67*N69</f>
        <v>2618.28</v>
      </c>
      <c r="O70" s="280"/>
      <c r="P70" s="32" t="n">
        <f aca="false">N70-M151</f>
        <v>2618.28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4" t="s">
        <v>94</v>
      </c>
      <c r="B71" s="305" t="n">
        <v>0.01</v>
      </c>
      <c r="C71" s="280"/>
      <c r="D71" s="280"/>
      <c r="E71" s="283"/>
      <c r="F71" s="265"/>
      <c r="G71" s="306" t="s">
        <v>94</v>
      </c>
      <c r="H71" s="307" t="n">
        <v>0.005</v>
      </c>
      <c r="I71" s="280"/>
      <c r="J71" s="280"/>
      <c r="K71" s="283"/>
      <c r="L71" s="265"/>
      <c r="M71" s="306" t="s">
        <v>94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80"/>
      <c r="D72" s="280"/>
      <c r="E72" s="283"/>
      <c r="F72" s="265"/>
      <c r="G72" s="281" t="s">
        <v>95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95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80"/>
      <c r="D73" s="32"/>
      <c r="E73" s="283"/>
      <c r="F73" s="265"/>
      <c r="G73" s="298" t="s">
        <v>96</v>
      </c>
      <c r="H73" s="65" t="n">
        <f aca="false">H67*H72</f>
        <v>187.02</v>
      </c>
      <c r="I73" s="280"/>
      <c r="J73" s="32"/>
      <c r="K73" s="283"/>
      <c r="L73" s="265"/>
      <c r="M73" s="298" t="s">
        <v>96</v>
      </c>
      <c r="N73" s="65" t="n">
        <f aca="false">N67*N72</f>
        <v>187.02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97</v>
      </c>
      <c r="B74" s="307" t="n">
        <v>0.0075</v>
      </c>
      <c r="C74" s="280"/>
      <c r="D74" s="280"/>
      <c r="E74" s="283"/>
      <c r="F74" s="265"/>
      <c r="G74" s="306" t="s">
        <v>97</v>
      </c>
      <c r="H74" s="307" t="n">
        <v>0.0075</v>
      </c>
      <c r="I74" s="280"/>
      <c r="J74" s="280"/>
      <c r="K74" s="283"/>
      <c r="L74" s="265"/>
      <c r="M74" s="306" t="s">
        <v>97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98</v>
      </c>
      <c r="B75" s="312" t="n">
        <v>0.12</v>
      </c>
      <c r="C75" s="280"/>
      <c r="D75" s="280"/>
      <c r="E75" s="283"/>
      <c r="F75" s="265"/>
      <c r="G75" s="311" t="s">
        <v>98</v>
      </c>
      <c r="H75" s="312" t="n">
        <v>0.12</v>
      </c>
      <c r="I75" s="280"/>
      <c r="J75" s="280"/>
      <c r="K75" s="283"/>
      <c r="L75" s="265"/>
      <c r="M75" s="311" t="s">
        <v>98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99</v>
      </c>
      <c r="B76" s="313" t="n">
        <f aca="false">B74*(1+B75)</f>
        <v>0.0084</v>
      </c>
      <c r="C76" s="280"/>
      <c r="D76" s="280"/>
      <c r="E76" s="283"/>
      <c r="F76" s="265"/>
      <c r="G76" s="298" t="s">
        <v>99</v>
      </c>
      <c r="H76" s="313" t="n">
        <f aca="false">H74*(1+H75)</f>
        <v>0.0084</v>
      </c>
      <c r="I76" s="280"/>
      <c r="J76" s="280"/>
      <c r="K76" s="283"/>
      <c r="L76" s="265"/>
      <c r="M76" s="298" t="s">
        <v>99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100</v>
      </c>
      <c r="B77" s="86" t="n">
        <v>200</v>
      </c>
      <c r="C77" s="280"/>
      <c r="D77" s="280"/>
      <c r="E77" s="283"/>
      <c r="F77" s="265"/>
      <c r="G77" s="306" t="s">
        <v>100</v>
      </c>
      <c r="H77" s="86" t="n">
        <v>160</v>
      </c>
      <c r="I77" s="280"/>
      <c r="J77" s="280"/>
      <c r="K77" s="283"/>
      <c r="L77" s="265"/>
      <c r="M77" s="306" t="s">
        <v>100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101</v>
      </c>
      <c r="B78" s="77" t="n">
        <v>5</v>
      </c>
      <c r="C78" s="280"/>
      <c r="D78" s="280"/>
      <c r="E78" s="283"/>
      <c r="F78" s="265"/>
      <c r="G78" s="311" t="s">
        <v>101</v>
      </c>
      <c r="H78" s="77" t="n">
        <v>4.5</v>
      </c>
      <c r="I78" s="280"/>
      <c r="J78" s="280"/>
      <c r="K78" s="283"/>
      <c r="L78" s="265"/>
      <c r="M78" s="311" t="s">
        <v>101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102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102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102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6" t="n">
        <v>165</v>
      </c>
      <c r="C80" s="280"/>
      <c r="D80" s="280"/>
      <c r="E80" s="314" t="n">
        <f aca="false">E79+D82</f>
        <v>838.75</v>
      </c>
      <c r="F80" s="265"/>
      <c r="G80" s="306" t="s">
        <v>278</v>
      </c>
      <c r="H80" s="86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7" t="n">
        <v>0</v>
      </c>
      <c r="C81" s="280"/>
      <c r="D81" s="280"/>
      <c r="E81" s="283" t="n">
        <f aca="false">E80/12</f>
        <v>69.8958333333333</v>
      </c>
      <c r="F81" s="265"/>
      <c r="G81" s="311" t="s">
        <v>279</v>
      </c>
      <c r="H81" s="77" t="n">
        <f aca="false">IF(G18&gt;40000, 325, 0)</f>
        <v>0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5" t="n">
        <f aca="false">((B80+B81)/12)*(H29+1)</f>
        <v>178.75</v>
      </c>
      <c r="C82" s="280"/>
      <c r="D82" s="32" t="n">
        <f aca="false">IF(A50="YES", 0, B82)</f>
        <v>178.75</v>
      </c>
      <c r="E82" s="283"/>
      <c r="F82" s="265"/>
      <c r="G82" s="298" t="s">
        <v>280</v>
      </c>
      <c r="H82" s="65" t="n">
        <f aca="false">((H80+H81)/12)*(H29-11)</f>
        <v>12.5</v>
      </c>
      <c r="I82" s="280"/>
      <c r="J82" s="32" t="n">
        <f aca="false">IF(A50="YES", 0, H82)</f>
        <v>12.5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103</v>
      </c>
      <c r="B85" s="77" t="n">
        <v>200</v>
      </c>
      <c r="C85" s="280"/>
      <c r="D85" s="32" t="n">
        <f aca="false">B85</f>
        <v>200</v>
      </c>
      <c r="E85" s="283"/>
      <c r="F85" s="265"/>
      <c r="G85" s="311" t="s">
        <v>103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103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104</v>
      </c>
      <c r="B86" s="87" t="n">
        <v>200</v>
      </c>
      <c r="C86" s="280"/>
      <c r="D86" s="32" t="n">
        <f aca="false">B86</f>
        <v>200</v>
      </c>
      <c r="E86" s="283"/>
      <c r="F86" s="265"/>
      <c r="G86" s="321" t="s">
        <v>104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104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105</v>
      </c>
      <c r="B87" s="323" t="n">
        <f aca="false">SUM(D70:D86)</f>
        <v>4123.69666666667</v>
      </c>
      <c r="C87" s="280"/>
      <c r="D87" s="280"/>
      <c r="E87" s="283"/>
      <c r="F87" s="265"/>
      <c r="G87" s="322" t="s">
        <v>105</v>
      </c>
      <c r="H87" s="323" t="n">
        <f aca="false">SUM(J70:J86)</f>
        <v>5744.78</v>
      </c>
      <c r="I87" s="280"/>
      <c r="J87" s="280"/>
      <c r="K87" s="283"/>
      <c r="L87" s="265"/>
      <c r="M87" s="322" t="s">
        <v>105</v>
      </c>
      <c r="N87" s="323" t="n">
        <f aca="false">SUM(P70:P86)</f>
        <v>5732.28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106</v>
      </c>
      <c r="B88" s="33" t="n">
        <f aca="false">B87/H29</f>
        <v>343.641388888889</v>
      </c>
      <c r="C88" s="280"/>
      <c r="D88" s="280"/>
      <c r="E88" s="283"/>
      <c r="F88" s="265"/>
      <c r="G88" s="281" t="s">
        <v>106</v>
      </c>
      <c r="H88" s="33" t="n">
        <f aca="false">H87/H29</f>
        <v>478.731666666667</v>
      </c>
      <c r="I88" s="280"/>
      <c r="J88" s="280"/>
      <c r="K88" s="283"/>
      <c r="L88" s="265"/>
      <c r="M88" s="281" t="s">
        <v>106</v>
      </c>
      <c r="N88" s="33" t="n">
        <f aca="false">N87/H29</f>
        <v>477.69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107</v>
      </c>
      <c r="B89" s="59" t="n">
        <f aca="false">H50</f>
        <v>200.583333333333</v>
      </c>
      <c r="C89" s="280"/>
      <c r="D89" s="280"/>
      <c r="E89" s="283"/>
      <c r="F89" s="265"/>
      <c r="G89" s="324" t="s">
        <v>107</v>
      </c>
      <c r="H89" s="59" t="n">
        <f aca="false">H46</f>
        <v>0</v>
      </c>
      <c r="I89" s="280"/>
      <c r="J89" s="280"/>
      <c r="K89" s="283"/>
      <c r="L89" s="265"/>
      <c r="M89" s="324" t="s">
        <v>107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117</v>
      </c>
      <c r="B91" s="27" t="n">
        <f aca="false">((B89*H29)+B87)</f>
        <v>6530.69666666667</v>
      </c>
      <c r="C91" s="280"/>
      <c r="D91" s="280"/>
      <c r="E91" s="283"/>
      <c r="F91" s="265"/>
      <c r="G91" s="301" t="s">
        <v>117</v>
      </c>
      <c r="H91" s="27" t="n">
        <f aca="false">((H89*H29)+H87)*1.2</f>
        <v>6893.736</v>
      </c>
      <c r="I91" s="280"/>
      <c r="J91" s="280"/>
      <c r="K91" s="283"/>
      <c r="L91" s="265"/>
      <c r="M91" s="301" t="s">
        <v>117</v>
      </c>
      <c r="N91" s="27" t="n">
        <f aca="false">((N89*H29)+N87)</f>
        <v>5732.28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118</v>
      </c>
      <c r="B92" s="33" t="n">
        <f aca="false">(((B89*H29)+B87)/(1-B76))*B76</f>
        <v>55.3225615167406</v>
      </c>
      <c r="C92" s="280"/>
      <c r="D92" s="280"/>
      <c r="E92" s="325"/>
      <c r="F92" s="265"/>
      <c r="G92" s="281" t="s">
        <v>118</v>
      </c>
      <c r="H92" s="33" t="n">
        <f aca="false">(((H89*H29)+H87)/(1-H76))*H76</f>
        <v>48.6649374747882</v>
      </c>
      <c r="I92" s="280"/>
      <c r="J92" s="280"/>
      <c r="K92" s="283"/>
      <c r="L92" s="265"/>
      <c r="M92" s="281" t="s">
        <v>118</v>
      </c>
      <c r="N92" s="33" t="n">
        <f aca="false">(N91/(1-N76))*N76</f>
        <v>48.5590480032271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119</v>
      </c>
      <c r="B93" s="65" t="n">
        <f aca="false">IF(B116="YES",((B91+B92)-E120),(B91+B92))</f>
        <v>2586.01922818341</v>
      </c>
      <c r="C93" s="280"/>
      <c r="D93" s="280"/>
      <c r="E93" s="283"/>
      <c r="F93" s="265"/>
      <c r="G93" s="298" t="s">
        <v>119</v>
      </c>
      <c r="H93" s="65" t="n">
        <f aca="false">IF(H116="YES",((H91+H92)-K120),(H91+H92))</f>
        <v>8942.40093747479</v>
      </c>
      <c r="I93" s="280"/>
      <c r="J93" s="280"/>
      <c r="K93" s="283"/>
      <c r="L93" s="265"/>
      <c r="M93" s="298" t="s">
        <v>119</v>
      </c>
      <c r="N93" s="65" t="n">
        <f aca="false">IF(N116="YES",((N91+N92)-K120),(N91+N92))</f>
        <v>7780.83904800323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120</v>
      </c>
      <c r="B95" s="323" t="n">
        <f aca="false">IF(B105=Z104,(((H41*A32)+(H41*A32)*(B111/100))/(B64)),(((H41*A32)+(H41*A32)*(B111/100))/(B63+B64)))</f>
        <v>0</v>
      </c>
      <c r="C95" s="280"/>
      <c r="D95" s="280"/>
      <c r="E95" s="283"/>
      <c r="F95" s="265"/>
      <c r="G95" s="322" t="s">
        <v>120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120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121</v>
      </c>
      <c r="B96" s="327" t="n">
        <f aca="false">IF(B105=Z104, (B93-D111)/(B64), B93/(B63+B64))</f>
        <v>215.501602348617</v>
      </c>
      <c r="C96" s="280" t="s">
        <v>4</v>
      </c>
      <c r="D96" s="280"/>
      <c r="E96" s="283"/>
      <c r="F96" s="265"/>
      <c r="G96" s="326" t="s">
        <v>121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121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122</v>
      </c>
      <c r="B97" s="329" t="n">
        <f aca="false">IF(A111="YES", B96+B95, B96)</f>
        <v>215.501602348617</v>
      </c>
      <c r="C97" s="280"/>
      <c r="D97" s="330"/>
      <c r="E97" s="283"/>
      <c r="F97" s="265"/>
      <c r="G97" s="328" t="s">
        <v>122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122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265"/>
      <c r="G100" s="209" t="s">
        <v>285</v>
      </c>
      <c r="H100" s="209"/>
      <c r="I100" s="209"/>
      <c r="J100" s="209"/>
      <c r="K100" s="209"/>
      <c r="L100" s="265"/>
      <c r="M100" s="209" t="s">
        <v>286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265"/>
      <c r="G102" s="213" t="s">
        <v>127</v>
      </c>
      <c r="H102" s="213"/>
      <c r="I102" s="213"/>
      <c r="J102" s="213"/>
      <c r="K102" s="213"/>
      <c r="L102" s="265"/>
      <c r="M102" s="213" t="s">
        <v>127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131</v>
      </c>
    </row>
    <row r="104" customFormat="false" ht="18.75" hidden="false" customHeight="true" outlineLevel="0" collapsed="false">
      <c r="A104" s="281" t="s">
        <v>128</v>
      </c>
      <c r="B104" s="280" t="s">
        <v>23</v>
      </c>
      <c r="C104" s="280"/>
      <c r="D104" s="280" t="s">
        <v>287</v>
      </c>
      <c r="E104" s="283"/>
      <c r="F104" s="265"/>
      <c r="G104" s="281" t="s">
        <v>128</v>
      </c>
      <c r="H104" s="280" t="s">
        <v>23</v>
      </c>
      <c r="I104" s="280"/>
      <c r="J104" s="280" t="s">
        <v>287</v>
      </c>
      <c r="K104" s="283"/>
      <c r="L104" s="265"/>
      <c r="M104" s="281" t="s">
        <v>128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339</v>
      </c>
      <c r="C105" s="331"/>
      <c r="D105" s="332" t="n">
        <v>1000</v>
      </c>
      <c r="E105" s="332"/>
      <c r="F105" s="265"/>
      <c r="G105" s="284" t="s">
        <v>288</v>
      </c>
      <c r="H105" s="331" t="s">
        <v>265</v>
      </c>
      <c r="I105" s="331"/>
      <c r="J105" s="332" t="n">
        <v>5000</v>
      </c>
      <c r="K105" s="332"/>
      <c r="L105" s="265"/>
      <c r="M105" s="284" t="s">
        <v>288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129</v>
      </c>
      <c r="B110" s="265" t="s">
        <v>132</v>
      </c>
      <c r="C110" s="280"/>
      <c r="D110" s="280" t="s">
        <v>143</v>
      </c>
      <c r="E110" s="283"/>
      <c r="F110" s="265"/>
      <c r="G110" s="284" t="s">
        <v>129</v>
      </c>
      <c r="H110" s="265" t="s">
        <v>132</v>
      </c>
      <c r="I110" s="280"/>
      <c r="J110" s="280" t="s">
        <v>143</v>
      </c>
      <c r="K110" s="283"/>
      <c r="L110" s="265"/>
      <c r="M110" s="284" t="s">
        <v>129</v>
      </c>
      <c r="N110" s="265" t="s">
        <v>132</v>
      </c>
      <c r="O110" s="280"/>
      <c r="P110" s="280" t="s">
        <v>143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19</v>
      </c>
      <c r="B111" s="331" t="n">
        <v>0</v>
      </c>
      <c r="C111" s="331"/>
      <c r="D111" s="103" t="s">
        <v>340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265"/>
      <c r="G114" s="213" t="s">
        <v>293</v>
      </c>
      <c r="H114" s="213"/>
      <c r="I114" s="213"/>
      <c r="J114" s="213"/>
      <c r="K114" s="213"/>
      <c r="L114" s="265"/>
      <c r="M114" s="213" t="s">
        <v>293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18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177</v>
      </c>
      <c r="B118" s="280"/>
      <c r="C118" s="280"/>
      <c r="D118" s="333" t="n">
        <v>10000</v>
      </c>
      <c r="E118" s="103" t="n">
        <v>6000</v>
      </c>
      <c r="F118" s="265"/>
      <c r="G118" s="281" t="s">
        <v>177</v>
      </c>
      <c r="H118" s="280"/>
      <c r="I118" s="280"/>
      <c r="J118" s="333" t="n">
        <v>10000</v>
      </c>
      <c r="K118" s="103" t="n">
        <v>5000</v>
      </c>
      <c r="L118" s="265"/>
      <c r="M118" s="281" t="s">
        <v>177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178</v>
      </c>
      <c r="B119" s="280"/>
      <c r="C119" s="280"/>
      <c r="D119" s="39" t="n">
        <f aca="false">E119</f>
        <v>2000</v>
      </c>
      <c r="E119" s="103" t="n">
        <v>2000</v>
      </c>
      <c r="F119" s="265"/>
      <c r="G119" s="281" t="s">
        <v>178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178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179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179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179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180</v>
      </c>
      <c r="B121" s="280"/>
      <c r="C121" s="280"/>
      <c r="D121" s="39" t="n">
        <f aca="false">D120-E120</f>
        <v>4000</v>
      </c>
      <c r="E121" s="283"/>
      <c r="F121" s="265"/>
      <c r="G121" s="281" t="s">
        <v>180</v>
      </c>
      <c r="H121" s="280"/>
      <c r="I121" s="280"/>
      <c r="J121" s="39" t="n">
        <f aca="false">J120-K120</f>
        <v>5000</v>
      </c>
      <c r="K121" s="283"/>
      <c r="L121" s="265"/>
      <c r="M121" s="281" t="s">
        <v>180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139</v>
      </c>
      <c r="B123" s="302"/>
      <c r="C123" s="302"/>
      <c r="D123" s="302"/>
      <c r="E123" s="27" t="n">
        <f aca="false">D105</f>
        <v>1000</v>
      </c>
      <c r="F123" s="265"/>
      <c r="G123" s="301" t="s">
        <v>139</v>
      </c>
      <c r="H123" s="302"/>
      <c r="I123" s="302"/>
      <c r="J123" s="302"/>
      <c r="K123" s="27" t="n">
        <f aca="false">J105</f>
        <v>5000</v>
      </c>
      <c r="L123" s="265"/>
      <c r="M123" s="301" t="s">
        <v>139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199.99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5" t="n">
        <f aca="false">(E124+E123)-E120</f>
        <v>-2800.01</v>
      </c>
      <c r="F125" s="265"/>
      <c r="G125" s="335" t="s">
        <v>295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265"/>
      <c r="G128" s="213" t="s">
        <v>296</v>
      </c>
      <c r="H128" s="213"/>
      <c r="I128" s="213"/>
      <c r="J128" s="213"/>
      <c r="K128" s="213"/>
      <c r="L128" s="265"/>
      <c r="M128" s="213" t="s">
        <v>296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265"/>
      <c r="G130" s="281" t="s">
        <v>184</v>
      </c>
      <c r="H130" s="169" t="n">
        <v>0</v>
      </c>
      <c r="I130" s="169"/>
      <c r="J130" s="280"/>
      <c r="K130" s="283"/>
      <c r="L130" s="265"/>
      <c r="M130" s="281" t="s">
        <v>184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85</v>
      </c>
      <c r="H132" s="280" t="s">
        <v>86</v>
      </c>
      <c r="I132" s="280"/>
      <c r="J132" s="280" t="s">
        <v>88</v>
      </c>
      <c r="K132" s="283"/>
      <c r="L132" s="265"/>
      <c r="M132" s="281" t="s">
        <v>85</v>
      </c>
      <c r="N132" s="280" t="s">
        <v>86</v>
      </c>
      <c r="O132" s="280"/>
      <c r="P132" s="280" t="s">
        <v>88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3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3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215.501602348617</v>
      </c>
      <c r="B134" s="338" t="n">
        <f aca="false">IF(A111="YES", B95, 0)</f>
        <v>0</v>
      </c>
      <c r="C134" s="394"/>
      <c r="D134" s="338" t="n">
        <f aca="false">B97</f>
        <v>215.501602348617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248</v>
      </c>
      <c r="O135" s="345"/>
      <c r="P135" s="345" t="s">
        <v>122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1939.51442113756</v>
      </c>
      <c r="C137" s="280"/>
      <c r="D137" s="38" t="n">
        <f aca="false">IF(A111="YES", B95*B63, 0)</f>
        <v>0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1939.51442113756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265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265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215.501602348617</v>
      </c>
      <c r="B143" s="38" t="n">
        <f aca="false">IF(A111="YES", B95, 0)</f>
        <v>0</v>
      </c>
      <c r="C143" s="280"/>
      <c r="D143" s="38" t="n">
        <f aca="false">B97</f>
        <v>215.501602348617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142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265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4625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85</v>
      </c>
      <c r="H156" s="247" t="s">
        <v>86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85</v>
      </c>
      <c r="N159" s="247" t="s">
        <v>86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215.501602348617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392" t="n">
        <f aca="false">ISNUMBER(B183)</f>
        <v>1</v>
      </c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215.501602348617</v>
      </c>
      <c r="B177" s="367" t="n">
        <f aca="false">IF(A111="YES", B95, 0)</f>
        <v>0</v>
      </c>
      <c r="C177" s="395"/>
      <c r="D177" s="367" t="n">
        <f aca="false">B91</f>
        <v>6530.69666666667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1939.51442113756</v>
      </c>
      <c r="C180" s="282"/>
      <c r="D180" s="99" t="n">
        <f aca="false">IF(A111="YES", B95*B63, 0)</f>
        <v>0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1939.51442113756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215.501602348617</v>
      </c>
      <c r="B186" s="99" t="n">
        <f aca="false">IF(A111="YES", B95, 0)</f>
        <v>0</v>
      </c>
      <c r="C186" s="282"/>
      <c r="D186" s="99" t="n">
        <f aca="false">B97</f>
        <v>215.501602348617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D70</f>
        <v>2618.28</v>
      </c>
      <c r="E209" s="339"/>
      <c r="F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339.99</v>
      </c>
      <c r="E211" s="339"/>
      <c r="F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218</v>
      </c>
      <c r="B213" s="338" t="n">
        <f aca="false">E223</f>
        <v>2584.23</v>
      </c>
      <c r="C213" s="342"/>
      <c r="D213" s="338"/>
      <c r="E213" s="339"/>
      <c r="F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215</v>
      </c>
      <c r="B217" s="100" t="n">
        <f aca="false">D70</f>
        <v>2618.28</v>
      </c>
      <c r="C217" s="381" t="s">
        <v>221</v>
      </c>
      <c r="D217" s="280"/>
      <c r="E217" s="309" t="n">
        <f aca="false">B72</f>
        <v>0.01</v>
      </c>
      <c r="F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2584.23</v>
      </c>
      <c r="F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55.3225615167406</v>
      </c>
      <c r="F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81"/>
      <c r="B243" s="280"/>
      <c r="C243" s="280"/>
      <c r="D243" s="280"/>
      <c r="E243" s="283"/>
      <c r="F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81"/>
      <c r="B245" s="280"/>
      <c r="C245" s="280"/>
      <c r="D245" s="280"/>
      <c r="E245" s="283"/>
      <c r="F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81"/>
      <c r="B246" s="280"/>
      <c r="C246" s="280"/>
      <c r="D246" s="280"/>
      <c r="E246" s="283"/>
      <c r="F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107"/>
      <c r="B247" s="38"/>
      <c r="C247" s="280"/>
      <c r="D247" s="280"/>
      <c r="E247" s="283"/>
      <c r="F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98"/>
      <c r="B248" s="299"/>
      <c r="C248" s="299"/>
      <c r="D248" s="299"/>
      <c r="E248" s="300"/>
      <c r="F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241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341</v>
      </c>
      <c r="B41" s="237" t="n">
        <f aca="false">IF(B38="YES", D38+A41, D38)</f>
        <v>560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342</v>
      </c>
      <c r="E44" s="100"/>
      <c r="F44" s="63"/>
      <c r="G44" s="63" t="s">
        <v>253</v>
      </c>
      <c r="H44" s="234" t="str">
        <f aca="false">H32</f>
        <v>60</v>
      </c>
      <c r="I44" s="292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273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278</v>
      </c>
      <c r="B80" s="414" t="n">
        <v>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279</v>
      </c>
      <c r="B81" s="416" t="n">
        <v>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2602.5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216.875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8614.5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72.9747882210569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4687.47478822106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390.622899018421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468.622899018422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4" t="n">
        <v>30</v>
      </c>
      <c r="C111" s="334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390.622899018421</v>
      </c>
      <c r="B134" s="338" t="n">
        <f aca="false">IF(A111="YES", B95, 0)</f>
        <v>78</v>
      </c>
      <c r="C134" s="394"/>
      <c r="D134" s="338" t="n">
        <f aca="false">B97</f>
        <v>468.622899018422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3515.60609116579</v>
      </c>
      <c r="C137" s="280"/>
      <c r="D137" s="38" t="n">
        <f aca="false">IF(A111="YES", B95*B63, 0)</f>
        <v>702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4217.60609116579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390.622899018421</v>
      </c>
      <c r="B143" s="38" t="n">
        <f aca="false">IF(A111="YES", B95, 0)</f>
        <v>78</v>
      </c>
      <c r="C143" s="280"/>
      <c r="D143" s="38" t="n">
        <f aca="false">B97</f>
        <v>468.622899018422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1390.238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1350.24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0</v>
      </c>
      <c r="C154" s="38"/>
      <c r="D154" s="38" t="n">
        <f aca="false">IF(A111="YES", (A41/100*B111)*B131, 0)*0.1</f>
        <v>21.6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495.63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468.622899018422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390.622899018421</v>
      </c>
      <c r="B177" s="367" t="n">
        <f aca="false">IF(A111="YES", B95, 0)</f>
        <v>78</v>
      </c>
      <c r="C177" s="395"/>
      <c r="D177" s="367" t="n">
        <f aca="false">B91</f>
        <v>8614.5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3515.60609116579</v>
      </c>
      <c r="C180" s="282"/>
      <c r="D180" s="99" t="n">
        <f aca="false">IF(A111="YES", B95*B63, 0)</f>
        <v>702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4217.60609116579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390.622899018421</v>
      </c>
      <c r="B186" s="99" t="n">
        <f aca="false">IF(A111="YES", B95, 0)</f>
        <v>78</v>
      </c>
      <c r="C186" s="282"/>
      <c r="D186" s="99" t="n">
        <f aca="false">B97</f>
        <v>468.622899018422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495.63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315.99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1884.45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218</v>
      </c>
      <c r="D223" s="280"/>
      <c r="E223" s="33" t="n">
        <f aca="false">(B217-B211+D211)</f>
        <v>1884.45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216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72.9747882210569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343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4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1223.33333333333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101.944444444444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563.333333333333</v>
      </c>
      <c r="C82" s="211"/>
      <c r="D82" s="277" t="n">
        <f aca="false">IF(A50="YES", 0, B82)</f>
        <v>563.333333333333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3832.5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319.375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((B89*H29)+B87)*1.2</f>
        <v>11813.4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83.3943122226704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7896.79431222267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658.066192685223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736.066192685223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658.066192685223</v>
      </c>
      <c r="B134" s="338" t="n">
        <f aca="false">IF(A111="YES", B95, 0)</f>
        <v>78</v>
      </c>
      <c r="C134" s="394"/>
      <c r="D134" s="338" t="n">
        <f aca="false">B97</f>
        <v>736.066192685223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5922.595734167</v>
      </c>
      <c r="C137" s="280"/>
      <c r="D137" s="38" t="n">
        <f aca="false">IF(A111="YES", B95*B63, 0)</f>
        <v>702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6624.595734167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658.066192685223</v>
      </c>
      <c r="B143" s="38" t="n">
        <f aca="false">IF(A111="YES", B95, 0)</f>
        <v>78</v>
      </c>
      <c r="C143" s="280"/>
      <c r="D143" s="38" t="n">
        <f aca="false">B97</f>
        <v>736.066192685223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736.066192685223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658.066192685223</v>
      </c>
      <c r="B177" s="367" t="n">
        <f aca="false">IF(A111="YES", B95, 0)</f>
        <v>78</v>
      </c>
      <c r="C177" s="395"/>
      <c r="D177" s="367" t="n">
        <f aca="false">B97</f>
        <v>736.066192685223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5922.595734167</v>
      </c>
      <c r="C180" s="282"/>
      <c r="D180" s="99" t="n">
        <f aca="false">IF(A111="YES", B95*B63, 0)</f>
        <v>702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6624.595734167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658.066192685223</v>
      </c>
      <c r="B186" s="99" t="n">
        <f aca="false">IF(A111="YES", B95, 0)</f>
        <v>78</v>
      </c>
      <c r="C186" s="282"/>
      <c r="D186" s="99" t="n">
        <f aca="false">B97</f>
        <v>736.066192685223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519.991666666667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2088.45166666667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2088.45166666667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83.3943122226704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B82" activeCellId="0" sqref="B8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343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1223.33333333333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101.944444444444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563.333333333333</v>
      </c>
      <c r="C82" s="211"/>
      <c r="D82" s="277" t="n">
        <f aca="false">IF(A50="YES", 0, B82)</f>
        <v>563.333333333333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3165.83333333333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263.819444444445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9177.83333333333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77.7468737394111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5255.58020707274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437.965017256062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502.965017256062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437.965017256062</v>
      </c>
      <c r="B134" s="338" t="n">
        <f aca="false">IF(A111="YES", B95, 0)</f>
        <v>65</v>
      </c>
      <c r="C134" s="394"/>
      <c r="D134" s="338" t="n">
        <f aca="false">B97</f>
        <v>502.965017256062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3941.68515530456</v>
      </c>
      <c r="C137" s="280"/>
      <c r="D137" s="38" t="n">
        <f aca="false">IF(A111="YES", B95*B63, 0)</f>
        <v>585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4526.68515530456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437.965017256062</v>
      </c>
      <c r="B143" s="38" t="n">
        <f aca="false">IF(A111="YES", B95, 0)</f>
        <v>65</v>
      </c>
      <c r="C143" s="280"/>
      <c r="D143" s="38" t="n">
        <f aca="false">B97</f>
        <v>502.965017256062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18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492.03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502.965017256062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437.965017256062</v>
      </c>
      <c r="B177" s="367" t="n">
        <f aca="false">IF(A111="YES", B95, 0)</f>
        <v>65</v>
      </c>
      <c r="C177" s="395"/>
      <c r="D177" s="367" t="n">
        <f aca="false">B91</f>
        <v>9177.83333333333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3941.68515530456</v>
      </c>
      <c r="C180" s="282"/>
      <c r="D180" s="99" t="n">
        <f aca="false">IF(A111="YES", B95*B63, 0)</f>
        <v>585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4526.68515530456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437.965017256062</v>
      </c>
      <c r="B186" s="99" t="n">
        <f aca="false">IF(A111="YES", B95, 0)</f>
        <v>65</v>
      </c>
      <c r="C186" s="282"/>
      <c r="D186" s="99" t="n">
        <f aca="false">B97</f>
        <v>502.965017256062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492.03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279.99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1848.45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218</v>
      </c>
      <c r="D223" s="280"/>
      <c r="E223" s="33" t="n">
        <f aca="false">(B217-B211+D211)</f>
        <v>1848.45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77.7468737394111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A1" activeCellId="0" sqref="A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292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278</v>
      </c>
      <c r="B80" s="414" t="n">
        <v>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279</v>
      </c>
      <c r="B81" s="416" t="n">
        <v>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2602.5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216.875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8614.5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72.9747882210569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8687.47478822106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723.956232351755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723.956232351755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286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131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31" t="n">
        <v>0</v>
      </c>
      <c r="C111" s="331"/>
      <c r="D111" s="103" t="n">
        <v>200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19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723.956232351755</v>
      </c>
      <c r="B134" s="338" t="n">
        <f aca="false">IF(A111="YES", B95, 0)</f>
        <v>0</v>
      </c>
      <c r="C134" s="394"/>
      <c r="D134" s="338" t="n">
        <f aca="false">B97</f>
        <v>723.956232351755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Monthly in advance </v>
      </c>
      <c r="B137" s="38" t="n">
        <f aca="false">B96*B63</f>
        <v>723.956232351755</v>
      </c>
      <c r="C137" s="280"/>
      <c r="D137" s="38" t="n">
        <f aca="false">IF(A111="YES", B95*B63, 0)</f>
        <v>0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723.956232351755</v>
      </c>
      <c r="B140" s="38" t="n">
        <f aca="false">E120</f>
        <v>4000</v>
      </c>
      <c r="C140" s="280"/>
      <c r="D140" s="352" t="n">
        <f aca="false">B64</f>
        <v>11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723.956232351755</v>
      </c>
      <c r="B143" s="38" t="n">
        <f aca="false">IF(A111="YES", B95, 0)</f>
        <v>0</v>
      </c>
      <c r="C143" s="280"/>
      <c r="D143" s="38" t="n">
        <f aca="false">B97</f>
        <v>723.956232351755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723.956232351755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723.956232351755</v>
      </c>
      <c r="B177" s="367" t="n">
        <f aca="false">IF(A111="YES", B95, 0)</f>
        <v>0</v>
      </c>
      <c r="C177" s="395"/>
      <c r="D177" s="367" t="n">
        <f aca="false">B91</f>
        <v>8614.5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Monthly in advance </v>
      </c>
      <c r="B180" s="99" t="n">
        <f aca="false">B96*B63</f>
        <v>723.956232351755</v>
      </c>
      <c r="C180" s="282"/>
      <c r="D180" s="99" t="n">
        <f aca="false">IF(A111="YES", B95*B63,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723.956232351755</v>
      </c>
      <c r="B183" s="99" t="n">
        <f aca="false">E120</f>
        <v>4000</v>
      </c>
      <c r="C183" s="282"/>
      <c r="D183" s="371" t="n">
        <f aca="false">B64</f>
        <v>11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723.956232351755</v>
      </c>
      <c r="B186" s="99" t="n">
        <f aca="false">IF(A111="YES", B95, 0)</f>
        <v>0</v>
      </c>
      <c r="C186" s="282"/>
      <c r="D186" s="99" t="n">
        <f aca="false">B97</f>
        <v>723.956232351755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99.99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1668.45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218</v>
      </c>
      <c r="D223" s="280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72.9747882210569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30.35</v>
      </c>
      <c r="E32" s="222"/>
      <c r="F32" s="63"/>
      <c r="G32" s="223" t="s">
        <v>241</v>
      </c>
      <c r="H32" s="221" t="str">
        <f aca="false">A41</f>
        <v>30.35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530.35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345</v>
      </c>
      <c r="B41" s="237" t="n">
        <f aca="false">IF(B38="YES", D38+A41, D38)</f>
        <v>530.35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30.35</v>
      </c>
      <c r="I44" s="292" t="n">
        <f aca="false">((A41*(B35-1))+D32)/B35</f>
        <v>30.35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531.35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531.35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838.75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0</v>
      </c>
      <c r="C81" s="211"/>
      <c r="D81" s="211"/>
      <c r="E81" s="212" t="n">
        <f aca="false">E80/12</f>
        <v>69.8958333333333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178.75</v>
      </c>
      <c r="C82" s="211"/>
      <c r="D82" s="277" t="n">
        <f aca="false">IF(A50="YES", 0, B82)</f>
        <v>178.75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3447.91666666667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287.326388888889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((B89*H29)+B87)*1.2</f>
        <v>11351.9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80.1364461476402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7432.03644614764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IF(B105=Z104,(((H44*B35)+(H44*B35)*(B111/100))/(B64)),(((H44*B35)+(H44*B35)*(B111/100))/(B63+B64)))*1.2</f>
        <v>47.346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619.336370512303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666.682370512303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131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n">
        <v>200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619.336370512303</v>
      </c>
      <c r="B134" s="338" t="n">
        <f aca="false">IF(A111="YES", B95, 0)</f>
        <v>47.346</v>
      </c>
      <c r="C134" s="394"/>
      <c r="D134" s="338" t="n">
        <f aca="false">B97</f>
        <v>666.682370512303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Monthly in advance </v>
      </c>
      <c r="B137" s="38" t="n">
        <f aca="false">B96*B63</f>
        <v>619.336370512303</v>
      </c>
      <c r="C137" s="280"/>
      <c r="D137" s="38" t="n">
        <f aca="false">IF(A111="YES", B95*B63, 0)</f>
        <v>47.346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666.682370512303</v>
      </c>
      <c r="B140" s="38" t="n">
        <f aca="false">E120</f>
        <v>4000</v>
      </c>
      <c r="C140" s="280"/>
      <c r="D140" s="352" t="n">
        <f aca="false">B64</f>
        <v>11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619.336370512303</v>
      </c>
      <c r="B143" s="38" t="n">
        <f aca="false">IF(A111="YES", B95, 0)</f>
        <v>47.346</v>
      </c>
      <c r="C143" s="280"/>
      <c r="D143" s="38" t="n">
        <f aca="false">B97</f>
        <v>666.682370512303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7.284</v>
      </c>
      <c r="H148" s="99" t="n">
        <f aca="false">G108-100</f>
        <v>139.988</v>
      </c>
      <c r="I148" s="99"/>
      <c r="J148" s="99" t="n">
        <f aca="false">(H145+J145+G148+H148)-H151</f>
        <v>1383.122</v>
      </c>
      <c r="K148" s="101"/>
      <c r="L148" s="63"/>
      <c r="M148" s="107" t="n">
        <f aca="false">IF(M111="YES", ((A41*N111)*0.1)*(M133), 0)</f>
        <v>7.284</v>
      </c>
      <c r="N148" s="99" t="n">
        <f aca="false">M108-100</f>
        <v>99.99</v>
      </c>
      <c r="O148" s="99"/>
      <c r="P148" s="99" t="n">
        <f aca="false">(N145+P145+M148+N148)-N151</f>
        <v>1343.124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10.926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884.957666666667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666.682370512303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619.336370512303</v>
      </c>
      <c r="B177" s="367" t="n">
        <f aca="false">IF(A111="YES", B95, 0)</f>
        <v>47.346</v>
      </c>
      <c r="C177" s="395"/>
      <c r="D177" s="367" t="n">
        <f aca="false">B91</f>
        <v>11351.9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Monthly in advance </v>
      </c>
      <c r="B180" s="99" t="n">
        <f aca="false">B96*B63</f>
        <v>619.336370512303</v>
      </c>
      <c r="C180" s="282"/>
      <c r="D180" s="99" t="n">
        <f aca="false">IF(A111="YES", B95*B63, 0)</f>
        <v>47.346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666.682370512303</v>
      </c>
      <c r="B183" s="99" t="n">
        <f aca="false">E120</f>
        <v>4000</v>
      </c>
      <c r="C183" s="282"/>
      <c r="D183" s="371" t="n">
        <f aca="false">B64</f>
        <v>11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619.336370512303</v>
      </c>
      <c r="B186" s="99" t="n">
        <f aca="false">IF(A111="YES", B95, 0)</f>
        <v>47.346</v>
      </c>
      <c r="C186" s="282"/>
      <c r="D186" s="99" t="n">
        <f aca="false">B97</f>
        <v>666.682370512303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10.926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884.957666666667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449.251666666667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2017.71166666667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2017.71166666667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109.26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80.1364461476402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75" zoomScaleNormal="75" zoomScalePageLayoutView="100" workbookViewId="0">
      <selection pane="topLeft" activeCell="B82" activeCellId="0" sqref="B8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292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838.75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0</v>
      </c>
      <c r="C81" s="211"/>
      <c r="D81" s="211"/>
      <c r="E81" s="212" t="n">
        <f aca="false">E80/12</f>
        <v>69.8958333333333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178.75</v>
      </c>
      <c r="C82" s="211"/>
      <c r="D82" s="277" t="n">
        <f aca="false">IF(A50="YES", 0, B82)</f>
        <v>178.75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2781.25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231.770833333333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8793.25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74.4890076643808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4867.73900766438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405.644917305365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405.644917305365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31" t="n">
        <v>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405.644917305365</v>
      </c>
      <c r="B134" s="338" t="n">
        <f aca="false">IF(A111="YES", B95, 0)</f>
        <v>0</v>
      </c>
      <c r="C134" s="394"/>
      <c r="D134" s="338" t="n">
        <f aca="false">B97</f>
        <v>405.644917305365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3650.80425574829</v>
      </c>
      <c r="C137" s="280"/>
      <c r="D137" s="38" t="n">
        <f aca="false">IF(A111="YES", B95*B63, 0)</f>
        <v>0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3650.80425574829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405.644917305365</v>
      </c>
      <c r="B143" s="38" t="n">
        <f aca="false">IF(A111="YES", B95, 0)</f>
        <v>0</v>
      </c>
      <c r="C143" s="280"/>
      <c r="D143" s="38" t="n">
        <f aca="false">B97</f>
        <v>405.644917305365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405.644917305365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405.644917305365</v>
      </c>
      <c r="B177" s="367" t="n">
        <f aca="false">IF(A111="YES", B95, 0)</f>
        <v>0</v>
      </c>
      <c r="C177" s="395"/>
      <c r="D177" s="367" t="n">
        <f aca="false">B91</f>
        <v>8793.25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3650.80425574829</v>
      </c>
      <c r="C180" s="282"/>
      <c r="D180" s="99" t="n">
        <f aca="false">IF(A111="YES", B95*B63,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3650.80425574829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405.644917305365</v>
      </c>
      <c r="B186" s="99" t="n">
        <f aca="false">IF(A111="YES", B95, 0)</f>
        <v>0</v>
      </c>
      <c r="C186" s="282"/>
      <c r="D186" s="99" t="n">
        <f aca="false">B97</f>
        <v>405.644917305365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99.99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1668.45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218</v>
      </c>
      <c r="D223" s="280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74.4890076643808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9" colorId="64" zoomScale="75" zoomScaleNormal="7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4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475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2035.18797553986</v>
      </c>
      <c r="F33" s="228"/>
      <c r="G33" s="228"/>
      <c r="H33" s="47"/>
      <c r="I33" s="2"/>
      <c r="J33" s="34" t="s">
        <v>349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1995.60464220652</v>
      </c>
      <c r="B36" s="228" t="n">
        <f aca="false">IF(B26="YES", K42, "0.00")</f>
        <v>39.5833333333333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23125</v>
      </c>
      <c r="L39" s="2" t="n">
        <f aca="false">(L47*K46)+K44</f>
        <v>8811.68295801491</v>
      </c>
      <c r="N39" s="1" t="n">
        <f aca="false">K39-L39</f>
        <v>14313.3170419851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39.5833333333333</v>
      </c>
      <c r="C40" s="103"/>
      <c r="D40" s="103"/>
      <c r="E40" s="179" t="n">
        <f aca="false">K32</f>
        <v>475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14313.3170419851</v>
      </c>
      <c r="N40" s="1" t="n">
        <f aca="false">N38-N39</f>
        <v>-11401.6370419851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39.5833333333333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1995.60464220652</v>
      </c>
      <c r="L47" s="2" t="n">
        <f aca="false">L49-K42</f>
        <v>760.416666666667</v>
      </c>
      <c r="M47" s="1" t="n">
        <f aca="false">K47-L47</f>
        <v>1235.18797553986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2035.18797553986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2035.18797553986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7010.42567114101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121.25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1995.60464220652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1995.60464220652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2035.18797553986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2035.18797553986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29100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29100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2814.33467069266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30957.6813776193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30957.6813776193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67.3636363636364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61.75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51.8181818181818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62.1818181818182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2814.33467069266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2881.6983070563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18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153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153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153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29100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2814.33467069266</v>
      </c>
      <c r="B167" s="174" t="n">
        <f aca="false">B94</f>
        <v>67.3636363636364</v>
      </c>
      <c r="C167" s="171"/>
      <c r="D167" s="171"/>
      <c r="E167" s="174" t="n">
        <f aca="false">B96</f>
        <v>2881.6983070563</v>
      </c>
      <c r="F167" s="23"/>
      <c r="G167" s="23"/>
      <c r="H167" s="33"/>
      <c r="J167" s="173" t="e">
        <f aca="false">K95</f>
        <v>#VALUE!</v>
      </c>
      <c r="K167" s="174" t="n">
        <f aca="false">K94</f>
        <v>61.75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51.8181818181818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62.1818181818182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29100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4739.37968467559</v>
      </c>
      <c r="B182" s="99" t="str">
        <f aca="false">B114</f>
        <v>239.99</v>
      </c>
      <c r="C182" s="99"/>
      <c r="D182" s="23"/>
      <c r="E182" s="99" t="n">
        <f aca="false">E179+A182+B182+A185</f>
        <v>34089.3696846756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B233</f>
        <v>2891.6983070563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121.25</v>
      </c>
      <c r="C188" s="130"/>
      <c r="D188" s="130"/>
      <c r="E188" s="99" t="n">
        <f aca="false">(E40*A108)*0.1</f>
        <v>14.25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14.25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235.491666666667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2881.6983070563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2814.33467069266</v>
      </c>
      <c r="B212" s="174" t="n">
        <f aca="false">B167</f>
        <v>67.3636363636364</v>
      </c>
      <c r="C212" s="171"/>
      <c r="D212" s="171"/>
      <c r="E212" s="174" t="n">
        <f aca="false">E167</f>
        <v>2881.6983070563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29100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4739.37968467559</v>
      </c>
      <c r="B224" s="99" t="str">
        <f aca="false">B182</f>
        <v>239.99</v>
      </c>
      <c r="C224" s="99"/>
      <c r="D224" s="109"/>
      <c r="E224" s="99" t="n">
        <f aca="false">E182</f>
        <v>34089.3696846756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2814.33467069266</v>
      </c>
      <c r="B230" s="99" t="n">
        <f aca="false">B167</f>
        <v>67.3636363636364</v>
      </c>
      <c r="C230" s="183"/>
      <c r="D230" s="183"/>
      <c r="E230" s="99" t="n">
        <f aca="false">E167</f>
        <v>2881.6983070563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E212+A227</f>
        <v>2891.6983070563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121.25</v>
      </c>
      <c r="C240" s="130"/>
      <c r="D240" s="130"/>
      <c r="E240" s="99" t="n">
        <f aca="false">E188</f>
        <v>14.25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2110.49166666667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145.5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242.491666666667</v>
      </c>
      <c r="C255" s="194"/>
      <c r="D255" s="195" t="s">
        <v>218</v>
      </c>
      <c r="E255" s="195"/>
      <c r="F255" s="196" t="n">
        <f aca="false">(B254-F254)+B255</f>
        <v>96.9916666666667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30957.6813776193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145.5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96.9916666666667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94" colorId="64" zoomScale="75" zoomScaleNormal="75" zoomScalePageLayoutView="100" workbookViewId="0">
      <selection pane="topLeft" activeCell="E234" activeCellId="0" sqref="E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4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714.032865011724</v>
      </c>
      <c r="F33" s="228"/>
      <c r="G33" s="228"/>
      <c r="H33" s="47"/>
      <c r="I33" s="2"/>
      <c r="J33" s="34" t="s">
        <v>349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714.032865011724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23125</v>
      </c>
      <c r="L39" s="2" t="n">
        <f aca="false">(L47*K46)+K44</f>
        <v>25909.1715613066</v>
      </c>
      <c r="N39" s="1" t="n">
        <f aca="false">K39-L39</f>
        <v>-2784.17156130656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-2784.17156130656</v>
      </c>
      <c r="N40" s="1" t="n">
        <f aca="false">N38-N39</f>
        <v>5695.85156130656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0.00583333333333333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32.3864644516332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714.032865011724</v>
      </c>
      <c r="L47" s="2" t="n">
        <f aca="false">L49-K42</f>
        <v>800</v>
      </c>
      <c r="M47" s="1" t="n">
        <f aca="false">K47-L47</f>
        <v>-85.9671349882763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714.032865011724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714.032865011724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8041.68929665607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229.166666666667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714.032865011724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714.032865011724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714.032865011724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714.032865011724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27500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0.142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28.5211615326607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27500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964.196355345089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33746.8724370781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33746.8724370781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964.196355345089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964.196355345089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19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0.142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153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153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153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27500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964.196355345089</v>
      </c>
      <c r="B167" s="174" t="str">
        <f aca="false">B94</f>
        <v>0</v>
      </c>
      <c r="C167" s="171"/>
      <c r="D167" s="171"/>
      <c r="E167" s="174" t="n">
        <f aca="false">B96</f>
        <v>964.196355345089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27500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7211.06879242322</v>
      </c>
      <c r="B182" s="99" t="str">
        <f aca="false">B114</f>
        <v>199.99</v>
      </c>
      <c r="C182" s="99"/>
      <c r="D182" s="23"/>
      <c r="E182" s="99" t="n">
        <f aca="false">E179+A182+B182+A185</f>
        <v>34921.0587924232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974.196355345089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229.166666666667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329.156666666667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964.196355345089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964.196355345089</v>
      </c>
      <c r="B212" s="174" t="str">
        <f aca="false">B167</f>
        <v>0</v>
      </c>
      <c r="C212" s="171"/>
      <c r="D212" s="171"/>
      <c r="E212" s="174" t="n">
        <f aca="false">E167</f>
        <v>964.196355345089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27500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7211.06879242322</v>
      </c>
      <c r="B224" s="99" t="str">
        <f aca="false">B182</f>
        <v>199.99</v>
      </c>
      <c r="C224" s="99"/>
      <c r="D224" s="109"/>
      <c r="E224" s="99" t="n">
        <f aca="false">E182</f>
        <v>34921.0587924232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964.196355345089</v>
      </c>
      <c r="B230" s="99" t="str">
        <f aca="false">B167</f>
        <v>0</v>
      </c>
      <c r="C230" s="183"/>
      <c r="D230" s="183"/>
      <c r="E230" s="99" t="n">
        <f aca="false">E167</f>
        <v>964.196355345089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974.196355345089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229.166666666667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2204.15666666667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0.07</v>
      </c>
      <c r="C253" s="194"/>
      <c r="D253" s="195" t="s">
        <v>214</v>
      </c>
      <c r="E253" s="195"/>
      <c r="F253" s="193" t="n">
        <f aca="false">B83</f>
        <v>0.142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0.07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0.142</v>
      </c>
      <c r="C260" s="43"/>
      <c r="D260" s="163" t="s">
        <v>215</v>
      </c>
      <c r="E260" s="163"/>
      <c r="F260" s="143" t="n">
        <f aca="false">(B89*B59)-(C89*B59)</f>
        <v>33746.8724370781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58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4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275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2090.4347020187</v>
      </c>
      <c r="F33" s="228"/>
      <c r="G33" s="228"/>
      <c r="H33" s="47"/>
      <c r="I33" s="2"/>
      <c r="J33" s="34" t="s">
        <v>349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2067.51803535204</v>
      </c>
      <c r="B36" s="228" t="n">
        <f aca="false">IF(B26="YES", K42, "0.00")</f>
        <v>22.9166666666667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22.9166666666667</v>
      </c>
      <c r="C40" s="103"/>
      <c r="D40" s="103"/>
      <c r="E40" s="179" t="n">
        <f aca="false">K32</f>
        <v>275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22.9166666666667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2090.4347020187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2090.4347020187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3124.60118175478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118.749983333333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2067.51803535204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2067.51803535204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2090.4347020187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2090.4347020187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28499.996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28499.996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2539.52887327084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30474.34647925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30474.34647925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35.75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35.75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30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36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2539.52887327084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2575.27887327084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18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25833.33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25833.33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25833.33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5166.666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30999.996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28749.996</v>
      </c>
      <c r="H147" s="161" t="n">
        <f aca="false">H141-((H144*1.2)+(H145*1.2)+(H146*1.2)+(H142*1.2))</f>
        <v>30999.996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28499.996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2539.52887327084</v>
      </c>
      <c r="B167" s="174" t="n">
        <f aca="false">B94</f>
        <v>35.75</v>
      </c>
      <c r="C167" s="171"/>
      <c r="D167" s="171"/>
      <c r="E167" s="174" t="n">
        <f aca="false">B96</f>
        <v>2575.27887327084</v>
      </c>
      <c r="F167" s="23"/>
      <c r="G167" s="23"/>
      <c r="H167" s="33"/>
      <c r="J167" s="173" t="e">
        <f aca="false">K95</f>
        <v>#VALUE!</v>
      </c>
      <c r="K167" s="174" t="n">
        <f aca="false">K94</f>
        <v>35.75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30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36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25833.33</v>
      </c>
      <c r="B173" s="99" t="n">
        <f aca="false">H137</f>
        <v>5166.666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30999.996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28499.996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2010.10047925004</v>
      </c>
      <c r="B182" s="99" t="str">
        <f aca="false">B114</f>
        <v>239.99</v>
      </c>
      <c r="C182" s="99"/>
      <c r="D182" s="23"/>
      <c r="E182" s="99" t="n">
        <f aca="false">E179+A182+B182+A185</f>
        <v>30760.08647925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2585.27887327084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118.749983333333</v>
      </c>
      <c r="C188" s="130"/>
      <c r="D188" s="130"/>
      <c r="E188" s="99" t="n">
        <f aca="false">(E40*A108)*0.1</f>
        <v>8.25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8.25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5.5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226.99165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2575.27887327084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2539.52887327084</v>
      </c>
      <c r="B212" s="174" t="n">
        <f aca="false">B167</f>
        <v>35.75</v>
      </c>
      <c r="C212" s="171"/>
      <c r="D212" s="171"/>
      <c r="E212" s="174" t="n">
        <f aca="false">E167</f>
        <v>2575.27887327084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25833.33</v>
      </c>
      <c r="B215" s="99" t="n">
        <f aca="false">B173</f>
        <v>5166.666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30999.996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28499.996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2010.10047925004</v>
      </c>
      <c r="B224" s="99" t="str">
        <f aca="false">B182</f>
        <v>239.99</v>
      </c>
      <c r="C224" s="99"/>
      <c r="D224" s="109"/>
      <c r="E224" s="99" t="n">
        <f aca="false">E182</f>
        <v>30760.08647925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2539.52887327084</v>
      </c>
      <c r="B230" s="99" t="n">
        <f aca="false">B167</f>
        <v>35.75</v>
      </c>
      <c r="C230" s="183"/>
      <c r="D230" s="183"/>
      <c r="E230" s="99" t="n">
        <f aca="false">E167</f>
        <v>2575.27887327084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2585.27887327084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118.749983333333</v>
      </c>
      <c r="C240" s="130"/>
      <c r="D240" s="130"/>
      <c r="E240" s="99" t="n">
        <f aca="false">E188</f>
        <v>8.25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2101.99165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182.491666666667</v>
      </c>
      <c r="C255" s="194"/>
      <c r="D255" s="195" t="s">
        <v>218</v>
      </c>
      <c r="E255" s="195"/>
      <c r="F255" s="196" t="n">
        <f aca="false">(B254-F254)+B255</f>
        <v>39.9916866666666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27934.8176059792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39.9916866666666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13" colorId="64" zoomScale="75" zoomScaleNormal="75" zoomScalePageLayoutView="100" workbookViewId="0">
      <selection pane="topLeft" activeCell="B240" activeCellId="0" sqref="B2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4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275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2090.4347020187</v>
      </c>
      <c r="F33" s="228"/>
      <c r="G33" s="228"/>
      <c r="H33" s="47"/>
      <c r="I33" s="2"/>
      <c r="J33" s="34" t="s">
        <v>349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2067.51803535204</v>
      </c>
      <c r="B36" s="228" t="n">
        <f aca="false">IF(B26="YES", K42, "0.00")</f>
        <v>22.9166666666667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22.9166666666667</v>
      </c>
      <c r="C40" s="103"/>
      <c r="D40" s="103"/>
      <c r="E40" s="179" t="n">
        <f aca="false">K32</f>
        <v>275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22.9166666666667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2090.4347020187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2090.4347020187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2744.12058381038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118.749983333333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2067.51803535204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2067.51803535204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2090.4347020187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2090.4347020187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28499.996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11.3775176629575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28499.996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2504.93972800316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30059.276736038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30059.276736038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29.7916666666667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35.75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30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36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2504.93972800316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2534.73139466983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18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25833.33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25833.33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25833.33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5166.666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30999.996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28749.996</v>
      </c>
      <c r="H147" s="161" t="n">
        <f aca="false">H141-((H144*1.2)+(H145*1.2)+(H146*1.2)+(H142*1.2))</f>
        <v>30999.996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28499.996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2504.93972800316</v>
      </c>
      <c r="B167" s="174" t="n">
        <f aca="false">B94</f>
        <v>29.7916666666667</v>
      </c>
      <c r="C167" s="171"/>
      <c r="D167" s="171"/>
      <c r="E167" s="174" t="n">
        <f aca="false">B96</f>
        <v>2534.73139466983</v>
      </c>
      <c r="F167" s="23"/>
      <c r="G167" s="23"/>
      <c r="H167" s="33"/>
      <c r="J167" s="173" t="e">
        <f aca="false">K95</f>
        <v>#VALUE!</v>
      </c>
      <c r="K167" s="174" t="n">
        <f aca="false">K94</f>
        <v>35.75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30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36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25833.33</v>
      </c>
      <c r="B173" s="99" t="n">
        <f aca="false">H137</f>
        <v>5166.666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30999.996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28499.996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1589.07240270463</v>
      </c>
      <c r="B182" s="99" t="str">
        <f aca="false">B114</f>
        <v>199.99</v>
      </c>
      <c r="C182" s="99"/>
      <c r="D182" s="23"/>
      <c r="E182" s="99" t="n">
        <f aca="false">E179+A182+B182+A185</f>
        <v>30299.0584027046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2544.73139466983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118.749983333333</v>
      </c>
      <c r="C188" s="130"/>
      <c r="D188" s="130"/>
      <c r="E188" s="99" t="n">
        <f aca="false">(E40*A108)*0.1</f>
        <v>8.25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8.25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5.5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226.989983333333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2534.73139466983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2504.93972800316</v>
      </c>
      <c r="B212" s="174" t="n">
        <f aca="false">B167</f>
        <v>29.7916666666667</v>
      </c>
      <c r="C212" s="171"/>
      <c r="D212" s="171"/>
      <c r="E212" s="174" t="n">
        <f aca="false">E167</f>
        <v>2534.73139466983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25833.33</v>
      </c>
      <c r="B215" s="99" t="n">
        <f aca="false">B173</f>
        <v>5166.666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30999.996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28499.996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1589.07240270463</v>
      </c>
      <c r="B224" s="99" t="str">
        <f aca="false">B182</f>
        <v>199.99</v>
      </c>
      <c r="C224" s="99"/>
      <c r="D224" s="109"/>
      <c r="E224" s="99" t="n">
        <f aca="false">E182</f>
        <v>30299.0584027046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2504.93972800316</v>
      </c>
      <c r="B230" s="99" t="n">
        <f aca="false">B167</f>
        <v>29.7916666666667</v>
      </c>
      <c r="C230" s="183"/>
      <c r="D230" s="183"/>
      <c r="E230" s="99" t="n">
        <f aca="false">E167</f>
        <v>2534.73139466983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2544.73139466983</v>
      </c>
      <c r="C233" s="130"/>
      <c r="D233" s="130"/>
      <c r="E233" s="99" t="n">
        <f aca="false">A188</f>
        <v>7.481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118.749983333333</v>
      </c>
      <c r="C240" s="130"/>
      <c r="D240" s="130"/>
      <c r="E240" s="99" t="n">
        <f aca="false">E188</f>
        <v>8.25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2101.98998333333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182.49</v>
      </c>
      <c r="C255" s="194"/>
      <c r="D255" s="195" t="s">
        <v>218</v>
      </c>
      <c r="E255" s="195"/>
      <c r="F255" s="196" t="n">
        <f aca="false">(B254-F254)+B255</f>
        <v>39.99002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27554.3370080348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39.99002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67" colorId="64" zoomScale="75" zoomScaleNormal="75" zoomScalePageLayoutView="100" workbookViewId="0">
      <selection pane="topLeft" activeCell="B76" activeCellId="0" sqref="B7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90" t="n">
        <f aca="false">A44+B44</f>
        <v>2</v>
      </c>
      <c r="E44" s="290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365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366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37405</v>
      </c>
      <c r="C61" s="211"/>
      <c r="D61" s="211"/>
      <c r="E61" s="212"/>
      <c r="F61" s="63"/>
      <c r="G61" s="210" t="s">
        <v>14</v>
      </c>
      <c r="H61" s="277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2618.35</v>
      </c>
      <c r="C64" s="211" t="n">
        <v>10000</v>
      </c>
      <c r="D64" s="277" t="n">
        <f aca="false">B64</f>
        <v>2618.35</v>
      </c>
      <c r="E64" s="212"/>
      <c r="F64" s="63"/>
      <c r="G64" s="310" t="s">
        <v>93</v>
      </c>
      <c r="H64" s="129" t="n">
        <f aca="false">H61*H63</f>
        <v>2618.35</v>
      </c>
      <c r="I64" s="211"/>
      <c r="J64" s="277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374.05</v>
      </c>
      <c r="C67" s="211"/>
      <c r="D67" s="277"/>
      <c r="E67" s="212"/>
      <c r="F67" s="63"/>
      <c r="G67" s="310" t="s">
        <v>96</v>
      </c>
      <c r="H67" s="129" t="n">
        <f aca="false">H61*H66</f>
        <v>187.025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0</v>
      </c>
      <c r="C74" s="211"/>
      <c r="D74" s="211"/>
      <c r="E74" s="212"/>
      <c r="F74" s="63"/>
      <c r="G74" s="304" t="s">
        <v>278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 t="n">
        <f aca="false">IF(G18&gt;40000, 325, 0)</f>
        <v>0</v>
      </c>
      <c r="D75" s="211"/>
      <c r="E75" s="212"/>
      <c r="F75" s="63"/>
      <c r="G75" s="407" t="s">
        <v>279</v>
      </c>
      <c r="H75" s="411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12.5</v>
      </c>
      <c r="I76" s="211"/>
      <c r="J76" s="277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3945.01666666667</v>
      </c>
      <c r="C81" s="211"/>
      <c r="D81" s="211"/>
      <c r="E81" s="212"/>
      <c r="F81" s="63"/>
      <c r="G81" s="422" t="s">
        <v>105</v>
      </c>
      <c r="H81" s="42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328.751388888889</v>
      </c>
      <c r="C82" s="211"/>
      <c r="D82" s="211"/>
      <c r="E82" s="212"/>
      <c r="F82" s="63"/>
      <c r="G82" s="210" t="s">
        <v>106</v>
      </c>
      <c r="H82" s="41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H46</f>
        <v>501</v>
      </c>
      <c r="C83" s="211"/>
      <c r="D83" s="211"/>
      <c r="E83" s="212"/>
      <c r="F83" s="63"/>
      <c r="G83" s="424" t="s">
        <v>107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((B83*(H29)+B81))*1.2</f>
        <v>11948.42</v>
      </c>
      <c r="C85" s="211"/>
      <c r="D85" s="211"/>
      <c r="E85" s="212"/>
      <c r="F85" s="63"/>
      <c r="G85" s="404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(((B83*(H29))+B81)/(1-B70))*B70</f>
        <v>84.3474586526826</v>
      </c>
      <c r="C86" s="211"/>
      <c r="D86" s="211"/>
      <c r="E86" s="212"/>
      <c r="F86" s="63"/>
      <c r="G86" s="210" t="s">
        <v>118</v>
      </c>
      <c r="H86" s="41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8032.76745865268</v>
      </c>
      <c r="C87" s="211"/>
      <c r="D87" s="211"/>
      <c r="E87" s="212"/>
      <c r="F87" s="63"/>
      <c r="G87" s="310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50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422" t="s">
        <v>120</v>
      </c>
      <c r="H89" s="42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IF(B99=Z102, (B87-D105)/(B58), B87/(B57+B58))</f>
        <v>669.397288221057</v>
      </c>
      <c r="C90" s="211"/>
      <c r="D90" s="211"/>
      <c r="E90" s="212"/>
      <c r="F90" s="63"/>
      <c r="G90" s="427" t="s">
        <v>121</v>
      </c>
      <c r="H90" s="42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741.397288221057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285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</v>
      </c>
      <c r="E99" s="103"/>
      <c r="F99" s="63"/>
      <c r="G99" s="216" t="s">
        <v>288</v>
      </c>
      <c r="H99" s="331" t="s">
        <v>131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33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31" t="n">
        <v>20</v>
      </c>
      <c r="C105" s="331"/>
      <c r="D105" s="103" t="s">
        <v>340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293</v>
      </c>
      <c r="B108" s="213" t="n">
        <v>0</v>
      </c>
      <c r="C108" s="213"/>
      <c r="D108" s="213" t="n">
        <v>0</v>
      </c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294</v>
      </c>
      <c r="B110" s="218" t="s">
        <v>18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239.988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-2760.012</v>
      </c>
      <c r="F119" s="63"/>
      <c r="G119" s="432" t="s">
        <v>295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669.397288221057</v>
      </c>
      <c r="B128" s="338" t="n">
        <f aca="false">IF(A105="YES", B89, 0)</f>
        <v>72</v>
      </c>
      <c r="C128" s="394"/>
      <c r="D128" s="338" t="n">
        <f aca="false">B91</f>
        <v>741.397288221057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299</v>
      </c>
      <c r="H129" s="434" t="s">
        <v>300</v>
      </c>
      <c r="I129" s="434"/>
      <c r="J129" s="434" t="s">
        <v>301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348" t="n">
        <f aca="false">H90</f>
        <v>1024.59311617588</v>
      </c>
      <c r="H130" s="174" t="n">
        <f aca="false">IF(G105="YES", H89*H57, 0)</f>
        <v>72</v>
      </c>
      <c r="I130" s="174"/>
      <c r="J130" s="349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6024.57559398951</v>
      </c>
      <c r="C131" s="280"/>
      <c r="D131" s="38" t="n">
        <f aca="false">IF(A105="YES", B89*B57, 0)</f>
        <v>648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6672.57559398951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669.397288221057</v>
      </c>
      <c r="B137" s="38" t="n">
        <f aca="false">IF(A105="YES", B89, 0)</f>
        <v>72</v>
      </c>
      <c r="C137" s="280"/>
      <c r="D137" s="38" t="n">
        <f aca="false">B91</f>
        <v>741.397288221057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26.9316</v>
      </c>
      <c r="B140" s="358" t="n">
        <f aca="false">G18*0.000002 *1.2*100</f>
        <v>8.9772</v>
      </c>
      <c r="C140" s="280"/>
      <c r="D140" s="358" t="n">
        <f aca="false">A140+B140</f>
        <v>35.9088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741.397288221057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128</v>
      </c>
      <c r="B167" s="366" t="s">
        <v>39</v>
      </c>
      <c r="C167" s="367"/>
      <c r="D167" s="366" t="s">
        <v>86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121</v>
      </c>
      <c r="B170" s="366" t="s">
        <v>297</v>
      </c>
      <c r="C170" s="367"/>
      <c r="D170" s="366" t="s">
        <v>298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669.397288221057</v>
      </c>
      <c r="B171" s="367" t="n">
        <f aca="false">IF(A105="YES", B89, 0)</f>
        <v>72</v>
      </c>
      <c r="C171" s="395"/>
      <c r="D171" s="367" t="n">
        <f aca="false">B91</f>
        <v>741.397288221057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6"/>
      <c r="D173" s="370" t="s">
        <v>304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Terminal pause with 9 down </v>
      </c>
      <c r="B174" s="99" t="n">
        <f aca="false">B90*B57</f>
        <v>6024.57559398951</v>
      </c>
      <c r="C174" s="282"/>
      <c r="D174" s="99" t="n">
        <f aca="false">IF(A105="YES", B89*B57, 0)</f>
        <v>648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309</v>
      </c>
      <c r="B176" s="163" t="s">
        <v>310</v>
      </c>
      <c r="C176" s="285"/>
      <c r="D176" s="237" t="s">
        <v>206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6672.57559398951</v>
      </c>
      <c r="B177" s="99" t="n">
        <f aca="false">E114</f>
        <v>4000</v>
      </c>
      <c r="C177" s="282"/>
      <c r="D177" s="371" t="n">
        <f aca="false">B58</f>
        <v>3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73" t="s">
        <v>297</v>
      </c>
      <c r="C179" s="282"/>
      <c r="D179" s="282" t="s">
        <v>298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669.397288221057</v>
      </c>
      <c r="B180" s="99" t="n">
        <f aca="false">IF(A105="YES", B89, 0)</f>
        <v>72</v>
      </c>
      <c r="C180" s="282"/>
      <c r="D180" s="99" t="n">
        <f aca="false">B91</f>
        <v>741.397288221057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317</v>
      </c>
      <c r="C182" s="99"/>
      <c r="D182" s="374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26.9316</v>
      </c>
      <c r="B183" s="375" t="n">
        <f aca="false">G18*0.000002 *1.2*100</f>
        <v>8.9772</v>
      </c>
      <c r="C183" s="282"/>
      <c r="D183" s="375" t="n">
        <f aca="false">A183+B183</f>
        <v>35.9088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321</v>
      </c>
      <c r="B185" s="374" t="s">
        <v>53</v>
      </c>
      <c r="C185" s="99"/>
      <c r="D185" s="374" t="s">
        <v>281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212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213</v>
      </c>
      <c r="B203" s="376" t="n">
        <f aca="false">B209</f>
        <v>0.065</v>
      </c>
      <c r="C203" s="338" t="s">
        <v>215</v>
      </c>
      <c r="D203" s="377" t="n">
        <f aca="false">D64</f>
        <v>2618.35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216</v>
      </c>
      <c r="B205" s="338" t="n">
        <f aca="false">B213</f>
        <v>374.05</v>
      </c>
      <c r="C205" s="337" t="s">
        <v>217</v>
      </c>
      <c r="D205" s="377" t="n">
        <f aca="false">B219+E215+B215+B217</f>
        <v>459.99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218</v>
      </c>
      <c r="B207" s="338" t="n">
        <f aca="false">E217</f>
        <v>2704.29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215</v>
      </c>
      <c r="B211" s="100" t="n">
        <f aca="false">D64</f>
        <v>2618.35</v>
      </c>
      <c r="C211" s="381" t="s">
        <v>221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51" t="s">
        <v>333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333</v>
      </c>
      <c r="B215" s="237" t="n">
        <f aca="false">B191*E213*100</f>
        <v>40</v>
      </c>
      <c r="C215" s="351" t="s">
        <v>223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218</v>
      </c>
      <c r="D217" s="280"/>
      <c r="E217" s="33" t="n">
        <f aca="false">(B211-B205+D205)</f>
        <v>2704.29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335</v>
      </c>
      <c r="B219" s="356" t="n">
        <f aca="false">D191/0.1</f>
        <v>120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225</v>
      </c>
      <c r="B223" s="100" t="n">
        <f aca="false">B71</f>
        <v>200</v>
      </c>
      <c r="C223" s="351" t="s">
        <v>226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227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228</v>
      </c>
      <c r="B225" s="386" t="n">
        <f aca="false">B68</f>
        <v>0.0075</v>
      </c>
      <c r="C225" s="351" t="s">
        <v>229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230</v>
      </c>
      <c r="D226" s="358"/>
      <c r="E226" s="33" t="n">
        <f aca="false">B86</f>
        <v>84.3474586526826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231</v>
      </c>
      <c r="B227" s="100" t="n">
        <f aca="false">B79</f>
        <v>200</v>
      </c>
      <c r="C227" s="387" t="s">
        <v>337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91" t="s">
        <v>338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452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90" t="n">
        <f aca="false">A44+B44</f>
        <v>2</v>
      </c>
      <c r="E44" s="290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365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366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37405</v>
      </c>
      <c r="C61" s="211"/>
      <c r="D61" s="211"/>
      <c r="E61" s="212"/>
      <c r="F61" s="63"/>
      <c r="G61" s="210" t="s">
        <v>14</v>
      </c>
      <c r="H61" s="277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B60*B63</f>
        <v>2012.49972</v>
      </c>
      <c r="C64" s="211" t="n">
        <v>10000</v>
      </c>
      <c r="D64" s="277" t="n">
        <f aca="false">B64</f>
        <v>2012.49972</v>
      </c>
      <c r="E64" s="212"/>
      <c r="F64" s="63"/>
      <c r="G64" s="310" t="s">
        <v>93</v>
      </c>
      <c r="H64" s="129" t="n">
        <f aca="false">H61*H63</f>
        <v>2618.35</v>
      </c>
      <c r="I64" s="211"/>
      <c r="J64" s="277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374.05</v>
      </c>
      <c r="C67" s="211"/>
      <c r="D67" s="277"/>
      <c r="E67" s="212"/>
      <c r="F67" s="63"/>
      <c r="G67" s="310" t="s">
        <v>96</v>
      </c>
      <c r="H67" s="129" t="n">
        <f aca="false">H61*H66</f>
        <v>187.025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0</v>
      </c>
      <c r="C74" s="211"/>
      <c r="D74" s="211"/>
      <c r="E74" s="212"/>
      <c r="F74" s="63"/>
      <c r="G74" s="304" t="s">
        <v>278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/>
      <c r="D75" s="211"/>
      <c r="E75" s="212"/>
      <c r="F75" s="63"/>
      <c r="G75" s="407" t="s">
        <v>279</v>
      </c>
      <c r="H75" s="411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((B74+B75)/12)*(H29+1)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12.5</v>
      </c>
      <c r="I76" s="211"/>
      <c r="J76" s="277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3339.16638666667</v>
      </c>
      <c r="C81" s="211"/>
      <c r="D81" s="211"/>
      <c r="E81" s="212"/>
      <c r="F81" s="63"/>
      <c r="G81" s="422" t="s">
        <v>105</v>
      </c>
      <c r="H81" s="42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278.263865555556</v>
      </c>
      <c r="C82" s="211"/>
      <c r="D82" s="211"/>
      <c r="E82" s="212"/>
      <c r="F82" s="63"/>
      <c r="G82" s="210" t="s">
        <v>106</v>
      </c>
      <c r="H82" s="41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H46</f>
        <v>501</v>
      </c>
      <c r="C83" s="211"/>
      <c r="D83" s="211"/>
      <c r="E83" s="212"/>
      <c r="F83" s="63"/>
      <c r="G83" s="424" t="s">
        <v>107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((B83*(H29)+B81))</f>
        <v>9351.16638666667</v>
      </c>
      <c r="C85" s="211"/>
      <c r="D85" s="211"/>
      <c r="E85" s="212"/>
      <c r="F85" s="63"/>
      <c r="G85" s="404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(B85/(1-B70))*B70</f>
        <v>79.2152053731343</v>
      </c>
      <c r="C86" s="211"/>
      <c r="D86" s="211"/>
      <c r="E86" s="212"/>
      <c r="F86" s="63"/>
      <c r="G86" s="210" t="s">
        <v>118</v>
      </c>
      <c r="H86" s="41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5430.3815920398</v>
      </c>
      <c r="C87" s="211"/>
      <c r="D87" s="211"/>
      <c r="E87" s="212"/>
      <c r="F87" s="63"/>
      <c r="G87" s="310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50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422" t="s">
        <v>120</v>
      </c>
      <c r="H89" s="42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IF(B99=Z102, (B87-D105)/(B58), B87/(B57+B58))</f>
        <v>452.53179933665</v>
      </c>
      <c r="C90" s="211"/>
      <c r="D90" s="211"/>
      <c r="E90" s="212"/>
      <c r="F90" s="63"/>
      <c r="G90" s="427" t="s">
        <v>121</v>
      </c>
      <c r="H90" s="42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512.53179933665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</v>
      </c>
      <c r="E99" s="103"/>
      <c r="F99" s="63"/>
      <c r="G99" s="216" t="s">
        <v>288</v>
      </c>
      <c r="H99" s="331" t="s">
        <v>131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33" t="n">
        <v>199.99</v>
      </c>
      <c r="B102" s="103" t="n">
        <v>400</v>
      </c>
      <c r="C102" s="103"/>
      <c r="D102" s="103" t="n">
        <v>200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31" t="n">
        <v>20</v>
      </c>
      <c r="C105" s="331"/>
      <c r="D105" s="103" t="s">
        <v>340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293</v>
      </c>
      <c r="B108" s="213" t="n">
        <v>0</v>
      </c>
      <c r="C108" s="213"/>
      <c r="D108" s="213" t="n">
        <v>0</v>
      </c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294</v>
      </c>
      <c r="B110" s="218" t="s">
        <v>18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-2800.01</v>
      </c>
      <c r="F119" s="63"/>
      <c r="G119" s="432" t="s">
        <v>295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452.53179933665</v>
      </c>
      <c r="B128" s="338" t="n">
        <f aca="false">IF(A105="YES", B89, 0)</f>
        <v>60</v>
      </c>
      <c r="C128" s="394"/>
      <c r="D128" s="338" t="n">
        <f aca="false">B91</f>
        <v>512.53179933665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299</v>
      </c>
      <c r="H129" s="434" t="s">
        <v>300</v>
      </c>
      <c r="I129" s="434"/>
      <c r="J129" s="434" t="s">
        <v>301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348" t="n">
        <f aca="false">H90</f>
        <v>1024.59311617588</v>
      </c>
      <c r="H130" s="174" t="n">
        <f aca="false">IF(G105="YES", H89*H57, 0)</f>
        <v>72</v>
      </c>
      <c r="I130" s="174"/>
      <c r="J130" s="349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4072.78619402985</v>
      </c>
      <c r="C131" s="280"/>
      <c r="D131" s="38" t="n">
        <f aca="false">IF(A105="YES", B89*B57, 0)</f>
        <v>540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4612.78619402985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452.53179933665</v>
      </c>
      <c r="B137" s="38" t="n">
        <f aca="false">IF(A105="YES", B89, 0)</f>
        <v>60</v>
      </c>
      <c r="C137" s="280"/>
      <c r="D137" s="38" t="n">
        <f aca="false">B91</f>
        <v>512.53179933665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26.9316</v>
      </c>
      <c r="B140" s="358" t="n">
        <f aca="false">G18*0.000002 *1.2*100</f>
        <v>8.9772</v>
      </c>
      <c r="C140" s="280"/>
      <c r="D140" s="358" t="n">
        <f aca="false">A140+B140</f>
        <v>35.9088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512.53179933665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128</v>
      </c>
      <c r="B167" s="366" t="s">
        <v>39</v>
      </c>
      <c r="C167" s="367"/>
      <c r="D167" s="366" t="s">
        <v>86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121</v>
      </c>
      <c r="B170" s="366" t="s">
        <v>297</v>
      </c>
      <c r="C170" s="367"/>
      <c r="D170" s="366" t="s">
        <v>298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452.53179933665</v>
      </c>
      <c r="B171" s="367" t="n">
        <f aca="false">IF(A105="YES", B89, 0)</f>
        <v>60</v>
      </c>
      <c r="C171" s="395"/>
      <c r="D171" s="367" t="n">
        <f aca="false">B91</f>
        <v>512.53179933665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6"/>
      <c r="D173" s="370" t="s">
        <v>304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Terminal pause with 9 down </v>
      </c>
      <c r="B174" s="99" t="n">
        <f aca="false">B90*B57</f>
        <v>4072.78619402985</v>
      </c>
      <c r="C174" s="282"/>
      <c r="D174" s="99" t="n">
        <f aca="false">IF(A105="YES", B89*B57, 0)</f>
        <v>540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309</v>
      </c>
      <c r="B176" s="163" t="s">
        <v>310</v>
      </c>
      <c r="C176" s="285"/>
      <c r="D176" s="237" t="s">
        <v>206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4612.78619402985</v>
      </c>
      <c r="B177" s="99" t="n">
        <f aca="false">E114</f>
        <v>4000</v>
      </c>
      <c r="C177" s="282"/>
      <c r="D177" s="371" t="n">
        <f aca="false">B58</f>
        <v>3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73" t="s">
        <v>297</v>
      </c>
      <c r="C179" s="282"/>
      <c r="D179" s="282" t="s">
        <v>298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452.53179933665</v>
      </c>
      <c r="B180" s="99" t="n">
        <f aca="false">IF(A105="YES", B89, 0)</f>
        <v>60</v>
      </c>
      <c r="C180" s="282"/>
      <c r="D180" s="99" t="n">
        <f aca="false">B91</f>
        <v>512.53179933665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317</v>
      </c>
      <c r="C182" s="99"/>
      <c r="D182" s="374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26.9316</v>
      </c>
      <c r="B183" s="375" t="n">
        <f aca="false">G18*0.000002 *1.2*100</f>
        <v>8.9772</v>
      </c>
      <c r="C183" s="282"/>
      <c r="D183" s="375" t="n">
        <f aca="false">A183+B183</f>
        <v>35.9088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321</v>
      </c>
      <c r="B185" s="374" t="s">
        <v>53</v>
      </c>
      <c r="C185" s="99"/>
      <c r="D185" s="374" t="s">
        <v>281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212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213</v>
      </c>
      <c r="B203" s="376" t="n">
        <f aca="false">H29</f>
        <v>12</v>
      </c>
      <c r="C203" s="338" t="s">
        <v>215</v>
      </c>
      <c r="D203" s="377" t="n">
        <f aca="false">D64</f>
        <v>2012.49972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216</v>
      </c>
      <c r="B205" s="338" t="n">
        <f aca="false">B213</f>
        <v>374.05</v>
      </c>
      <c r="C205" s="337" t="s">
        <v>217</v>
      </c>
      <c r="D205" s="377" t="n">
        <f aca="false">B219+E215+B215+B217</f>
        <v>459.99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218</v>
      </c>
      <c r="B207" s="338" t="n">
        <f aca="false">E217</f>
        <v>2098.43972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215</v>
      </c>
      <c r="B211" s="100" t="n">
        <f aca="false">D64</f>
        <v>2012.49972</v>
      </c>
      <c r="C211" s="381" t="s">
        <v>221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51" t="s">
        <v>333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333</v>
      </c>
      <c r="B215" s="237" t="n">
        <f aca="false">B191*E213*100</f>
        <v>40</v>
      </c>
      <c r="C215" s="351" t="s">
        <v>223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218</v>
      </c>
      <c r="D217" s="280"/>
      <c r="E217" s="33" t="n">
        <f aca="false">(B211-B205+D205)</f>
        <v>2098.43972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335</v>
      </c>
      <c r="B219" s="356" t="n">
        <f aca="false">D191/0.1</f>
        <v>120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225</v>
      </c>
      <c r="B223" s="100" t="n">
        <f aca="false">B71</f>
        <v>200</v>
      </c>
      <c r="C223" s="351" t="s">
        <v>226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227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228</v>
      </c>
      <c r="B225" s="386" t="n">
        <f aca="false">B68</f>
        <v>0.0075</v>
      </c>
      <c r="C225" s="351" t="s">
        <v>229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230</v>
      </c>
      <c r="D226" s="358"/>
      <c r="E226" s="33" t="n">
        <f aca="false">B86</f>
        <v>79.2152053731343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231</v>
      </c>
      <c r="B227" s="100" t="n">
        <f aca="false">B79</f>
        <v>200</v>
      </c>
      <c r="C227" s="387" t="s">
        <v>337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91" t="s">
        <v>338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H33" activeCellId="0" sqref="H3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347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753.306610758122</v>
      </c>
      <c r="E33" s="212"/>
      <c r="F33" s="63"/>
      <c r="G33" s="215" t="s">
        <v>349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753.306610758122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-20567.5795313712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753.306610758122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753.306610758122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753.306610758122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v>37404</v>
      </c>
      <c r="C61" s="211"/>
      <c r="D61" s="211"/>
      <c r="E61" s="212"/>
      <c r="F61" s="63"/>
      <c r="G61" s="210" t="s">
        <v>14</v>
      </c>
      <c r="H61" s="277" t="n">
        <f aca="false">G18</f>
        <v>0</v>
      </c>
      <c r="I61" s="211"/>
      <c r="J61" s="211"/>
      <c r="K61" s="212"/>
      <c r="L61" s="63"/>
      <c r="M61" s="210" t="s">
        <v>14</v>
      </c>
      <c r="N61" s="277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B62+(B62*0.25*((H29/12)-1))</f>
        <v>0.103541666666667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B60*B63</f>
        <v>2976.8225025</v>
      </c>
      <c r="C64" s="464" t="n">
        <v>10000</v>
      </c>
      <c r="D64" s="277" t="n">
        <f aca="false">B64</f>
        <v>2976.8225025</v>
      </c>
      <c r="E64" s="465" t="n">
        <f aca="false">D64/(B58+B57)</f>
        <v>85.0520715</v>
      </c>
      <c r="F64" s="63"/>
      <c r="G64" s="310" t="s">
        <v>93</v>
      </c>
      <c r="H64" s="129" t="n">
        <f aca="false">H61*H63</f>
        <v>0</v>
      </c>
      <c r="I64" s="211"/>
      <c r="J64" s="277" t="n">
        <f aca="false">H64-G145</f>
        <v>0</v>
      </c>
      <c r="K64" s="212"/>
      <c r="L64" s="63"/>
      <c r="M64" s="310" t="s">
        <v>93</v>
      </c>
      <c r="N64" s="129" t="n">
        <f aca="false">N61*N63</f>
        <v>0</v>
      </c>
      <c r="O64" s="211"/>
      <c r="P64" s="277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77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308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(B61*B66)</f>
        <v>732.495</v>
      </c>
      <c r="C67" s="467" t="s">
        <v>221</v>
      </c>
      <c r="D67" s="468"/>
      <c r="E67" s="212"/>
      <c r="F67" s="63"/>
      <c r="G67" s="310" t="s">
        <v>96</v>
      </c>
      <c r="H67" s="129" t="n">
        <f aca="false">(H61*H66)/1.2</f>
        <v>0</v>
      </c>
      <c r="I67" s="211"/>
      <c r="J67" s="277"/>
      <c r="K67" s="212"/>
      <c r="L67" s="63"/>
      <c r="M67" s="310" t="s">
        <v>96</v>
      </c>
      <c r="N67" s="129" t="n">
        <f aca="false">(N61*N66)/1.2</f>
        <v>0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469"/>
      <c r="D68" s="277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310" t="s">
        <v>102</v>
      </c>
      <c r="H73" s="129" t="n">
        <f aca="false">H72*H29</f>
        <v>157.5</v>
      </c>
      <c r="I73" s="211"/>
      <c r="J73" s="277" t="n">
        <f aca="false">H73+H71</f>
        <v>317.5</v>
      </c>
      <c r="K73" s="212"/>
      <c r="L73" s="63"/>
      <c r="M73" s="310" t="s">
        <v>102</v>
      </c>
      <c r="N73" s="129" t="n">
        <f aca="false">N72*H29</f>
        <v>157.5</v>
      </c>
      <c r="O73" s="211"/>
      <c r="P73" s="277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165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((B74+B75)/12)*(H29+1)</f>
        <v>495</v>
      </c>
      <c r="C76" s="211"/>
      <c r="D76" s="277" t="n">
        <f aca="false">B76</f>
        <v>495</v>
      </c>
      <c r="E76" s="212"/>
      <c r="F76" s="63"/>
      <c r="G76" s="310" t="s">
        <v>280</v>
      </c>
      <c r="H76" s="129" t="n">
        <f aca="false">((H74+H75)/12)*(H29-11)</f>
        <v>330</v>
      </c>
      <c r="I76" s="211"/>
      <c r="J76" s="277" t="n">
        <f aca="false">H76</f>
        <v>330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281</v>
      </c>
      <c r="B77" s="127" t="n">
        <f aca="false">B102/(1-0.1)</f>
        <v>0</v>
      </c>
      <c r="C77" s="472"/>
      <c r="D77" s="277" t="n">
        <f aca="false">B77</f>
        <v>0</v>
      </c>
      <c r="E77" s="465" t="n">
        <f aca="false">D77/(B58+B57)</f>
        <v>0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0</v>
      </c>
      <c r="C78" s="472"/>
      <c r="D78" s="277" t="n">
        <f aca="false">B78</f>
        <v>0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472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36.2857142857143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4246.8225025</v>
      </c>
      <c r="C81" s="472"/>
      <c r="D81" s="473"/>
      <c r="E81" s="465"/>
      <c r="F81" s="63"/>
      <c r="G81" s="422" t="s">
        <v>105</v>
      </c>
      <c r="H81" s="423" t="n">
        <f aca="false">SUM(J64:J80)</f>
        <v>1047.5</v>
      </c>
      <c r="I81" s="211"/>
      <c r="J81" s="211"/>
      <c r="K81" s="212"/>
      <c r="L81" s="63"/>
      <c r="M81" s="422" t="s">
        <v>105</v>
      </c>
      <c r="N81" s="42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121.337785785714</v>
      </c>
      <c r="C82" s="472"/>
      <c r="D82" s="211"/>
      <c r="E82" s="465"/>
      <c r="F82" s="63"/>
      <c r="G82" s="210" t="s">
        <v>106</v>
      </c>
      <c r="H82" s="419" t="n">
        <f aca="false">H81/H29</f>
        <v>29.9285714285714</v>
      </c>
      <c r="I82" s="211"/>
      <c r="J82" s="211"/>
      <c r="K82" s="212"/>
      <c r="L82" s="63"/>
      <c r="M82" s="210" t="s">
        <v>106</v>
      </c>
      <c r="N82" s="41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753.306610758122</v>
      </c>
      <c r="C83" s="472"/>
      <c r="D83" s="211"/>
      <c r="E83" s="465" t="n">
        <f aca="false">B83+E80+E77+E64</f>
        <v>874.644396543837</v>
      </c>
      <c r="F83" s="63"/>
      <c r="G83" s="424" t="s">
        <v>107</v>
      </c>
      <c r="H83" s="425" t="n">
        <f aca="false">H47</f>
        <v>753.306610758122</v>
      </c>
      <c r="I83" s="211"/>
      <c r="J83" s="211"/>
      <c r="K83" s="212"/>
      <c r="L83" s="63"/>
      <c r="M83" s="424" t="s">
        <v>107</v>
      </c>
      <c r="N83" s="425" t="n">
        <f aca="false">H47</f>
        <v>753.306610758122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</f>
        <v>30612.5538790343</v>
      </c>
      <c r="C85" s="472"/>
      <c r="D85" s="472"/>
      <c r="E85" s="465" t="n">
        <f aca="false">B85/(B58+B57)</f>
        <v>874.644396543837</v>
      </c>
      <c r="F85" s="63"/>
      <c r="G85" s="404" t="s">
        <v>117</v>
      </c>
      <c r="H85" s="127" t="n">
        <f aca="false">((H83*H29)+H81)*1.2</f>
        <v>32895.8776518411</v>
      </c>
      <c r="I85" s="211"/>
      <c r="J85" s="211"/>
      <c r="K85" s="212"/>
      <c r="L85" s="63"/>
      <c r="M85" s="404" t="s">
        <v>117</v>
      </c>
      <c r="N85" s="127" t="n">
        <f aca="false">((N83*H29)+N81)</f>
        <v>27083.2313765343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(((B83*H29)+B81)/(1-B70))*B70</f>
        <v>259.323772270964</v>
      </c>
      <c r="C86" s="472" t="s">
        <v>230</v>
      </c>
      <c r="D86" s="211"/>
      <c r="E86" s="465" t="n">
        <f aca="false">B86/(B58+B57)</f>
        <v>7.40925063631326</v>
      </c>
      <c r="F86" s="63"/>
      <c r="G86" s="210" t="s">
        <v>118</v>
      </c>
      <c r="H86" s="419" t="n">
        <f aca="false">((((H83*H29)+H81))/(1-H70))*H70</f>
        <v>232.2218067395</v>
      </c>
      <c r="I86" s="211"/>
      <c r="J86" s="211"/>
      <c r="K86" s="212"/>
      <c r="L86" s="63"/>
      <c r="M86" s="210" t="s">
        <v>118</v>
      </c>
      <c r="N86" s="419" t="n">
        <f aca="false">(N85/(1-N70))*N70</f>
        <v>229.426324690286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30871.8776513052</v>
      </c>
      <c r="C87" s="472"/>
      <c r="D87" s="474"/>
      <c r="E87" s="465" t="n">
        <f aca="false">E86+E85</f>
        <v>882.05364718015</v>
      </c>
      <c r="F87" s="63"/>
      <c r="G87" s="310" t="s">
        <v>119</v>
      </c>
      <c r="H87" s="129" t="n">
        <f aca="false">IF(H110="YES",((H85+H86)-K114),(H85+H86))</f>
        <v>33128.0994585806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27312.6577012246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(I32+(I32*B105))/(B58), (I32+(I32*B105))/(B57+B58))*(C45/100)</f>
        <v>0</v>
      </c>
      <c r="C89" s="472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0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882.05364718015</v>
      </c>
      <c r="C90" s="472"/>
      <c r="D90" s="211"/>
      <c r="E90" s="475"/>
      <c r="F90" s="63"/>
      <c r="G90" s="427" t="s">
        <v>121</v>
      </c>
      <c r="H90" s="428" t="n">
        <f aca="false">IF(H99=Y98, (H87-J105)/(H58), H87/(H57+H58))</f>
        <v>828.202486464516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682.816442530614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882.05364718015</v>
      </c>
      <c r="C91" s="472"/>
      <c r="D91" s="476"/>
      <c r="E91" s="412"/>
      <c r="F91" s="63"/>
      <c r="G91" s="429" t="s">
        <v>122</v>
      </c>
      <c r="H91" s="430" t="n">
        <f aca="false">IF(G105="YES", H90+H89, H90)</f>
        <v>828.202486464516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682.816442530614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131</v>
      </c>
      <c r="C99" s="331"/>
      <c r="D99" s="103" t="n">
        <v>1000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373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0</v>
      </c>
      <c r="C102" s="103"/>
      <c r="D102" s="103" t="n">
        <v>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34" t="n">
        <v>0.2</v>
      </c>
      <c r="C105" s="334"/>
      <c r="D105" s="103" t="n">
        <v>200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19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IF(B110="YES",((E118*1.2)+E117)-E114,((E118*1.2)+E117))</f>
        <v>1239.988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35</v>
      </c>
      <c r="C125" s="342"/>
      <c r="D125" s="341" t="n">
        <f aca="false">B160</f>
        <v>35000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828.202486464516</v>
      </c>
      <c r="H127" s="174" t="n">
        <f aca="false">IF(G105="YES", H89*H57, 0)</f>
        <v>0</v>
      </c>
      <c r="I127" s="174"/>
      <c r="J127" s="349" t="n">
        <f aca="false">H91</f>
        <v>828.202486464516</v>
      </c>
      <c r="K127" s="212"/>
      <c r="L127" s="63"/>
      <c r="M127" s="348" t="n">
        <f aca="false">N90</f>
        <v>682.816442530614</v>
      </c>
      <c r="N127" s="174" t="n">
        <f aca="false">IF(M105="YES", N89*N57, 0)</f>
        <v>0</v>
      </c>
      <c r="O127" s="174"/>
      <c r="P127" s="174" t="n">
        <f aca="false">N91</f>
        <v>682.816442530614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882.05364718015</v>
      </c>
      <c r="B128" s="338" t="n">
        <f aca="false">IF(A105="YES", B89, 0)</f>
        <v>0</v>
      </c>
      <c r="C128" s="342"/>
      <c r="D128" s="338" t="n">
        <f aca="false">B91</f>
        <v>882.05364718015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882.05364718015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4969.2149187871</v>
      </c>
      <c r="H133" s="99" t="n">
        <f aca="false">IF(G105="YES", H89*H57, 0)</f>
        <v>0</v>
      </c>
      <c r="I133" s="217"/>
      <c r="J133" s="181" t="n">
        <f aca="false">H91*H57</f>
        <v>4969.2149187871</v>
      </c>
      <c r="K133" s="212"/>
      <c r="L133" s="63"/>
      <c r="M133" s="182" t="n">
        <f aca="false">N90*N57</f>
        <v>4096.89865518369</v>
      </c>
      <c r="N133" s="99" t="n">
        <f aca="false">IF(M105="YES", N89*N57, 0)</f>
        <v>0</v>
      </c>
      <c r="O133" s="217"/>
      <c r="P133" s="181" t="n">
        <f aca="false">N91*N57</f>
        <v>4096.89865518369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882.05364718015</v>
      </c>
      <c r="B134" s="38" t="n">
        <f aca="false">E114</f>
        <v>4000</v>
      </c>
      <c r="C134" s="280"/>
      <c r="D134" s="352" t="n">
        <f aca="false">B58</f>
        <v>34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882.05364718015</v>
      </c>
      <c r="B137" s="38" t="n">
        <f aca="false">IF(A105="YES", B89, 0)</f>
        <v>0</v>
      </c>
      <c r="C137" s="280"/>
      <c r="D137" s="38" t="n">
        <f aca="false">B91</f>
        <v>882.05364718015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(B61*0.000006)*1.2*100</f>
        <v>26.93088</v>
      </c>
      <c r="B140" s="358" t="n">
        <f aca="false">IF(A105="YES", B61*0.000002, 0)*1.2*100</f>
        <v>8.97696</v>
      </c>
      <c r="C140" s="280"/>
      <c r="D140" s="358" t="n">
        <f aca="false">A140+B140</f>
        <v>35.90784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832.485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35</v>
      </c>
      <c r="H152" s="74" t="n">
        <f aca="false">H91</f>
        <v>828.202486464516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682.816442530614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882.05364718015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35</v>
      </c>
      <c r="C174" s="369"/>
      <c r="D174" s="341" t="n">
        <f aca="false">D125</f>
        <v>35000</v>
      </c>
      <c r="E174" s="339"/>
      <c r="F174" s="63"/>
      <c r="G174" s="452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882.05364718015</v>
      </c>
      <c r="B177" s="367" t="n">
        <f aca="false">IF(A105="YES", B89, 0)</f>
        <v>0</v>
      </c>
      <c r="C177" s="369"/>
      <c r="D177" s="367" t="n">
        <f aca="false">B91</f>
        <v>882.05364718015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882.05364718015</v>
      </c>
      <c r="C180" s="282"/>
      <c r="D180" s="99" t="n">
        <f aca="false">IF(A105="YES", B89*B57,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882.05364718015</v>
      </c>
      <c r="B183" s="99" t="n">
        <f aca="false">E114</f>
        <v>4000</v>
      </c>
      <c r="C183" s="282"/>
      <c r="D183" s="371" t="n">
        <f aca="false">B58</f>
        <v>34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882.05364718015</v>
      </c>
      <c r="B186" s="99" t="n">
        <f aca="false">IF(A105="YES", B89, 0)</f>
        <v>0</v>
      </c>
      <c r="C186" s="282"/>
      <c r="D186" s="99" t="n">
        <f aca="false">B91</f>
        <v>882.05364718015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A140</f>
        <v>26.93088</v>
      </c>
      <c r="B189" s="375" t="n">
        <f aca="false">B140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832.485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2976.8225025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732.495</v>
      </c>
      <c r="C211" s="337" t="s">
        <v>217</v>
      </c>
      <c r="D211" s="377" t="n">
        <f aca="false">B225+E221+B221+B223</f>
        <v>99.99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2344.3175025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2976.8225025</v>
      </c>
      <c r="C217" s="381" t="s">
        <v>221</v>
      </c>
      <c r="D217" s="280"/>
      <c r="E217" s="309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(B77-(B77*(E219*100)))*0.1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0</v>
      </c>
      <c r="C223" s="351" t="s">
        <v>218</v>
      </c>
      <c r="D223" s="280"/>
      <c r="E223" s="33" t="n">
        <f aca="false">(B217-B211+D211)</f>
        <v>2344.3175025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259.323772270964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347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753.306610758122</v>
      </c>
      <c r="E33" s="212"/>
      <c r="F33" s="63"/>
      <c r="G33" s="215" t="s">
        <v>349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753.306610758122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-20567.5795313712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753.306610758122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753.306610758122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753.306610758122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v>37404</v>
      </c>
      <c r="C61" s="211"/>
      <c r="D61" s="211"/>
      <c r="E61" s="212"/>
      <c r="F61" s="63"/>
      <c r="G61" s="210" t="s">
        <v>14</v>
      </c>
      <c r="H61" s="277" t="n">
        <f aca="false">G18</f>
        <v>0</v>
      </c>
      <c r="I61" s="211"/>
      <c r="J61" s="211"/>
      <c r="K61" s="212"/>
      <c r="L61" s="63"/>
      <c r="M61" s="210" t="s">
        <v>14</v>
      </c>
      <c r="N61" s="277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B62+(B62*0.25*((H29/12)-1))</f>
        <v>0.103541666666667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B60*B63</f>
        <v>2976.8225025</v>
      </c>
      <c r="C64" s="464" t="n">
        <v>10000</v>
      </c>
      <c r="D64" s="277" t="n">
        <f aca="false">B64</f>
        <v>2976.8225025</v>
      </c>
      <c r="E64" s="465" t="n">
        <f aca="false">D64/(B58+B57)</f>
        <v>85.0520715</v>
      </c>
      <c r="F64" s="63"/>
      <c r="G64" s="310" t="s">
        <v>93</v>
      </c>
      <c r="H64" s="129" t="n">
        <f aca="false">H61*H63</f>
        <v>0</v>
      </c>
      <c r="I64" s="211"/>
      <c r="J64" s="277" t="n">
        <f aca="false">H64-G145</f>
        <v>0</v>
      </c>
      <c r="K64" s="212"/>
      <c r="L64" s="63"/>
      <c r="M64" s="310" t="s">
        <v>93</v>
      </c>
      <c r="N64" s="129" t="n">
        <f aca="false">N61*N63</f>
        <v>0</v>
      </c>
      <c r="O64" s="211"/>
      <c r="P64" s="277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77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308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(B61*B66)</f>
        <v>732.495</v>
      </c>
      <c r="C67" s="467" t="s">
        <v>221</v>
      </c>
      <c r="D67" s="468"/>
      <c r="E67" s="212"/>
      <c r="F67" s="63"/>
      <c r="G67" s="310" t="s">
        <v>96</v>
      </c>
      <c r="H67" s="129" t="n">
        <f aca="false">(H61*H66)/1.2</f>
        <v>0</v>
      </c>
      <c r="I67" s="211"/>
      <c r="J67" s="277"/>
      <c r="K67" s="212"/>
      <c r="L67" s="63"/>
      <c r="M67" s="310" t="s">
        <v>96</v>
      </c>
      <c r="N67" s="129" t="n">
        <f aca="false">(N61*N66)/1.2</f>
        <v>0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469"/>
      <c r="D68" s="277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310" t="s">
        <v>102</v>
      </c>
      <c r="H73" s="129" t="n">
        <f aca="false">H72*H29</f>
        <v>157.5</v>
      </c>
      <c r="I73" s="211"/>
      <c r="J73" s="277" t="n">
        <f aca="false">H73+H71</f>
        <v>317.5</v>
      </c>
      <c r="K73" s="212"/>
      <c r="L73" s="63"/>
      <c r="M73" s="310" t="s">
        <v>102</v>
      </c>
      <c r="N73" s="129" t="n">
        <f aca="false">N72*H29</f>
        <v>157.5</v>
      </c>
      <c r="O73" s="211"/>
      <c r="P73" s="277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165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((B74+B75)/12)*(H29+1)</f>
        <v>495</v>
      </c>
      <c r="C76" s="211"/>
      <c r="D76" s="277" t="n">
        <f aca="false">B76</f>
        <v>495</v>
      </c>
      <c r="E76" s="212"/>
      <c r="F76" s="63"/>
      <c r="G76" s="310" t="s">
        <v>280</v>
      </c>
      <c r="H76" s="129" t="n">
        <f aca="false">((H74+H75)/12)*(H29-11)</f>
        <v>330</v>
      </c>
      <c r="I76" s="211"/>
      <c r="J76" s="277" t="n">
        <f aca="false">H76</f>
        <v>330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281</v>
      </c>
      <c r="B77" s="127" t="n">
        <f aca="false">B102/(1-0.1)</f>
        <v>444.444444444444</v>
      </c>
      <c r="C77" s="472"/>
      <c r="D77" s="277" t="n">
        <f aca="false">B77</f>
        <v>444.444444444444</v>
      </c>
      <c r="E77" s="465" t="n">
        <f aca="false">D77/(B58+B57)</f>
        <v>12.6984126984127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472"/>
      <c r="D78" s="277" t="n">
        <f aca="false">B78</f>
        <v>222.222222222222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472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36.2857142857143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4913.48916916667</v>
      </c>
      <c r="C81" s="472"/>
      <c r="D81" s="473"/>
      <c r="E81" s="465"/>
      <c r="F81" s="63"/>
      <c r="G81" s="422" t="s">
        <v>105</v>
      </c>
      <c r="H81" s="423" t="n">
        <f aca="false">SUM(J64:J80)</f>
        <v>1047.5</v>
      </c>
      <c r="I81" s="211"/>
      <c r="J81" s="211"/>
      <c r="K81" s="212"/>
      <c r="L81" s="63"/>
      <c r="M81" s="422" t="s">
        <v>105</v>
      </c>
      <c r="N81" s="42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140.385404833333</v>
      </c>
      <c r="C82" s="472"/>
      <c r="D82" s="211"/>
      <c r="E82" s="465"/>
      <c r="F82" s="63"/>
      <c r="G82" s="210" t="s">
        <v>106</v>
      </c>
      <c r="H82" s="419" t="n">
        <f aca="false">H81/H29</f>
        <v>29.9285714285714</v>
      </c>
      <c r="I82" s="211"/>
      <c r="J82" s="211"/>
      <c r="K82" s="212"/>
      <c r="L82" s="63"/>
      <c r="M82" s="210" t="s">
        <v>106</v>
      </c>
      <c r="N82" s="41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753.306610758122</v>
      </c>
      <c r="C83" s="472"/>
      <c r="D83" s="211"/>
      <c r="E83" s="465" t="n">
        <f aca="false">B83+E80+E77+E64</f>
        <v>887.342809242249</v>
      </c>
      <c r="F83" s="63"/>
      <c r="G83" s="424" t="s">
        <v>107</v>
      </c>
      <c r="H83" s="425" t="n">
        <f aca="false">H47</f>
        <v>753.306610758122</v>
      </c>
      <c r="I83" s="211"/>
      <c r="J83" s="211"/>
      <c r="K83" s="212"/>
      <c r="L83" s="63"/>
      <c r="M83" s="424" t="s">
        <v>107</v>
      </c>
      <c r="N83" s="425" t="n">
        <f aca="false">H47</f>
        <v>753.306610758122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((B83*H29)+B81)*1.2</f>
        <v>37535.0646548411</v>
      </c>
      <c r="C85" s="472"/>
      <c r="D85" s="472"/>
      <c r="E85" s="465" t="n">
        <f aca="false">B85/(B58+B57)</f>
        <v>1072.43041870975</v>
      </c>
      <c r="F85" s="63"/>
      <c r="G85" s="404" t="s">
        <v>117</v>
      </c>
      <c r="H85" s="127" t="n">
        <f aca="false">((H83*H29)+H81)*1.2</f>
        <v>32895.8776518411</v>
      </c>
      <c r="I85" s="211"/>
      <c r="J85" s="211"/>
      <c r="K85" s="212"/>
      <c r="L85" s="63"/>
      <c r="M85" s="404" t="s">
        <v>117</v>
      </c>
      <c r="N85" s="127" t="n">
        <f aca="false">((N83*H29)+N81)</f>
        <v>27083.2313765343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(((B83*H29)+B81)/(1-B70))*B70</f>
        <v>264.971210754223</v>
      </c>
      <c r="C86" s="472" t="s">
        <v>230</v>
      </c>
      <c r="D86" s="211"/>
      <c r="E86" s="465" t="n">
        <f aca="false">B86/(B58+B57)</f>
        <v>7.57060602154924</v>
      </c>
      <c r="F86" s="63"/>
      <c r="G86" s="210" t="s">
        <v>118</v>
      </c>
      <c r="H86" s="419" t="n">
        <f aca="false">((((H83*H29)+H81))/(1-H70))*H70</f>
        <v>232.2218067395</v>
      </c>
      <c r="I86" s="211"/>
      <c r="J86" s="211"/>
      <c r="K86" s="212"/>
      <c r="L86" s="63"/>
      <c r="M86" s="210" t="s">
        <v>118</v>
      </c>
      <c r="N86" s="419" t="n">
        <f aca="false">(N85/(1-N70))*N70</f>
        <v>229.426324690286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37800.0358655954</v>
      </c>
      <c r="C87" s="472"/>
      <c r="D87" s="474"/>
      <c r="E87" s="465" t="n">
        <f aca="false">E86+E85</f>
        <v>1080.0010247313</v>
      </c>
      <c r="F87" s="63"/>
      <c r="G87" s="310" t="s">
        <v>119</v>
      </c>
      <c r="H87" s="129" t="n">
        <f aca="false">IF(H110="YES",((H85+H86)-K114),(H85+H86))</f>
        <v>33128.0994585806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27312.6577012246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(I32+(I32*B105))/(B58), (I32+(I32*B105))/(B57+B58))*(C45/100)</f>
        <v>0</v>
      </c>
      <c r="C89" s="472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0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1080.0010247313</v>
      </c>
      <c r="C90" s="472"/>
      <c r="D90" s="211"/>
      <c r="E90" s="475"/>
      <c r="F90" s="63"/>
      <c r="G90" s="427" t="s">
        <v>121</v>
      </c>
      <c r="H90" s="428" t="n">
        <f aca="false">IF(H99=Y98, (H87-J105)/(H58), H87/(H57+H58))</f>
        <v>828.202486464516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682.816442530614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1080.0010247313</v>
      </c>
      <c r="C91" s="472"/>
      <c r="D91" s="476"/>
      <c r="E91" s="412"/>
      <c r="F91" s="63"/>
      <c r="G91" s="429" t="s">
        <v>122</v>
      </c>
      <c r="H91" s="430" t="n">
        <f aca="false">IF(G105="YES", H90+H89, H90)</f>
        <v>828.202486464516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682.816442530614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131</v>
      </c>
      <c r="C99" s="331"/>
      <c r="D99" s="103" t="n">
        <v>1000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373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239.99</v>
      </c>
      <c r="B102" s="103" t="n">
        <v>400</v>
      </c>
      <c r="C102" s="103"/>
      <c r="D102" s="103" t="n">
        <v>200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34" t="n">
        <v>0.2</v>
      </c>
      <c r="C105" s="334"/>
      <c r="D105" s="103" t="n">
        <v>200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19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IF(B110="YES",((E118*1.2)+E117)-E114,((E118*1.2)+E117))</f>
        <v>1287.988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35</v>
      </c>
      <c r="C125" s="342"/>
      <c r="D125" s="341" t="n">
        <f aca="false">B160</f>
        <v>35000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828.202486464516</v>
      </c>
      <c r="H127" s="174" t="n">
        <f aca="false">IF(G105="YES", H89*H57, 0)</f>
        <v>0</v>
      </c>
      <c r="I127" s="174"/>
      <c r="J127" s="349" t="n">
        <f aca="false">H91</f>
        <v>828.202486464516</v>
      </c>
      <c r="K127" s="212"/>
      <c r="L127" s="63"/>
      <c r="M127" s="348" t="n">
        <f aca="false">N90</f>
        <v>682.816442530614</v>
      </c>
      <c r="N127" s="174" t="n">
        <f aca="false">IF(M105="YES", N89*N57, 0)</f>
        <v>0</v>
      </c>
      <c r="O127" s="174"/>
      <c r="P127" s="174" t="n">
        <f aca="false">N91</f>
        <v>682.816442530614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1080.0010247313</v>
      </c>
      <c r="B128" s="338" t="n">
        <f aca="false">IF(A105="YES", B89, 0)</f>
        <v>0</v>
      </c>
      <c r="C128" s="342"/>
      <c r="D128" s="338" t="n">
        <f aca="false">B91</f>
        <v>1080.0010247313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1080.0010247313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4969.2149187871</v>
      </c>
      <c r="H133" s="99" t="n">
        <f aca="false">IF(G105="YES", H89*H57, 0)</f>
        <v>0</v>
      </c>
      <c r="I133" s="217"/>
      <c r="J133" s="181" t="n">
        <f aca="false">H91*H57</f>
        <v>4969.2149187871</v>
      </c>
      <c r="K133" s="212"/>
      <c r="L133" s="63"/>
      <c r="M133" s="182" t="n">
        <f aca="false">N90*N57</f>
        <v>4096.89865518369</v>
      </c>
      <c r="N133" s="99" t="n">
        <f aca="false">IF(M105="YES", N89*N57, 0)</f>
        <v>0</v>
      </c>
      <c r="O133" s="217"/>
      <c r="P133" s="181" t="n">
        <f aca="false">N91*N57</f>
        <v>4096.89865518369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1080.0010247313</v>
      </c>
      <c r="B134" s="38" t="n">
        <f aca="false">E114</f>
        <v>4000</v>
      </c>
      <c r="C134" s="280"/>
      <c r="D134" s="352" t="n">
        <f aca="false">B58</f>
        <v>34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1080.0010247313</v>
      </c>
      <c r="B137" s="38" t="n">
        <f aca="false">IF(A105="YES", B89, 0)</f>
        <v>0</v>
      </c>
      <c r="C137" s="280"/>
      <c r="D137" s="38" t="n">
        <f aca="false">B91</f>
        <v>1080.0010247313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(B61*0.000006)*1.2*100</f>
        <v>26.93088</v>
      </c>
      <c r="B140" s="358" t="n">
        <f aca="false">IF(A105="YES", B61*0.000002, 0)*1.2*100</f>
        <v>8.97696</v>
      </c>
      <c r="C140" s="280"/>
      <c r="D140" s="358" t="n">
        <f aca="false">A140+B140</f>
        <v>35.90784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35</v>
      </c>
      <c r="H152" s="74" t="n">
        <f aca="false">H91</f>
        <v>828.202486464516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682.816442530614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1080.0010247313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35</v>
      </c>
      <c r="C174" s="369"/>
      <c r="D174" s="341" t="n">
        <f aca="false">D125</f>
        <v>35000</v>
      </c>
      <c r="E174" s="339"/>
      <c r="F174" s="63"/>
      <c r="G174" s="452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1080.0010247313</v>
      </c>
      <c r="B177" s="367" t="n">
        <f aca="false">IF(A105="YES", B89, 0)</f>
        <v>0</v>
      </c>
      <c r="C177" s="369"/>
      <c r="D177" s="367" t="n">
        <f aca="false">B91</f>
        <v>1080.0010247313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1080.0010247313</v>
      </c>
      <c r="C180" s="282"/>
      <c r="D180" s="99" t="n">
        <f aca="false">IF(A105="YES", B89*B57,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1080.0010247313</v>
      </c>
      <c r="B183" s="99" t="n">
        <f aca="false">E114</f>
        <v>4000</v>
      </c>
      <c r="C183" s="282"/>
      <c r="D183" s="371" t="n">
        <f aca="false">B58</f>
        <v>34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1080.0010247313</v>
      </c>
      <c r="B186" s="99" t="n">
        <f aca="false">IF(A105="YES", B89, 0)</f>
        <v>0</v>
      </c>
      <c r="C186" s="282"/>
      <c r="D186" s="99" t="n">
        <f aca="false">B91</f>
        <v>1080.0010247313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A140</f>
        <v>26.93088</v>
      </c>
      <c r="B189" s="375" t="n">
        <f aca="false">B140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1272.485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2976.8225025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732.495</v>
      </c>
      <c r="C211" s="337" t="s">
        <v>217</v>
      </c>
      <c r="D211" s="377" t="n">
        <f aca="false">B225+E221+B221+B223</f>
        <v>379.99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2624.3175025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2976.8225025</v>
      </c>
      <c r="C217" s="381" t="s">
        <v>221</v>
      </c>
      <c r="D217" s="280"/>
      <c r="E217" s="309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(B77-(B77*(E219*100)))*0.1</f>
        <v>40</v>
      </c>
      <c r="C221" s="351" t="s">
        <v>223</v>
      </c>
      <c r="D221" s="280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218</v>
      </c>
      <c r="D223" s="280"/>
      <c r="E223" s="33" t="n">
        <f aca="false">(B217-B211+D211)</f>
        <v>2624.3175025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264.971210754223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" colorId="64" zoomScale="75" zoomScaleNormal="75" zoomScalePageLayoutView="100" workbookViewId="0">
      <selection pane="topLeft" activeCell="H44" activeCellId="0" sqref="H44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311"/>
      <c r="B2" s="481" t="s">
        <v>146</v>
      </c>
      <c r="C2" s="481" t="s">
        <v>147</v>
      </c>
      <c r="D2" s="481" t="s">
        <v>148</v>
      </c>
      <c r="E2" s="482" t="s">
        <v>149</v>
      </c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81" t="s">
        <v>152</v>
      </c>
      <c r="B3" s="483" t="n">
        <v>46854.17</v>
      </c>
      <c r="C3" s="483" t="n">
        <v>0</v>
      </c>
      <c r="D3" s="483" t="n">
        <v>833.33</v>
      </c>
      <c r="E3" s="438" t="n">
        <v>0</v>
      </c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281" t="s">
        <v>153</v>
      </c>
      <c r="B4" s="484" t="n">
        <v>0</v>
      </c>
      <c r="C4" s="484" t="n">
        <v>0</v>
      </c>
      <c r="D4" s="484" t="n">
        <v>0</v>
      </c>
      <c r="E4" s="309"/>
      <c r="F4" s="265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281" t="s">
        <v>154</v>
      </c>
      <c r="B5" s="483" t="n">
        <v>0</v>
      </c>
      <c r="C5" s="483" t="n">
        <v>0</v>
      </c>
      <c r="D5" s="483" t="n">
        <v>0</v>
      </c>
      <c r="E5" s="33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281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281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81"/>
      <c r="B8" s="280"/>
      <c r="C8" s="280"/>
      <c r="D8" s="280"/>
      <c r="E8" s="283"/>
      <c r="F8" s="265"/>
      <c r="G8" s="265"/>
      <c r="H8" s="265"/>
      <c r="I8" s="13" t="s">
        <v>3</v>
      </c>
      <c r="J8" s="14" t="n">
        <f aca="false">E13+E14</f>
        <v>640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265"/>
      <c r="G9" s="265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38" t="n">
        <v>550</v>
      </c>
      <c r="F10" s="265"/>
      <c r="G10" s="265"/>
      <c r="H10" s="265"/>
      <c r="I10" s="16" t="s">
        <v>1</v>
      </c>
      <c r="J10" s="14" t="n">
        <f aca="false">E15-E11-J8</f>
        <v>48237.5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265"/>
      <c r="G11" s="265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38" t="n">
        <v>0</v>
      </c>
      <c r="F12" s="265"/>
      <c r="G12" s="265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38" t="n">
        <v>585</v>
      </c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38" t="n">
        <v>55</v>
      </c>
      <c r="F14" s="265"/>
      <c r="G14" s="265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0" t="n">
        <f aca="false">(E9+E10+E13+E14+E11)-E12</f>
        <v>58525</v>
      </c>
      <c r="F15" s="265"/>
      <c r="G15" s="17" t="n">
        <f aca="false">E15</f>
        <v>58525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38" t="n">
        <v>0</v>
      </c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83"/>
      <c r="F17" s="265"/>
      <c r="G17" s="265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1" t="n">
        <v>0</v>
      </c>
      <c r="F18" s="265"/>
      <c r="G18" s="17" t="n">
        <f aca="false">(B3+C3+D3+E3+E10)*1.2</f>
        <v>57885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1" t="n">
        <v>0</v>
      </c>
      <c r="F19" s="265"/>
      <c r="G19" s="265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1" t="n">
        <v>0</v>
      </c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3" t="n">
        <f aca="false">E15-((E18*1.2)+(E19*1.2)+(E20*1.2)+(E16*1.2))</f>
        <v>58525</v>
      </c>
      <c r="F21" s="265"/>
      <c r="G21" s="265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45015</v>
      </c>
      <c r="E29" s="287"/>
      <c r="F29" s="265"/>
      <c r="G29" s="29" t="s">
        <v>28</v>
      </c>
      <c r="H29" s="37" t="n">
        <f aca="false">A32</f>
        <v>12</v>
      </c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600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90" t="n">
        <f aca="false">A35-B35</f>
        <v>47877.5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45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57</v>
      </c>
      <c r="G40" s="2" t="s">
        <v>58</v>
      </c>
      <c r="H40" s="2" t="n">
        <f aca="false">E11</f>
        <v>9647.5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265"/>
      <c r="G41" s="2" t="s">
        <v>59</v>
      </c>
      <c r="H41" s="2" t="str">
        <f aca="false">IF(D41="Yes",A44, 0)</f>
        <v>50</v>
      </c>
      <c r="I41" s="2"/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120</v>
      </c>
      <c r="B43" s="236" t="s">
        <v>69</v>
      </c>
      <c r="C43" s="226" t="s">
        <v>65</v>
      </c>
      <c r="D43" s="236" t="s">
        <v>209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s">
        <v>72</v>
      </c>
      <c r="B44" s="100" t="s">
        <v>271</v>
      </c>
      <c r="C44" s="100"/>
      <c r="D44" s="100" t="s">
        <v>271</v>
      </c>
      <c r="E44" s="100"/>
      <c r="F44" s="265"/>
      <c r="G44" s="2" t="s">
        <v>67</v>
      </c>
      <c r="H44" s="2" t="n">
        <f aca="false">((H40-(((H42/(1.2))*0.2)))/(H43))</f>
        <v>720.625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-170.625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6" t="s">
        <v>273</v>
      </c>
      <c r="C46" s="226" t="s">
        <v>4</v>
      </c>
      <c r="D46" s="226"/>
      <c r="E46" s="239"/>
      <c r="F46" s="265" t="n">
        <v>0</v>
      </c>
      <c r="G46" s="2" t="s">
        <v>73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272</v>
      </c>
      <c r="B47" s="226"/>
      <c r="C47" s="226"/>
      <c r="D47" s="226"/>
      <c r="E47" s="239"/>
      <c r="F47" s="265"/>
      <c r="G47" s="2" t="s">
        <v>74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76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77</v>
      </c>
      <c r="H49" s="2" t="n">
        <f aca="false">H45+H48+H47</f>
        <v>-167.958333333333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265"/>
      <c r="G50" s="2" t="s">
        <v>274</v>
      </c>
      <c r="H50" s="2" t="n">
        <f aca="false">H49-H41</f>
        <v>-217.958333333333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282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87</v>
      </c>
      <c r="B63" s="280" t="n">
        <f aca="false">IF(B105=Z103,1,IF(B105=Z104,1,IF(B105=Z105,3,IF(B105=Z106,6,IF(B105=Z107,9,IF(B105=Z108,12,IF(B105=Z109,3,IF(B105=Z110,6,IF(B105=Z111,9,0)))))))))</f>
        <v>9</v>
      </c>
      <c r="C63" s="280"/>
      <c r="D63" s="280"/>
      <c r="E63" s="283"/>
      <c r="F63" s="265"/>
      <c r="G63" s="281" t="s">
        <v>87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87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88</v>
      </c>
      <c r="B64" s="280" t="n">
        <f aca="false">IF(B105=Z103,H29-B63,IF(B105=Z104,H29-B63,IF(B105=Z105,H29-1,IF(B105=Z106,H29-1,IF(B105=Z107,H29-1,IF(B105=Z108,H29-1,IF(B105=Z109,H29-B63,IF(B105=Z110,H29-B63,IF(B105=Z111,H29-B63,0)))))))))</f>
        <v>3</v>
      </c>
      <c r="C64" s="280"/>
      <c r="D64" s="280"/>
      <c r="E64" s="283"/>
      <c r="F64" s="265"/>
      <c r="G64" s="281" t="s">
        <v>88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88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81"/>
      <c r="B66" s="280"/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81" t="s">
        <v>14</v>
      </c>
      <c r="B67" s="32" t="n">
        <f aca="false">G18</f>
        <v>57885</v>
      </c>
      <c r="C67" s="280"/>
      <c r="D67" s="280"/>
      <c r="E67" s="283"/>
      <c r="F67" s="265"/>
      <c r="G67" s="281" t="s">
        <v>14</v>
      </c>
      <c r="H67" s="32" t="n">
        <f aca="false">G18</f>
        <v>57885</v>
      </c>
      <c r="I67" s="280"/>
      <c r="J67" s="280"/>
      <c r="K67" s="283"/>
      <c r="L67" s="265"/>
      <c r="M67" s="281" t="s">
        <v>14</v>
      </c>
      <c r="N67" s="32" t="n">
        <f aca="false">G18</f>
        <v>57885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6" t="s">
        <v>276</v>
      </c>
      <c r="B68" s="307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81" t="s">
        <v>277</v>
      </c>
      <c r="B69" s="309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298" t="s">
        <v>93</v>
      </c>
      <c r="B70" s="65" t="n">
        <f aca="false">B67*B69</f>
        <v>4051.95</v>
      </c>
      <c r="C70" s="280" t="n">
        <v>10000</v>
      </c>
      <c r="D70" s="32" t="n">
        <f aca="false">B70-A149</f>
        <v>4051.95</v>
      </c>
      <c r="E70" s="283" t="n">
        <f aca="false">D70/12</f>
        <v>337.6625</v>
      </c>
      <c r="F70" s="265"/>
      <c r="G70" s="298" t="s">
        <v>93</v>
      </c>
      <c r="H70" s="65" t="n">
        <f aca="false">H67*H69</f>
        <v>4051.95</v>
      </c>
      <c r="I70" s="280"/>
      <c r="J70" s="32" t="n">
        <f aca="false">H70-G151</f>
        <v>4051.95</v>
      </c>
      <c r="K70" s="283"/>
      <c r="L70" s="265"/>
      <c r="M70" s="298" t="s">
        <v>93</v>
      </c>
      <c r="N70" s="65" t="n">
        <f aca="false">N67*N69</f>
        <v>4051.95</v>
      </c>
      <c r="O70" s="280"/>
      <c r="P70" s="32" t="n">
        <f aca="false">N70-M151</f>
        <v>4051.95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6" t="s">
        <v>94</v>
      </c>
      <c r="B71" s="307" t="n">
        <v>0.01</v>
      </c>
      <c r="C71" s="280"/>
      <c r="D71" s="280"/>
      <c r="E71" s="283"/>
      <c r="F71" s="265"/>
      <c r="G71" s="306" t="s">
        <v>94</v>
      </c>
      <c r="H71" s="307" t="n">
        <v>0.005</v>
      </c>
      <c r="I71" s="280"/>
      <c r="J71" s="280"/>
      <c r="K71" s="283"/>
      <c r="L71" s="265"/>
      <c r="M71" s="306" t="s">
        <v>94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81" t="s">
        <v>95</v>
      </c>
      <c r="B72" s="309" t="n">
        <f aca="false">B71+(B71*0.5*(H29/12-1))</f>
        <v>0.01</v>
      </c>
      <c r="C72" s="280"/>
      <c r="D72" s="280"/>
      <c r="E72" s="283"/>
      <c r="F72" s="265"/>
      <c r="G72" s="281" t="s">
        <v>95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95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298" t="s">
        <v>96</v>
      </c>
      <c r="B73" s="65" t="n">
        <f aca="false">B67*B72</f>
        <v>578.85</v>
      </c>
      <c r="C73" s="280"/>
      <c r="D73" s="32"/>
      <c r="E73" s="283"/>
      <c r="F73" s="265"/>
      <c r="G73" s="298" t="s">
        <v>96</v>
      </c>
      <c r="H73" s="65" t="n">
        <f aca="false">H67*H72</f>
        <v>289.425</v>
      </c>
      <c r="I73" s="280"/>
      <c r="J73" s="32"/>
      <c r="K73" s="283"/>
      <c r="L73" s="265"/>
      <c r="M73" s="298" t="s">
        <v>96</v>
      </c>
      <c r="N73" s="65" t="n">
        <f aca="false">N67*N72</f>
        <v>289.425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97</v>
      </c>
      <c r="B74" s="307" t="n">
        <v>0.0075</v>
      </c>
      <c r="C74" s="280"/>
      <c r="D74" s="280"/>
      <c r="E74" s="283"/>
      <c r="F74" s="265"/>
      <c r="G74" s="306" t="s">
        <v>97</v>
      </c>
      <c r="H74" s="307" t="n">
        <v>0.0075</v>
      </c>
      <c r="I74" s="280"/>
      <c r="J74" s="280"/>
      <c r="K74" s="283"/>
      <c r="L74" s="265"/>
      <c r="M74" s="306" t="s">
        <v>97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98</v>
      </c>
      <c r="B75" s="312" t="n">
        <v>0.12</v>
      </c>
      <c r="C75" s="280"/>
      <c r="D75" s="280"/>
      <c r="E75" s="283"/>
      <c r="F75" s="265"/>
      <c r="G75" s="311" t="s">
        <v>98</v>
      </c>
      <c r="H75" s="312" t="n">
        <v>0.12</v>
      </c>
      <c r="I75" s="280"/>
      <c r="J75" s="280"/>
      <c r="K75" s="283"/>
      <c r="L75" s="265"/>
      <c r="M75" s="311" t="s">
        <v>98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99</v>
      </c>
      <c r="B76" s="313" t="n">
        <f aca="false">B74*(1+B75)</f>
        <v>0.0084</v>
      </c>
      <c r="C76" s="280"/>
      <c r="D76" s="280"/>
      <c r="E76" s="283"/>
      <c r="F76" s="265"/>
      <c r="G76" s="298" t="s">
        <v>99</v>
      </c>
      <c r="H76" s="313" t="n">
        <f aca="false">H74*(1+H75)</f>
        <v>0.0084</v>
      </c>
      <c r="I76" s="280"/>
      <c r="J76" s="280"/>
      <c r="K76" s="283"/>
      <c r="L76" s="265"/>
      <c r="M76" s="298" t="s">
        <v>99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100</v>
      </c>
      <c r="B77" s="86" t="n">
        <v>200</v>
      </c>
      <c r="C77" s="280"/>
      <c r="D77" s="280"/>
      <c r="E77" s="283"/>
      <c r="F77" s="265"/>
      <c r="G77" s="306" t="s">
        <v>100</v>
      </c>
      <c r="H77" s="86" t="n">
        <v>160</v>
      </c>
      <c r="I77" s="280"/>
      <c r="J77" s="280"/>
      <c r="K77" s="283"/>
      <c r="L77" s="265"/>
      <c r="M77" s="306" t="s">
        <v>100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101</v>
      </c>
      <c r="B78" s="77" t="n">
        <v>5</v>
      </c>
      <c r="C78" s="280"/>
      <c r="D78" s="280"/>
      <c r="E78" s="283"/>
      <c r="F78" s="265"/>
      <c r="G78" s="311" t="s">
        <v>101</v>
      </c>
      <c r="H78" s="77" t="n">
        <v>4.5</v>
      </c>
      <c r="I78" s="280"/>
      <c r="J78" s="280"/>
      <c r="K78" s="283"/>
      <c r="L78" s="265"/>
      <c r="M78" s="311" t="s">
        <v>101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102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102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102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6" t="n">
        <v>165</v>
      </c>
      <c r="C80" s="280"/>
      <c r="D80" s="280"/>
      <c r="E80" s="314" t="n">
        <f aca="false">E79+D82</f>
        <v>703.333333333333</v>
      </c>
      <c r="F80" s="265"/>
      <c r="G80" s="306" t="s">
        <v>278</v>
      </c>
      <c r="H80" s="86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7" t="n">
        <v>355</v>
      </c>
      <c r="C81" s="280"/>
      <c r="D81" s="280"/>
      <c r="E81" s="283" t="n">
        <f aca="false">E80/12</f>
        <v>58.6111111111111</v>
      </c>
      <c r="F81" s="265"/>
      <c r="G81" s="311" t="s">
        <v>279</v>
      </c>
      <c r="H81" s="77" t="n">
        <f aca="false">IF(G18&gt;40000, 325, 0)</f>
        <v>325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5" t="n">
        <f aca="false">((B80+B81)/12)*(H29-11)</f>
        <v>43.3333333333333</v>
      </c>
      <c r="C82" s="280"/>
      <c r="D82" s="32" t="n">
        <f aca="false">IF(A50="YES", 0, B82)</f>
        <v>43.3333333333333</v>
      </c>
      <c r="E82" s="283"/>
      <c r="F82" s="265"/>
      <c r="G82" s="298" t="s">
        <v>280</v>
      </c>
      <c r="H82" s="65" t="n">
        <f aca="false">((H80+H81)/12)*(H29-11)</f>
        <v>39.5833333333333</v>
      </c>
      <c r="I82" s="280"/>
      <c r="J82" s="32" t="n">
        <f aca="false">IF(A50="YES", 0, H82)</f>
        <v>39.5833333333333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103</v>
      </c>
      <c r="B85" s="77" t="n">
        <v>200</v>
      </c>
      <c r="C85" s="280"/>
      <c r="D85" s="32" t="n">
        <f aca="false">B85</f>
        <v>200</v>
      </c>
      <c r="E85" s="283"/>
      <c r="F85" s="265"/>
      <c r="G85" s="311" t="s">
        <v>103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103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104</v>
      </c>
      <c r="B86" s="87" t="n">
        <v>200</v>
      </c>
      <c r="C86" s="280"/>
      <c r="D86" s="32" t="n">
        <f aca="false">B86</f>
        <v>200</v>
      </c>
      <c r="E86" s="283"/>
      <c r="F86" s="265"/>
      <c r="G86" s="321" t="s">
        <v>104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104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105</v>
      </c>
      <c r="B87" s="323" t="n">
        <f aca="false">SUM(D70:D86)</f>
        <v>5421.95</v>
      </c>
      <c r="C87" s="280"/>
      <c r="D87" s="280"/>
      <c r="E87" s="283"/>
      <c r="F87" s="265"/>
      <c r="G87" s="322" t="s">
        <v>105</v>
      </c>
      <c r="H87" s="323" t="n">
        <f aca="false">SUM(J70:J86)</f>
        <v>7205.53333333333</v>
      </c>
      <c r="I87" s="280"/>
      <c r="J87" s="280"/>
      <c r="K87" s="283"/>
      <c r="L87" s="265"/>
      <c r="M87" s="322" t="s">
        <v>105</v>
      </c>
      <c r="N87" s="323" t="n">
        <f aca="false">SUM(P70:P86)</f>
        <v>7165.95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106</v>
      </c>
      <c r="B88" s="33" t="n">
        <f aca="false">B87/H29</f>
        <v>451.829166666667</v>
      </c>
      <c r="C88" s="280"/>
      <c r="D88" s="280"/>
      <c r="E88" s="283"/>
      <c r="F88" s="265"/>
      <c r="G88" s="281" t="s">
        <v>106</v>
      </c>
      <c r="H88" s="33" t="n">
        <f aca="false">H87/H29</f>
        <v>600.461111111111</v>
      </c>
      <c r="I88" s="280"/>
      <c r="J88" s="280"/>
      <c r="K88" s="283"/>
      <c r="L88" s="265"/>
      <c r="M88" s="281" t="s">
        <v>106</v>
      </c>
      <c r="N88" s="33" t="n">
        <f aca="false">N87/H29</f>
        <v>597.1625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107</v>
      </c>
      <c r="B89" s="59" t="n">
        <f aca="false">H50</f>
        <v>-217.958333333333</v>
      </c>
      <c r="C89" s="280"/>
      <c r="D89" s="280"/>
      <c r="E89" s="283"/>
      <c r="F89" s="265"/>
      <c r="G89" s="324" t="s">
        <v>107</v>
      </c>
      <c r="H89" s="59" t="n">
        <f aca="false">H46</f>
        <v>0</v>
      </c>
      <c r="I89" s="280"/>
      <c r="J89" s="280"/>
      <c r="K89" s="283"/>
      <c r="L89" s="265"/>
      <c r="M89" s="324" t="s">
        <v>107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117</v>
      </c>
      <c r="B91" s="27" t="n">
        <f aca="false">((B89*H29)+B87)*1.2</f>
        <v>3367.74</v>
      </c>
      <c r="C91" s="280"/>
      <c r="D91" s="280"/>
      <c r="E91" s="283"/>
      <c r="F91" s="265"/>
      <c r="G91" s="301" t="s">
        <v>117</v>
      </c>
      <c r="H91" s="27" t="n">
        <f aca="false">((H89*H29)+H87)*1.2</f>
        <v>8646.64</v>
      </c>
      <c r="I91" s="280"/>
      <c r="J91" s="280"/>
      <c r="K91" s="283"/>
      <c r="L91" s="265"/>
      <c r="M91" s="301" t="s">
        <v>117</v>
      </c>
      <c r="N91" s="27" t="n">
        <f aca="false">((N89*H29)+N87)</f>
        <v>7165.95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118</v>
      </c>
      <c r="B92" s="33" t="n">
        <f aca="false">(((B89*H29)+B87)/(1-B76))*B76</f>
        <v>23.7738805970149</v>
      </c>
      <c r="C92" s="280"/>
      <c r="D92" s="280"/>
      <c r="E92" s="325"/>
      <c r="F92" s="265"/>
      <c r="G92" s="281" t="s">
        <v>118</v>
      </c>
      <c r="H92" s="33" t="n">
        <f aca="false">(((H89*H29)+H87)/(1-H76))*H76</f>
        <v>61.0392093586123</v>
      </c>
      <c r="I92" s="280"/>
      <c r="J92" s="280"/>
      <c r="K92" s="283"/>
      <c r="L92" s="265"/>
      <c r="M92" s="281" t="s">
        <v>118</v>
      </c>
      <c r="N92" s="33" t="n">
        <f aca="false">(N91/(1-N76))*N76</f>
        <v>60.7038926986688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119</v>
      </c>
      <c r="B93" s="65" t="n">
        <f aca="false">IF(B116="YES",((B91+B92)-E120),(B91+B92))</f>
        <v>-608.486119402985</v>
      </c>
      <c r="C93" s="280"/>
      <c r="D93" s="280"/>
      <c r="E93" s="283"/>
      <c r="F93" s="265"/>
      <c r="G93" s="298" t="s">
        <v>119</v>
      </c>
      <c r="H93" s="65" t="n">
        <f aca="false">IF(H116="YES",((H91+H92)-K120),(H91+H92))</f>
        <v>10707.6792093586</v>
      </c>
      <c r="I93" s="280"/>
      <c r="J93" s="280"/>
      <c r="K93" s="283"/>
      <c r="L93" s="265"/>
      <c r="M93" s="298" t="s">
        <v>119</v>
      </c>
      <c r="N93" s="65" t="n">
        <f aca="false">IF(N116="YES",((N91+N92)-K120),(N91+N92))</f>
        <v>9226.65389269867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120</v>
      </c>
      <c r="B95" s="323" t="n">
        <f aca="false">IF(B105=Z104,(((H41*A32)+(H41*A32)*(B111/100))/(B64)),(((H41*A32)+(H41*A32)*(B111/100))/(B63+B64)))*1.2</f>
        <v>78</v>
      </c>
      <c r="C95" s="280"/>
      <c r="D95" s="280"/>
      <c r="E95" s="283"/>
      <c r="F95" s="265"/>
      <c r="G95" s="322" t="s">
        <v>120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120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121</v>
      </c>
      <c r="B96" s="327" t="n">
        <f aca="false">IF(B105=Z104, (B93-D111)/(B64), B93/(B63+B64))</f>
        <v>-50.7071766169154</v>
      </c>
      <c r="C96" s="280"/>
      <c r="D96" s="280"/>
      <c r="E96" s="283"/>
      <c r="F96" s="265"/>
      <c r="G96" s="326" t="s">
        <v>121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121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122</v>
      </c>
      <c r="B97" s="329" t="n">
        <f aca="false">IF(A111="YES", B96+B95, B96)</f>
        <v>27.2928233830846</v>
      </c>
      <c r="C97" s="280"/>
      <c r="D97" s="330"/>
      <c r="E97" s="283"/>
      <c r="F97" s="265"/>
      <c r="G97" s="328" t="s">
        <v>122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122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265"/>
      <c r="G100" s="209" t="s">
        <v>285</v>
      </c>
      <c r="H100" s="209"/>
      <c r="I100" s="209"/>
      <c r="J100" s="209"/>
      <c r="K100" s="209"/>
      <c r="L100" s="265"/>
      <c r="M100" s="209" t="s">
        <v>286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265"/>
      <c r="G102" s="213" t="s">
        <v>127</v>
      </c>
      <c r="H102" s="213"/>
      <c r="I102" s="213"/>
      <c r="J102" s="213"/>
      <c r="K102" s="213"/>
      <c r="L102" s="265"/>
      <c r="M102" s="213" t="s">
        <v>127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131</v>
      </c>
    </row>
    <row r="104" customFormat="false" ht="18.75" hidden="false" customHeight="true" outlineLevel="0" collapsed="false">
      <c r="A104" s="281" t="s">
        <v>128</v>
      </c>
      <c r="B104" s="280" t="s">
        <v>23</v>
      </c>
      <c r="C104" s="280"/>
      <c r="D104" s="280" t="s">
        <v>287</v>
      </c>
      <c r="E104" s="283"/>
      <c r="F104" s="265"/>
      <c r="G104" s="281" t="s">
        <v>128</v>
      </c>
      <c r="H104" s="280" t="s">
        <v>23</v>
      </c>
      <c r="I104" s="280"/>
      <c r="J104" s="280" t="s">
        <v>287</v>
      </c>
      <c r="K104" s="283"/>
      <c r="L104" s="265"/>
      <c r="M104" s="281" t="s">
        <v>128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339</v>
      </c>
      <c r="C105" s="331"/>
      <c r="D105" s="332" t="n">
        <v>1000</v>
      </c>
      <c r="E105" s="332"/>
      <c r="F105" s="265"/>
      <c r="G105" s="284" t="s">
        <v>288</v>
      </c>
      <c r="H105" s="331" t="s">
        <v>265</v>
      </c>
      <c r="I105" s="331"/>
      <c r="J105" s="332" t="n">
        <v>5000</v>
      </c>
      <c r="K105" s="332"/>
      <c r="L105" s="265"/>
      <c r="M105" s="284" t="s">
        <v>288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129</v>
      </c>
      <c r="B110" s="265" t="s">
        <v>132</v>
      </c>
      <c r="C110" s="280"/>
      <c r="D110" s="280" t="s">
        <v>143</v>
      </c>
      <c r="E110" s="283"/>
      <c r="F110" s="265"/>
      <c r="G110" s="284" t="s">
        <v>129</v>
      </c>
      <c r="H110" s="265" t="s">
        <v>132</v>
      </c>
      <c r="I110" s="280"/>
      <c r="J110" s="280" t="s">
        <v>143</v>
      </c>
      <c r="K110" s="283"/>
      <c r="L110" s="265"/>
      <c r="M110" s="284" t="s">
        <v>129</v>
      </c>
      <c r="N110" s="265" t="s">
        <v>132</v>
      </c>
      <c r="O110" s="280"/>
      <c r="P110" s="280" t="s">
        <v>143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18</v>
      </c>
      <c r="B111" s="331" t="n">
        <v>30</v>
      </c>
      <c r="C111" s="331"/>
      <c r="D111" s="103" t="s">
        <v>340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265"/>
      <c r="G114" s="213" t="s">
        <v>293</v>
      </c>
      <c r="H114" s="213"/>
      <c r="I114" s="213"/>
      <c r="J114" s="213"/>
      <c r="K114" s="213"/>
      <c r="L114" s="265"/>
      <c r="M114" s="213" t="s">
        <v>293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18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177</v>
      </c>
      <c r="B118" s="280"/>
      <c r="C118" s="280"/>
      <c r="D118" s="333" t="n">
        <v>10000</v>
      </c>
      <c r="E118" s="103" t="n">
        <v>6000</v>
      </c>
      <c r="F118" s="265"/>
      <c r="G118" s="281" t="s">
        <v>177</v>
      </c>
      <c r="H118" s="280"/>
      <c r="I118" s="280"/>
      <c r="J118" s="333" t="n">
        <v>10000</v>
      </c>
      <c r="K118" s="103" t="n">
        <v>5000</v>
      </c>
      <c r="L118" s="265"/>
      <c r="M118" s="281" t="s">
        <v>177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178</v>
      </c>
      <c r="B119" s="280"/>
      <c r="C119" s="280"/>
      <c r="D119" s="39" t="n">
        <f aca="false">E119</f>
        <v>2000</v>
      </c>
      <c r="E119" s="103" t="n">
        <v>2000</v>
      </c>
      <c r="F119" s="265"/>
      <c r="G119" s="281" t="s">
        <v>178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178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179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179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179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180</v>
      </c>
      <c r="B121" s="280"/>
      <c r="C121" s="280"/>
      <c r="D121" s="39" t="n">
        <f aca="false">D120-E120</f>
        <v>4000</v>
      </c>
      <c r="E121" s="283"/>
      <c r="F121" s="265"/>
      <c r="G121" s="281" t="s">
        <v>180</v>
      </c>
      <c r="H121" s="280"/>
      <c r="I121" s="280"/>
      <c r="J121" s="39" t="n">
        <f aca="false">J120-K120</f>
        <v>5000</v>
      </c>
      <c r="K121" s="283"/>
      <c r="L121" s="265"/>
      <c r="M121" s="281" t="s">
        <v>180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139</v>
      </c>
      <c r="B123" s="302"/>
      <c r="C123" s="302"/>
      <c r="D123" s="302"/>
      <c r="E123" s="27" t="n">
        <f aca="false">D105</f>
        <v>1000</v>
      </c>
      <c r="F123" s="265"/>
      <c r="G123" s="301" t="s">
        <v>139</v>
      </c>
      <c r="H123" s="302"/>
      <c r="I123" s="302"/>
      <c r="J123" s="302"/>
      <c r="K123" s="27" t="n">
        <f aca="false">J105</f>
        <v>5000</v>
      </c>
      <c r="L123" s="265"/>
      <c r="M123" s="301" t="s">
        <v>139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239.99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5" t="n">
        <f aca="false">(E124+E123)-E120</f>
        <v>-2760.01</v>
      </c>
      <c r="F125" s="265"/>
      <c r="G125" s="335" t="s">
        <v>295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265"/>
      <c r="G128" s="213" t="s">
        <v>296</v>
      </c>
      <c r="H128" s="213"/>
      <c r="I128" s="213"/>
      <c r="J128" s="213"/>
      <c r="K128" s="213"/>
      <c r="L128" s="265"/>
      <c r="M128" s="213" t="s">
        <v>296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265"/>
      <c r="G130" s="281" t="s">
        <v>184</v>
      </c>
      <c r="H130" s="169" t="n">
        <v>0</v>
      </c>
      <c r="I130" s="169"/>
      <c r="J130" s="280"/>
      <c r="K130" s="283"/>
      <c r="L130" s="265"/>
      <c r="M130" s="281" t="s">
        <v>184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85</v>
      </c>
      <c r="H132" s="280" t="s">
        <v>86</v>
      </c>
      <c r="I132" s="280"/>
      <c r="J132" s="280" t="s">
        <v>88</v>
      </c>
      <c r="K132" s="283"/>
      <c r="L132" s="265"/>
      <c r="M132" s="281" t="s">
        <v>85</v>
      </c>
      <c r="N132" s="280" t="s">
        <v>86</v>
      </c>
      <c r="O132" s="280"/>
      <c r="P132" s="280" t="s">
        <v>88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3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3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-50.7071766169154</v>
      </c>
      <c r="B134" s="338" t="n">
        <f aca="false">IF(A111="YES", B95, 0)</f>
        <v>78</v>
      </c>
      <c r="C134" s="342"/>
      <c r="D134" s="338" t="n">
        <f aca="false">B97</f>
        <v>27.2928233830846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248</v>
      </c>
      <c r="O135" s="345"/>
      <c r="P135" s="345" t="s">
        <v>122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-456.364589552238</v>
      </c>
      <c r="C137" s="280"/>
      <c r="D137" s="38" t="n">
        <f aca="false">IF(A111="YES", B95*B63, 0)</f>
        <v>702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245.635410447762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265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265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-50.7071766169154</v>
      </c>
      <c r="B143" s="38" t="n">
        <f aca="false">IF(A111="YES", B95, 0)</f>
        <v>78</v>
      </c>
      <c r="C143" s="280"/>
      <c r="D143" s="38" t="n">
        <f aca="false">B97</f>
        <v>27.2928233830846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142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265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9647.5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85</v>
      </c>
      <c r="H156" s="247" t="s">
        <v>86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85</v>
      </c>
      <c r="N159" s="247" t="s">
        <v>86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27.2928233830846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265"/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-50.7071766169154</v>
      </c>
      <c r="B177" s="367" t="n">
        <f aca="false">IF(A111="YES", B95, 0)</f>
        <v>78</v>
      </c>
      <c r="C177" s="369"/>
      <c r="D177" s="367" t="n">
        <f aca="false">A177+B177</f>
        <v>27.2928233830846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-456.364589552238</v>
      </c>
      <c r="C180" s="282"/>
      <c r="D180" s="99" t="n">
        <f aca="false">IF(A111="YES", B95*B63, 0)</f>
        <v>702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245.635410447762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-50.7071766169154</v>
      </c>
      <c r="B186" s="99" t="n">
        <f aca="false">IF(A111="YES", B95, 0)</f>
        <v>78</v>
      </c>
      <c r="C186" s="282"/>
      <c r="D186" s="99" t="n">
        <f aca="false">B97</f>
        <v>27.2928233830846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G201" s="265"/>
      <c r="H201" s="265"/>
      <c r="I201" s="265"/>
      <c r="J201" s="265"/>
      <c r="K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G202" s="265"/>
      <c r="H202" s="265"/>
      <c r="I202" s="265"/>
      <c r="J202" s="265"/>
      <c r="K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G203" s="265"/>
      <c r="H203" s="265"/>
      <c r="I203" s="265"/>
      <c r="J203" s="265"/>
      <c r="K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G204" s="265"/>
      <c r="H204" s="265"/>
      <c r="I204" s="265"/>
      <c r="J204" s="265"/>
      <c r="K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G205" s="265"/>
      <c r="H205" s="265"/>
      <c r="I205" s="265"/>
      <c r="J205" s="265"/>
      <c r="K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G206" s="265"/>
      <c r="H206" s="265"/>
      <c r="I206" s="265"/>
      <c r="J206" s="265"/>
      <c r="K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265"/>
      <c r="G207" s="265"/>
      <c r="H207" s="265"/>
      <c r="I207" s="265"/>
      <c r="J207" s="265"/>
      <c r="K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G208" s="265"/>
      <c r="H208" s="265"/>
      <c r="I208" s="265"/>
      <c r="J208" s="265"/>
      <c r="K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D70</f>
        <v>4051.95</v>
      </c>
      <c r="E209" s="339"/>
      <c r="F209" s="265"/>
      <c r="G209" s="265"/>
      <c r="H209" s="265"/>
      <c r="I209" s="265"/>
      <c r="J209" s="265"/>
      <c r="K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G210" s="265"/>
      <c r="H210" s="265"/>
      <c r="I210" s="265"/>
      <c r="J210" s="265"/>
      <c r="K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519.991666666667</v>
      </c>
      <c r="E211" s="339"/>
      <c r="F211" s="265"/>
      <c r="G211" s="265"/>
      <c r="H211" s="265"/>
      <c r="I211" s="265"/>
      <c r="J211" s="265"/>
      <c r="K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G212" s="265"/>
      <c r="H212" s="265"/>
      <c r="I212" s="265"/>
      <c r="J212" s="265"/>
      <c r="K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218</v>
      </c>
      <c r="B213" s="338" t="n">
        <f aca="false">E223</f>
        <v>3993.09166666667</v>
      </c>
      <c r="C213" s="342"/>
      <c r="D213" s="338"/>
      <c r="E213" s="339"/>
      <c r="F213" s="265"/>
      <c r="G213" s="265"/>
      <c r="H213" s="265"/>
      <c r="I213" s="265"/>
      <c r="J213" s="265"/>
      <c r="K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G214" s="265"/>
      <c r="H214" s="265"/>
      <c r="I214" s="265"/>
      <c r="J214" s="265"/>
      <c r="K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265"/>
      <c r="G215" s="265"/>
      <c r="H215" s="265"/>
      <c r="I215" s="265"/>
      <c r="J215" s="265"/>
      <c r="K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G216" s="265"/>
      <c r="H216" s="265"/>
      <c r="I216" s="265"/>
      <c r="J216" s="265"/>
      <c r="K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265"/>
      <c r="G217" s="265"/>
      <c r="H217" s="265"/>
      <c r="I217" s="265"/>
      <c r="J217" s="265"/>
      <c r="K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G218" s="265"/>
      <c r="H218" s="265"/>
      <c r="I218" s="265"/>
      <c r="J218" s="265"/>
      <c r="K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265"/>
      <c r="G219" s="265"/>
      <c r="H219" s="265"/>
      <c r="I219" s="265"/>
      <c r="J219" s="265"/>
      <c r="K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G220" s="265"/>
      <c r="H220" s="265"/>
      <c r="I220" s="265"/>
      <c r="J220" s="265"/>
      <c r="K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3993.09166666667</v>
      </c>
      <c r="F223" s="265"/>
      <c r="G223" s="265"/>
      <c r="H223" s="265"/>
      <c r="I223" s="265"/>
      <c r="J223" s="265"/>
      <c r="K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G226" s="265"/>
      <c r="H226" s="265"/>
      <c r="I226" s="265"/>
      <c r="J226" s="265"/>
      <c r="K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G227" s="265"/>
      <c r="H227" s="265"/>
      <c r="I227" s="265"/>
      <c r="J227" s="265"/>
      <c r="K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G228" s="265"/>
      <c r="H228" s="265"/>
      <c r="I228" s="265"/>
      <c r="J228" s="265"/>
      <c r="K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265"/>
      <c r="G229" s="265"/>
      <c r="H229" s="265"/>
      <c r="I229" s="265"/>
      <c r="J229" s="265"/>
      <c r="K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265"/>
      <c r="G230" s="265"/>
      <c r="H230" s="265"/>
      <c r="I230" s="265"/>
      <c r="J230" s="265"/>
      <c r="K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265"/>
      <c r="G231" s="265"/>
      <c r="H231" s="265"/>
      <c r="I231" s="265"/>
      <c r="J231" s="265"/>
      <c r="K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23.7738805970149</v>
      </c>
      <c r="F232" s="265"/>
      <c r="G232" s="265"/>
      <c r="H232" s="265"/>
      <c r="I232" s="265"/>
      <c r="J232" s="265"/>
      <c r="K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265"/>
      <c r="G233" s="265"/>
      <c r="H233" s="265"/>
      <c r="I233" s="265"/>
      <c r="J233" s="265"/>
      <c r="K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G234" s="265"/>
      <c r="H234" s="265"/>
      <c r="I234" s="265"/>
      <c r="J234" s="265"/>
      <c r="K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265"/>
      <c r="G235" s="265"/>
      <c r="H235" s="265"/>
      <c r="I235" s="265"/>
      <c r="J235" s="265"/>
      <c r="K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G236" s="265"/>
      <c r="H236" s="265"/>
      <c r="I236" s="265"/>
      <c r="J236" s="265"/>
      <c r="K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G237" s="265"/>
      <c r="H237" s="265"/>
      <c r="I237" s="265"/>
      <c r="J237" s="265"/>
      <c r="K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G238" s="265"/>
      <c r="H238" s="265"/>
      <c r="I238" s="265"/>
      <c r="J238" s="265"/>
      <c r="K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G239" s="265"/>
      <c r="H239" s="265"/>
      <c r="I239" s="265"/>
      <c r="J239" s="265"/>
      <c r="K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G240" s="265"/>
      <c r="H240" s="265"/>
      <c r="I240" s="265"/>
      <c r="J240" s="265"/>
      <c r="K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G241" s="265"/>
      <c r="H241" s="265"/>
      <c r="I241" s="265"/>
      <c r="J241" s="265"/>
      <c r="K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G242" s="265"/>
      <c r="H242" s="265"/>
      <c r="I242" s="265"/>
      <c r="J242" s="265"/>
      <c r="K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65"/>
      <c r="B243" s="265"/>
      <c r="C243" s="265"/>
      <c r="D243" s="265"/>
      <c r="E243" s="265"/>
      <c r="F243" s="265"/>
      <c r="G243" s="265"/>
      <c r="H243" s="265"/>
      <c r="I243" s="265"/>
      <c r="J243" s="265"/>
      <c r="K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265"/>
      <c r="B244" s="265"/>
      <c r="C244" s="265"/>
      <c r="D244" s="265"/>
      <c r="E244" s="265"/>
      <c r="F244" s="265"/>
      <c r="G244" s="265"/>
      <c r="H244" s="265"/>
      <c r="I244" s="265"/>
      <c r="J244" s="265"/>
      <c r="K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65"/>
      <c r="B245" s="265"/>
      <c r="C245" s="265"/>
      <c r="D245" s="265"/>
      <c r="E245" s="265"/>
      <c r="F245" s="265"/>
      <c r="G245" s="265"/>
      <c r="H245" s="265"/>
      <c r="I245" s="265"/>
      <c r="J245" s="265"/>
      <c r="K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65"/>
      <c r="B246" s="265"/>
      <c r="C246" s="265"/>
      <c r="D246" s="265"/>
      <c r="E246" s="265"/>
      <c r="F246" s="265"/>
      <c r="G246" s="265"/>
      <c r="H246" s="265"/>
      <c r="I246" s="265"/>
      <c r="J246" s="265"/>
      <c r="K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265"/>
      <c r="B247" s="265"/>
      <c r="C247" s="265"/>
      <c r="D247" s="265"/>
      <c r="E247" s="265"/>
      <c r="F247" s="265"/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65"/>
      <c r="B248" s="265"/>
      <c r="C248" s="265"/>
      <c r="D248" s="265"/>
      <c r="E248" s="265"/>
      <c r="F248" s="265"/>
      <c r="G248" s="265"/>
      <c r="H248" s="265"/>
      <c r="I248" s="265"/>
      <c r="J248" s="265"/>
      <c r="K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2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311"/>
      <c r="B2" s="481" t="s">
        <v>146</v>
      </c>
      <c r="C2" s="481" t="s">
        <v>147</v>
      </c>
      <c r="D2" s="481" t="s">
        <v>148</v>
      </c>
      <c r="E2" s="482" t="s">
        <v>149</v>
      </c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81" t="s">
        <v>152</v>
      </c>
      <c r="B3" s="483" t="n">
        <v>46854.17</v>
      </c>
      <c r="C3" s="483" t="n">
        <v>0</v>
      </c>
      <c r="D3" s="483" t="n">
        <v>833.33</v>
      </c>
      <c r="E3" s="438" t="n">
        <v>0</v>
      </c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281" t="s">
        <v>153</v>
      </c>
      <c r="B4" s="484" t="n">
        <v>0</v>
      </c>
      <c r="C4" s="484" t="n">
        <v>0</v>
      </c>
      <c r="D4" s="484" t="n">
        <v>0</v>
      </c>
      <c r="E4" s="309"/>
      <c r="F4" s="265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281" t="s">
        <v>154</v>
      </c>
      <c r="B5" s="483" t="n">
        <v>0</v>
      </c>
      <c r="C5" s="483" t="n">
        <v>0</v>
      </c>
      <c r="D5" s="483" t="n">
        <v>0</v>
      </c>
      <c r="E5" s="33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281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281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81"/>
      <c r="B8" s="280"/>
      <c r="C8" s="280"/>
      <c r="D8" s="280"/>
      <c r="E8" s="283"/>
      <c r="F8" s="265"/>
      <c r="G8" s="265"/>
      <c r="H8" s="265"/>
      <c r="I8" s="13" t="s">
        <v>3</v>
      </c>
      <c r="J8" s="14" t="n">
        <f aca="false">E13+E14</f>
        <v>640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265"/>
      <c r="G9" s="265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38" t="n">
        <v>550</v>
      </c>
      <c r="F10" s="265"/>
      <c r="G10" s="265"/>
      <c r="H10" s="265"/>
      <c r="I10" s="16" t="s">
        <v>1</v>
      </c>
      <c r="J10" s="14" t="n">
        <f aca="false">E15-E11-J8</f>
        <v>48237.5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265"/>
      <c r="G11" s="265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38" t="n">
        <v>0</v>
      </c>
      <c r="F12" s="265"/>
      <c r="G12" s="265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38" t="n">
        <v>585</v>
      </c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38" t="n">
        <v>55</v>
      </c>
      <c r="F14" s="265"/>
      <c r="G14" s="265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0" t="n">
        <f aca="false">(E9+E10+E13+E14+E11)-E12</f>
        <v>58525</v>
      </c>
      <c r="F15" s="265"/>
      <c r="G15" s="17" t="n">
        <f aca="false">E15</f>
        <v>58525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38" t="n">
        <v>0</v>
      </c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83"/>
      <c r="F17" s="265"/>
      <c r="G17" s="265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1" t="n">
        <v>0</v>
      </c>
      <c r="F18" s="265"/>
      <c r="G18" s="17" t="n">
        <f aca="false">(B3+C3+D3+E3+E10)*1.2</f>
        <v>57885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1" t="n">
        <v>0</v>
      </c>
      <c r="F19" s="265"/>
      <c r="G19" s="265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1" t="n">
        <v>0</v>
      </c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3" t="n">
        <f aca="false">E15-((E18*1.2)+(E19*1.2)+(E20*1.2)+(E16*1.2))</f>
        <v>58525</v>
      </c>
      <c r="F21" s="265"/>
      <c r="G21" s="265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45015</v>
      </c>
      <c r="E29" s="287"/>
      <c r="F29" s="265"/>
      <c r="G29" s="29" t="s">
        <v>28</v>
      </c>
      <c r="H29" s="37" t="n">
        <f aca="false">A32</f>
        <v>12</v>
      </c>
      <c r="I29" s="392" t="n">
        <f aca="false">ISNUMBER(I31)</f>
        <v>0</v>
      </c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272</v>
      </c>
      <c r="B34" s="227" t="s">
        <v>48</v>
      </c>
      <c r="C34" s="226" t="s">
        <v>4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90" t="n">
        <f aca="false">A35-B35</f>
        <v>47877.5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4</v>
      </c>
      <c r="G40" s="2" t="s">
        <v>58</v>
      </c>
      <c r="H40" s="2" t="n">
        <f aca="false">E11</f>
        <v>9647.5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265"/>
      <c r="G41" s="2" t="s">
        <v>59</v>
      </c>
      <c r="H41" s="2" t="n">
        <f aca="false">IF(D41="Yes",A44, 0)</f>
        <v>0</v>
      </c>
      <c r="I41" s="2" t="s">
        <v>4</v>
      </c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120</v>
      </c>
      <c r="B43" s="236" t="s">
        <v>69</v>
      </c>
      <c r="C43" s="226" t="s">
        <v>4</v>
      </c>
      <c r="D43" s="236" t="s">
        <v>209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n">
        <v>0</v>
      </c>
      <c r="B44" s="100" t="s">
        <v>271</v>
      </c>
      <c r="C44" s="100"/>
      <c r="D44" s="100" t="n">
        <v>0</v>
      </c>
      <c r="E44" s="100"/>
      <c r="F44" s="265"/>
      <c r="G44" s="2" t="s">
        <v>67</v>
      </c>
      <c r="H44" s="2" t="n">
        <f aca="false">((H40-(((H42/(1.2))*0.2)))/(H43))</f>
        <v>720.625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-220.625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6" t="s">
        <v>273</v>
      </c>
      <c r="C46" s="226" t="s">
        <v>4</v>
      </c>
      <c r="D46" s="226"/>
      <c r="E46" s="239"/>
      <c r="F46" s="265" t="n">
        <v>0</v>
      </c>
      <c r="G46" s="2" t="s">
        <v>73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272</v>
      </c>
      <c r="B47" s="226"/>
      <c r="C47" s="226"/>
      <c r="D47" s="226"/>
      <c r="E47" s="239"/>
      <c r="F47" s="265"/>
      <c r="G47" s="2" t="s">
        <v>74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76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77</v>
      </c>
      <c r="H49" s="2" t="n">
        <f aca="false">H45+H48+H47</f>
        <v>-217.958333333333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265"/>
      <c r="G50" s="2" t="s">
        <v>274</v>
      </c>
      <c r="H50" s="2" t="n">
        <f aca="false">H49-H41</f>
        <v>-217.958333333333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-217.958333333333</v>
      </c>
      <c r="C58" s="74"/>
      <c r="D58" s="393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87</v>
      </c>
      <c r="B63" s="280" t="n">
        <f aca="false">IF(B105=Z103,1,IF(B105=Z104,1,IF(B105=Z105,3,IF(B105=Z106,6,IF(B105=Z107,9,IF(B105=Z108,12,IF(B105=Z109,3,IF(B105=Z110,6,IF(B105=Z111,9,0)))))))))</f>
        <v>9</v>
      </c>
      <c r="C63" s="280"/>
      <c r="D63" s="280"/>
      <c r="E63" s="283"/>
      <c r="F63" s="265"/>
      <c r="G63" s="281" t="s">
        <v>87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87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88</v>
      </c>
      <c r="B64" s="280" t="n">
        <f aca="false">IF(B105=Z103,H29-B63,IF(B105=Z104,H29-B63,IF(B105=Z105,H29-1,IF(B105=Z106,H29-1,IF(B105=Z107,H29-1,IF(B105=Z108,H29-1,IF(B105=Z109,H29-B63,IF(B105=Z110,H29-B63,IF(B105=Z111,H29-B63,0)))))))))</f>
        <v>3</v>
      </c>
      <c r="C64" s="280" t="s">
        <v>4</v>
      </c>
      <c r="D64" s="280"/>
      <c r="E64" s="283"/>
      <c r="F64" s="265"/>
      <c r="G64" s="281" t="s">
        <v>88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88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81"/>
      <c r="B66" s="280"/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81" t="s">
        <v>14</v>
      </c>
      <c r="B67" s="32" t="n">
        <f aca="false">G18</f>
        <v>57885</v>
      </c>
      <c r="C67" s="280"/>
      <c r="D67" s="280"/>
      <c r="E67" s="283"/>
      <c r="F67" s="265"/>
      <c r="G67" s="281" t="s">
        <v>14</v>
      </c>
      <c r="H67" s="32" t="n">
        <f aca="false">G18</f>
        <v>57885</v>
      </c>
      <c r="I67" s="280"/>
      <c r="J67" s="280"/>
      <c r="K67" s="283"/>
      <c r="L67" s="265"/>
      <c r="M67" s="281" t="s">
        <v>14</v>
      </c>
      <c r="N67" s="32" t="n">
        <f aca="false">G18</f>
        <v>57885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6" t="s">
        <v>276</v>
      </c>
      <c r="B68" s="307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81" t="s">
        <v>277</v>
      </c>
      <c r="B69" s="309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298" t="s">
        <v>93</v>
      </c>
      <c r="B70" s="65" t="n">
        <f aca="false">B67*B69</f>
        <v>4051.95</v>
      </c>
      <c r="C70" s="280" t="n">
        <v>10000</v>
      </c>
      <c r="D70" s="32" t="n">
        <f aca="false">B70-A149</f>
        <v>4051.95</v>
      </c>
      <c r="E70" s="283" t="n">
        <f aca="false">D70/12</f>
        <v>337.6625</v>
      </c>
      <c r="F70" s="265"/>
      <c r="G70" s="298" t="s">
        <v>93</v>
      </c>
      <c r="H70" s="65" t="n">
        <f aca="false">H67*H69</f>
        <v>4051.95</v>
      </c>
      <c r="I70" s="280"/>
      <c r="J70" s="32" t="n">
        <f aca="false">H70-G151</f>
        <v>4051.95</v>
      </c>
      <c r="K70" s="283"/>
      <c r="L70" s="265"/>
      <c r="M70" s="298" t="s">
        <v>93</v>
      </c>
      <c r="N70" s="65" t="n">
        <f aca="false">N67*N69</f>
        <v>4051.95</v>
      </c>
      <c r="O70" s="280"/>
      <c r="P70" s="32" t="n">
        <f aca="false">N70-M151</f>
        <v>4051.95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6" t="s">
        <v>94</v>
      </c>
      <c r="B71" s="307" t="n">
        <v>0.01</v>
      </c>
      <c r="C71" s="280"/>
      <c r="D71" s="280"/>
      <c r="E71" s="283"/>
      <c r="F71" s="265"/>
      <c r="G71" s="306" t="s">
        <v>94</v>
      </c>
      <c r="H71" s="307" t="n">
        <v>0.005</v>
      </c>
      <c r="I71" s="280"/>
      <c r="J71" s="280"/>
      <c r="K71" s="283"/>
      <c r="L71" s="265"/>
      <c r="M71" s="306" t="s">
        <v>94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81" t="s">
        <v>95</v>
      </c>
      <c r="B72" s="309" t="n">
        <f aca="false">B71+(B71*0.5*(H29/12-1))</f>
        <v>0.01</v>
      </c>
      <c r="C72" s="280"/>
      <c r="D72" s="280"/>
      <c r="E72" s="283"/>
      <c r="F72" s="265"/>
      <c r="G72" s="281" t="s">
        <v>95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95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298" t="s">
        <v>96</v>
      </c>
      <c r="B73" s="65" t="n">
        <f aca="false">B67*B72</f>
        <v>578.85</v>
      </c>
      <c r="C73" s="280"/>
      <c r="D73" s="32"/>
      <c r="E73" s="283"/>
      <c r="F73" s="265"/>
      <c r="G73" s="298" t="s">
        <v>96</v>
      </c>
      <c r="H73" s="65" t="n">
        <f aca="false">H67*H72</f>
        <v>289.425</v>
      </c>
      <c r="I73" s="280"/>
      <c r="J73" s="32"/>
      <c r="K73" s="283"/>
      <c r="L73" s="265"/>
      <c r="M73" s="298" t="s">
        <v>96</v>
      </c>
      <c r="N73" s="65" t="n">
        <f aca="false">N67*N72</f>
        <v>289.425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97</v>
      </c>
      <c r="B74" s="307" t="n">
        <v>0.0075</v>
      </c>
      <c r="C74" s="280"/>
      <c r="D74" s="280"/>
      <c r="E74" s="283"/>
      <c r="F74" s="265"/>
      <c r="G74" s="306" t="s">
        <v>97</v>
      </c>
      <c r="H74" s="307" t="n">
        <v>0.0075</v>
      </c>
      <c r="I74" s="280"/>
      <c r="J74" s="280"/>
      <c r="K74" s="283"/>
      <c r="L74" s="265"/>
      <c r="M74" s="306" t="s">
        <v>97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98</v>
      </c>
      <c r="B75" s="312" t="n">
        <v>0.12</v>
      </c>
      <c r="C75" s="280"/>
      <c r="D75" s="280"/>
      <c r="E75" s="283"/>
      <c r="F75" s="265"/>
      <c r="G75" s="311" t="s">
        <v>98</v>
      </c>
      <c r="H75" s="312" t="n">
        <v>0.12</v>
      </c>
      <c r="I75" s="280"/>
      <c r="J75" s="280"/>
      <c r="K75" s="283"/>
      <c r="L75" s="265"/>
      <c r="M75" s="311" t="s">
        <v>98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99</v>
      </c>
      <c r="B76" s="313" t="n">
        <f aca="false">B74*(1+B75)</f>
        <v>0.0084</v>
      </c>
      <c r="C76" s="280"/>
      <c r="D76" s="280"/>
      <c r="E76" s="283"/>
      <c r="F76" s="265"/>
      <c r="G76" s="298" t="s">
        <v>99</v>
      </c>
      <c r="H76" s="313" t="n">
        <f aca="false">H74*(1+H75)</f>
        <v>0.0084</v>
      </c>
      <c r="I76" s="280"/>
      <c r="J76" s="280"/>
      <c r="K76" s="283"/>
      <c r="L76" s="265"/>
      <c r="M76" s="298" t="s">
        <v>99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100</v>
      </c>
      <c r="B77" s="86" t="n">
        <v>200</v>
      </c>
      <c r="C77" s="280"/>
      <c r="D77" s="280"/>
      <c r="E77" s="283"/>
      <c r="F77" s="265"/>
      <c r="G77" s="306" t="s">
        <v>100</v>
      </c>
      <c r="H77" s="86" t="n">
        <v>160</v>
      </c>
      <c r="I77" s="280"/>
      <c r="J77" s="280"/>
      <c r="K77" s="283"/>
      <c r="L77" s="265"/>
      <c r="M77" s="306" t="s">
        <v>100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101</v>
      </c>
      <c r="B78" s="77" t="n">
        <v>5</v>
      </c>
      <c r="C78" s="280"/>
      <c r="D78" s="280"/>
      <c r="E78" s="283"/>
      <c r="F78" s="265"/>
      <c r="G78" s="311" t="s">
        <v>101</v>
      </c>
      <c r="H78" s="77" t="n">
        <v>4.5</v>
      </c>
      <c r="I78" s="280"/>
      <c r="J78" s="280"/>
      <c r="K78" s="283"/>
      <c r="L78" s="265"/>
      <c r="M78" s="311" t="s">
        <v>101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102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102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102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6" t="n">
        <v>165</v>
      </c>
      <c r="C80" s="280"/>
      <c r="D80" s="280"/>
      <c r="E80" s="314" t="n">
        <f aca="false">E79+D82</f>
        <v>703.333333333333</v>
      </c>
      <c r="F80" s="265"/>
      <c r="G80" s="306" t="s">
        <v>278</v>
      </c>
      <c r="H80" s="86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7" t="n">
        <v>355</v>
      </c>
      <c r="C81" s="280"/>
      <c r="D81" s="280"/>
      <c r="E81" s="283" t="n">
        <f aca="false">E80/12</f>
        <v>58.6111111111111</v>
      </c>
      <c r="F81" s="265"/>
      <c r="G81" s="311" t="s">
        <v>279</v>
      </c>
      <c r="H81" s="77" t="n">
        <f aca="false">IF(G18&gt;40000, 325, 0)</f>
        <v>325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5" t="n">
        <f aca="false">((B80+B81)/12)*(H29-11)</f>
        <v>43.3333333333333</v>
      </c>
      <c r="C82" s="280"/>
      <c r="D82" s="32" t="n">
        <f aca="false">IF(A50="YES", 0, B82)</f>
        <v>43.3333333333333</v>
      </c>
      <c r="E82" s="283"/>
      <c r="F82" s="265"/>
      <c r="G82" s="298" t="s">
        <v>280</v>
      </c>
      <c r="H82" s="65" t="n">
        <f aca="false">((H80+H81)/12)*(H29-11)</f>
        <v>39.5833333333333</v>
      </c>
      <c r="I82" s="280"/>
      <c r="J82" s="32" t="n">
        <f aca="false">IF(A50="YES", 0, H82)</f>
        <v>39.5833333333333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103</v>
      </c>
      <c r="B85" s="77" t="n">
        <v>200</v>
      </c>
      <c r="C85" s="280"/>
      <c r="D85" s="32" t="n">
        <f aca="false">B85</f>
        <v>200</v>
      </c>
      <c r="E85" s="283"/>
      <c r="F85" s="265"/>
      <c r="G85" s="311" t="s">
        <v>103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103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104</v>
      </c>
      <c r="B86" s="87" t="n">
        <v>200</v>
      </c>
      <c r="C86" s="280"/>
      <c r="D86" s="32" t="n">
        <f aca="false">B86</f>
        <v>200</v>
      </c>
      <c r="E86" s="283"/>
      <c r="F86" s="265"/>
      <c r="G86" s="321" t="s">
        <v>104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104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105</v>
      </c>
      <c r="B87" s="323" t="n">
        <f aca="false">SUM(D70:D86)</f>
        <v>5421.95</v>
      </c>
      <c r="C87" s="280"/>
      <c r="D87" s="280"/>
      <c r="E87" s="283"/>
      <c r="F87" s="265"/>
      <c r="G87" s="322" t="s">
        <v>105</v>
      </c>
      <c r="H87" s="323" t="n">
        <f aca="false">SUM(J70:J86)</f>
        <v>7205.53333333333</v>
      </c>
      <c r="I87" s="280"/>
      <c r="J87" s="280"/>
      <c r="K87" s="283"/>
      <c r="L87" s="265"/>
      <c r="M87" s="322" t="s">
        <v>105</v>
      </c>
      <c r="N87" s="323" t="n">
        <f aca="false">SUM(P70:P86)</f>
        <v>7165.95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106</v>
      </c>
      <c r="B88" s="33" t="n">
        <f aca="false">B87/H29</f>
        <v>451.829166666667</v>
      </c>
      <c r="C88" s="280"/>
      <c r="D88" s="280"/>
      <c r="E88" s="283"/>
      <c r="F88" s="265"/>
      <c r="G88" s="281" t="s">
        <v>106</v>
      </c>
      <c r="H88" s="33" t="n">
        <f aca="false">H87/H29</f>
        <v>600.461111111111</v>
      </c>
      <c r="I88" s="280"/>
      <c r="J88" s="280"/>
      <c r="K88" s="283"/>
      <c r="L88" s="265"/>
      <c r="M88" s="281" t="s">
        <v>106</v>
      </c>
      <c r="N88" s="33" t="n">
        <f aca="false">N87/H29</f>
        <v>597.1625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107</v>
      </c>
      <c r="B89" s="59" t="n">
        <f aca="false">H50</f>
        <v>-217.958333333333</v>
      </c>
      <c r="C89" s="280"/>
      <c r="D89" s="280"/>
      <c r="E89" s="283"/>
      <c r="F89" s="265"/>
      <c r="G89" s="324" t="s">
        <v>107</v>
      </c>
      <c r="H89" s="59" t="n">
        <f aca="false">H46</f>
        <v>0</v>
      </c>
      <c r="I89" s="280"/>
      <c r="J89" s="280"/>
      <c r="K89" s="283"/>
      <c r="L89" s="265"/>
      <c r="M89" s="324" t="s">
        <v>107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117</v>
      </c>
      <c r="B91" s="27" t="n">
        <f aca="false">((B89*H29)+B87)</f>
        <v>2806.45</v>
      </c>
      <c r="C91" s="280"/>
      <c r="D91" s="280"/>
      <c r="E91" s="283"/>
      <c r="F91" s="265"/>
      <c r="G91" s="301" t="s">
        <v>117</v>
      </c>
      <c r="H91" s="27" t="n">
        <f aca="false">((H89*H29)+H87)*1.2</f>
        <v>8646.64</v>
      </c>
      <c r="I91" s="280"/>
      <c r="J91" s="280"/>
      <c r="K91" s="283"/>
      <c r="L91" s="265"/>
      <c r="M91" s="301" t="s">
        <v>117</v>
      </c>
      <c r="N91" s="27" t="n">
        <f aca="false">((N89*H29)+N87)</f>
        <v>7165.95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118</v>
      </c>
      <c r="B92" s="33" t="n">
        <f aca="false">(((B89*H29)+B87)/(1-B76))*B76</f>
        <v>23.7738805970149</v>
      </c>
      <c r="C92" s="280"/>
      <c r="D92" s="280"/>
      <c r="E92" s="325"/>
      <c r="F92" s="265"/>
      <c r="G92" s="281" t="s">
        <v>118</v>
      </c>
      <c r="H92" s="33" t="n">
        <f aca="false">(((H89*H29)+H87)/(1-H76))*H76</f>
        <v>61.0392093586123</v>
      </c>
      <c r="I92" s="280"/>
      <c r="J92" s="280"/>
      <c r="K92" s="283"/>
      <c r="L92" s="265"/>
      <c r="M92" s="281" t="s">
        <v>118</v>
      </c>
      <c r="N92" s="33" t="n">
        <f aca="false">(N91/(1-N76))*N76</f>
        <v>60.7038926986688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119</v>
      </c>
      <c r="B93" s="65" t="n">
        <f aca="false">IF(B116="YES",((B91+B92)-E120),(B91+B92))</f>
        <v>-1169.77611940298</v>
      </c>
      <c r="C93" s="280"/>
      <c r="D93" s="280"/>
      <c r="E93" s="283"/>
      <c r="F93" s="265"/>
      <c r="G93" s="298" t="s">
        <v>119</v>
      </c>
      <c r="H93" s="65" t="n">
        <f aca="false">IF(H116="YES",((H91+H92)-K120),(H91+H92))</f>
        <v>10707.6792093586</v>
      </c>
      <c r="I93" s="280"/>
      <c r="J93" s="280"/>
      <c r="K93" s="283"/>
      <c r="L93" s="265"/>
      <c r="M93" s="298" t="s">
        <v>119</v>
      </c>
      <c r="N93" s="65" t="n">
        <f aca="false">IF(N116="YES",((N91+N92)-K120),(N91+N92))</f>
        <v>9226.65389269867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120</v>
      </c>
      <c r="B95" s="323" t="n">
        <f aca="false">IF(B105=Z104,(((H41*A32)+(H41*A32)*(B111/100))/(B64)),(((H41*A32)+(H41*A32)*(B111/100))/(B63+B64)))</f>
        <v>0</v>
      </c>
      <c r="C95" s="280"/>
      <c r="D95" s="280"/>
      <c r="E95" s="283"/>
      <c r="F95" s="265"/>
      <c r="G95" s="322" t="s">
        <v>120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120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121</v>
      </c>
      <c r="B96" s="327" t="n">
        <f aca="false">IF(B105=Z104, (B93-D111)/(B64), B93/(B63+B64))</f>
        <v>-97.481343283582</v>
      </c>
      <c r="C96" s="280" t="s">
        <v>4</v>
      </c>
      <c r="D96" s="280"/>
      <c r="E96" s="283"/>
      <c r="F96" s="265"/>
      <c r="G96" s="326" t="s">
        <v>121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121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122</v>
      </c>
      <c r="B97" s="329" t="n">
        <f aca="false">IF(A111="YES", B96+B95, B96)</f>
        <v>-97.481343283582</v>
      </c>
      <c r="C97" s="280"/>
      <c r="D97" s="330"/>
      <c r="E97" s="283"/>
      <c r="F97" s="265"/>
      <c r="G97" s="328" t="s">
        <v>122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122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265"/>
      <c r="G100" s="209" t="s">
        <v>285</v>
      </c>
      <c r="H100" s="209"/>
      <c r="I100" s="209"/>
      <c r="J100" s="209"/>
      <c r="K100" s="209"/>
      <c r="L100" s="265"/>
      <c r="M100" s="209" t="s">
        <v>286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265"/>
      <c r="G102" s="213" t="s">
        <v>127</v>
      </c>
      <c r="H102" s="213"/>
      <c r="I102" s="213"/>
      <c r="J102" s="213"/>
      <c r="K102" s="213"/>
      <c r="L102" s="265"/>
      <c r="M102" s="213" t="s">
        <v>127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131</v>
      </c>
    </row>
    <row r="104" customFormat="false" ht="18.75" hidden="false" customHeight="true" outlineLevel="0" collapsed="false">
      <c r="A104" s="281" t="s">
        <v>128</v>
      </c>
      <c r="B104" s="280" t="s">
        <v>23</v>
      </c>
      <c r="C104" s="280"/>
      <c r="D104" s="280" t="s">
        <v>287</v>
      </c>
      <c r="E104" s="283"/>
      <c r="F104" s="265"/>
      <c r="G104" s="281" t="s">
        <v>128</v>
      </c>
      <c r="H104" s="280" t="s">
        <v>23</v>
      </c>
      <c r="I104" s="280"/>
      <c r="J104" s="280" t="s">
        <v>287</v>
      </c>
      <c r="K104" s="283"/>
      <c r="L104" s="265"/>
      <c r="M104" s="281" t="s">
        <v>128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339</v>
      </c>
      <c r="C105" s="331"/>
      <c r="D105" s="332" t="n">
        <v>1000</v>
      </c>
      <c r="E105" s="332"/>
      <c r="F105" s="265"/>
      <c r="G105" s="284" t="s">
        <v>288</v>
      </c>
      <c r="H105" s="331" t="s">
        <v>265</v>
      </c>
      <c r="I105" s="331"/>
      <c r="J105" s="332" t="n">
        <v>5000</v>
      </c>
      <c r="K105" s="332"/>
      <c r="L105" s="265"/>
      <c r="M105" s="284" t="s">
        <v>288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129</v>
      </c>
      <c r="B110" s="265" t="s">
        <v>132</v>
      </c>
      <c r="C110" s="280"/>
      <c r="D110" s="280" t="s">
        <v>143</v>
      </c>
      <c r="E110" s="283"/>
      <c r="F110" s="265"/>
      <c r="G110" s="284" t="s">
        <v>129</v>
      </c>
      <c r="H110" s="265" t="s">
        <v>132</v>
      </c>
      <c r="I110" s="280"/>
      <c r="J110" s="280" t="s">
        <v>143</v>
      </c>
      <c r="K110" s="283"/>
      <c r="L110" s="265"/>
      <c r="M110" s="284" t="s">
        <v>129</v>
      </c>
      <c r="N110" s="265" t="s">
        <v>132</v>
      </c>
      <c r="O110" s="280"/>
      <c r="P110" s="280" t="s">
        <v>143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19</v>
      </c>
      <c r="B111" s="331" t="n">
        <v>0</v>
      </c>
      <c r="C111" s="331"/>
      <c r="D111" s="103" t="s">
        <v>340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265"/>
      <c r="G114" s="213" t="s">
        <v>293</v>
      </c>
      <c r="H114" s="213"/>
      <c r="I114" s="213"/>
      <c r="J114" s="213"/>
      <c r="K114" s="213"/>
      <c r="L114" s="265"/>
      <c r="M114" s="213" t="s">
        <v>293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18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177</v>
      </c>
      <c r="B118" s="280"/>
      <c r="C118" s="280"/>
      <c r="D118" s="333" t="n">
        <v>10000</v>
      </c>
      <c r="E118" s="103" t="n">
        <v>6000</v>
      </c>
      <c r="F118" s="265"/>
      <c r="G118" s="281" t="s">
        <v>177</v>
      </c>
      <c r="H118" s="280"/>
      <c r="I118" s="280"/>
      <c r="J118" s="333" t="n">
        <v>10000</v>
      </c>
      <c r="K118" s="103" t="n">
        <v>5000</v>
      </c>
      <c r="L118" s="265"/>
      <c r="M118" s="281" t="s">
        <v>177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178</v>
      </c>
      <c r="B119" s="280"/>
      <c r="C119" s="280"/>
      <c r="D119" s="39" t="n">
        <f aca="false">E119</f>
        <v>2000</v>
      </c>
      <c r="E119" s="103" t="n">
        <v>2000</v>
      </c>
      <c r="F119" s="265"/>
      <c r="G119" s="281" t="s">
        <v>178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178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179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179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179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180</v>
      </c>
      <c r="B121" s="280"/>
      <c r="C121" s="280"/>
      <c r="D121" s="39" t="n">
        <f aca="false">D120-E120</f>
        <v>4000</v>
      </c>
      <c r="E121" s="283"/>
      <c r="F121" s="265"/>
      <c r="G121" s="281" t="s">
        <v>180</v>
      </c>
      <c r="H121" s="280"/>
      <c r="I121" s="280"/>
      <c r="J121" s="39" t="n">
        <f aca="false">J120-K120</f>
        <v>5000</v>
      </c>
      <c r="K121" s="283"/>
      <c r="L121" s="265"/>
      <c r="M121" s="281" t="s">
        <v>180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139</v>
      </c>
      <c r="B123" s="302"/>
      <c r="C123" s="302"/>
      <c r="D123" s="302"/>
      <c r="E123" s="27" t="n">
        <f aca="false">D105</f>
        <v>1000</v>
      </c>
      <c r="F123" s="265"/>
      <c r="G123" s="301" t="s">
        <v>139</v>
      </c>
      <c r="H123" s="302"/>
      <c r="I123" s="302"/>
      <c r="J123" s="302"/>
      <c r="K123" s="27" t="n">
        <f aca="false">J105</f>
        <v>5000</v>
      </c>
      <c r="L123" s="265"/>
      <c r="M123" s="301" t="s">
        <v>139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199.99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5" t="n">
        <f aca="false">(E124+E123)-E120</f>
        <v>-2800.01</v>
      </c>
      <c r="F125" s="265"/>
      <c r="G125" s="335" t="s">
        <v>295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265"/>
      <c r="G128" s="213" t="s">
        <v>296</v>
      </c>
      <c r="H128" s="213"/>
      <c r="I128" s="213"/>
      <c r="J128" s="213"/>
      <c r="K128" s="213"/>
      <c r="L128" s="265"/>
      <c r="M128" s="213" t="s">
        <v>296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265"/>
      <c r="G130" s="281" t="s">
        <v>184</v>
      </c>
      <c r="H130" s="169" t="n">
        <v>0</v>
      </c>
      <c r="I130" s="169"/>
      <c r="J130" s="280"/>
      <c r="K130" s="283"/>
      <c r="L130" s="265"/>
      <c r="M130" s="281" t="s">
        <v>184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85</v>
      </c>
      <c r="H132" s="280" t="s">
        <v>86</v>
      </c>
      <c r="I132" s="280"/>
      <c r="J132" s="280" t="s">
        <v>88</v>
      </c>
      <c r="K132" s="283"/>
      <c r="L132" s="265"/>
      <c r="M132" s="281" t="s">
        <v>85</v>
      </c>
      <c r="N132" s="280" t="s">
        <v>86</v>
      </c>
      <c r="O132" s="280"/>
      <c r="P132" s="280" t="s">
        <v>88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3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3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-97.481343283582</v>
      </c>
      <c r="B134" s="338" t="n">
        <f aca="false">IF(A111="YES", B95, 0)</f>
        <v>0</v>
      </c>
      <c r="C134" s="394"/>
      <c r="D134" s="338" t="n">
        <f aca="false">B97</f>
        <v>-97.481343283582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248</v>
      </c>
      <c r="O135" s="345"/>
      <c r="P135" s="345" t="s">
        <v>122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-877.332089552238</v>
      </c>
      <c r="C137" s="280"/>
      <c r="D137" s="38" t="n">
        <f aca="false">IF(A111="YES", B95*B63, 0)</f>
        <v>0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-877.332089552238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265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265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-97.481343283582</v>
      </c>
      <c r="B143" s="38" t="n">
        <f aca="false">IF(A111="YES", B95, 0)</f>
        <v>0</v>
      </c>
      <c r="C143" s="280"/>
      <c r="D143" s="38" t="n">
        <f aca="false">B97</f>
        <v>-97.481343283582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142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265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9647.5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85</v>
      </c>
      <c r="H156" s="247" t="s">
        <v>86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85</v>
      </c>
      <c r="N159" s="247" t="s">
        <v>86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-97.481343283582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392" t="n">
        <f aca="false">ISNUMBER(B183)</f>
        <v>1</v>
      </c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-97.481343283582</v>
      </c>
      <c r="B177" s="367" t="n">
        <f aca="false">IF(A111="YES", B95, 0)</f>
        <v>0</v>
      </c>
      <c r="C177" s="395"/>
      <c r="D177" s="367" t="n">
        <f aca="false">B91</f>
        <v>2806.45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-877.332089552238</v>
      </c>
      <c r="C180" s="282"/>
      <c r="D180" s="99" t="n">
        <f aca="false">IF(A111="YES", B95*B63, 0)</f>
        <v>0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-877.332089552238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-97.481343283582</v>
      </c>
      <c r="B186" s="99" t="n">
        <f aca="false">IF(A111="YES", B95, 0)</f>
        <v>0</v>
      </c>
      <c r="C186" s="282"/>
      <c r="D186" s="99" t="n">
        <f aca="false">B97</f>
        <v>-97.481343283582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D70</f>
        <v>4051.95</v>
      </c>
      <c r="E209" s="339"/>
      <c r="F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339.99</v>
      </c>
      <c r="E211" s="339"/>
      <c r="F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218</v>
      </c>
      <c r="B213" s="338" t="n">
        <f aca="false">E223</f>
        <v>3813.09</v>
      </c>
      <c r="C213" s="342"/>
      <c r="D213" s="338"/>
      <c r="E213" s="339"/>
      <c r="F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3813.09</v>
      </c>
      <c r="F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23.7738805970149</v>
      </c>
      <c r="F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81"/>
      <c r="B243" s="280"/>
      <c r="C243" s="280"/>
      <c r="D243" s="280"/>
      <c r="E243" s="283"/>
      <c r="F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81"/>
      <c r="B245" s="280"/>
      <c r="C245" s="280"/>
      <c r="D245" s="280"/>
      <c r="E245" s="283"/>
      <c r="F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81"/>
      <c r="B246" s="280"/>
      <c r="C246" s="280"/>
      <c r="D246" s="280"/>
      <c r="E246" s="283"/>
      <c r="F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107"/>
      <c r="B247" s="38"/>
      <c r="C247" s="280"/>
      <c r="D247" s="280"/>
      <c r="E247" s="283"/>
      <c r="F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98"/>
      <c r="B248" s="299"/>
      <c r="C248" s="299"/>
      <c r="D248" s="299"/>
      <c r="E248" s="300"/>
      <c r="F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136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16745.0</v>
      </c>
      <c r="C3" s="437"/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0.0</v>
      </c>
      <c r="C4" s="491"/>
      <c r="D4" s="492" t="n">
        <v>0.0</v>
      </c>
      <c r="E4" s="492"/>
      <c r="F4" s="492" t="n">
        <v>0.0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/>
      <c r="F9" s="149"/>
      <c r="G9" s="136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38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/>
      <c r="F13" s="151"/>
      <c r="G13" s="153"/>
      <c r="H13" s="438" t="n">
        <v>275.0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38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38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1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382</v>
      </c>
      <c r="B34" s="32"/>
      <c r="C34" s="41" t="s">
        <v>383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384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385</v>
      </c>
      <c r="B40" s="32"/>
      <c r="C40" s="54" t="n">
        <f aca="false">A34-1</f>
        <v>32</v>
      </c>
      <c r="D40" s="54"/>
      <c r="E40" s="32"/>
      <c r="F40" s="41" t="s">
        <v>386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387</v>
      </c>
      <c r="B43" s="32"/>
      <c r="C43" s="41" t="s">
        <v>388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s">
        <v>389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390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10.0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0.0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0.0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0.0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0.0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IF(A111="YES",A43,0)*1.2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18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263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/>
      <c r="C114" s="99"/>
      <c r="D114" s="99"/>
      <c r="E114" s="100" t="s">
        <v>392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392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391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str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199.99</v>
      </c>
      <c r="C191" s="99"/>
      <c r="D191" s="23"/>
      <c r="E191" s="99" t="n">
        <f aca="false">E188+A191+B191+A194</f>
        <v>56924.1148437457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557.2165625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199.99</v>
      </c>
      <c r="C233" s="99"/>
      <c r="D233" s="109"/>
      <c r="E233" s="99" t="n">
        <f aca="false">E191</f>
        <v>56924.1148437457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str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557.2165625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-448.681875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-448.681875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16745</v>
      </c>
      <c r="C3" s="437"/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16745</v>
      </c>
      <c r="C7" s="152"/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/>
      <c r="F9" s="149"/>
      <c r="G9" s="136"/>
      <c r="H9" s="439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38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/>
      <c r="F13" s="151"/>
      <c r="G13" s="153"/>
      <c r="H13" s="438" t="n">
        <v>275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0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1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17770</v>
      </c>
      <c r="B37" s="32"/>
      <c r="C37" s="41" t="s">
        <v>45</v>
      </c>
      <c r="D37" s="41"/>
      <c r="E37" s="32"/>
      <c r="F37" s="43" t="n">
        <f aca="false">A37-C37</f>
        <v>16770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377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13412.4357430601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199.29375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16770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5255.82391109543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11514.1760889046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419.513616970629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13424.4357430601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13424.4357430601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80.4375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419.513616970629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1522.35059507587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634.549742547474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499.951116970629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n">
        <f aca="false">(K103+K104)</f>
        <v>1522.35059507587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634.549742547474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18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18" t="n">
        <f aca="false">H3</f>
        <v>0</v>
      </c>
      <c r="J130" s="25" t="s">
        <v>152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18" t="n">
        <f aca="false">H3</f>
        <v>0</v>
      </c>
      <c r="S130" s="25" t="s">
        <v>152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18" t="n">
        <f aca="false">H3</f>
        <v>0</v>
      </c>
      <c r="AB130" s="25" t="s">
        <v>152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156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156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156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16745</v>
      </c>
      <c r="H144" s="150" t="n">
        <f aca="false">C134+E134+G134+H137</f>
        <v>16745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16745</v>
      </c>
      <c r="Q144" s="150" t="n">
        <f aca="false">L134+N134+P134+Q137</f>
        <v>28629.17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16745</v>
      </c>
      <c r="Z144" s="150" t="n">
        <f aca="false">U134+W134+Y134+Z137</f>
        <v>12558.75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16745</v>
      </c>
      <c r="AI144" s="150" t="n">
        <f aca="false">AD134+AF134+AH134+AI137</f>
        <v>12558.75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695</v>
      </c>
      <c r="H145" s="33" t="n">
        <f aca="false">G145</f>
        <v>695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695</v>
      </c>
      <c r="Q145" s="33" t="n">
        <f aca="false">P145</f>
        <v>695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695</v>
      </c>
      <c r="Z145" s="33" t="n">
        <f aca="false">Y145</f>
        <v>695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3488</v>
      </c>
      <c r="H146" s="33" t="n">
        <f aca="false">(H144+H145)*20%</f>
        <v>3488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3488</v>
      </c>
      <c r="Q146" s="33" t="n">
        <f aca="false">(Q144+Q145)*20%</f>
        <v>5864.834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3488</v>
      </c>
      <c r="Z146" s="33" t="n">
        <f aca="false">(Z144+Z145)*20%</f>
        <v>2650.75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275</v>
      </c>
      <c r="H148" s="33" t="n">
        <f aca="false">G148</f>
        <v>275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275</v>
      </c>
      <c r="Q148" s="33" t="n">
        <f aca="false">P148</f>
        <v>275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275</v>
      </c>
      <c r="Z148" s="33" t="n">
        <f aca="false">Y148</f>
        <v>275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21258</v>
      </c>
      <c r="H150" s="154" t="n">
        <f aca="false">(H144+H145+H148+H149+H146)-H147</f>
        <v>21258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21258</v>
      </c>
      <c r="Q150" s="154" t="n">
        <f aca="false">(Q144+Q145+Q148+Q149+Q146)-Q147</f>
        <v>35519.004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21258</v>
      </c>
      <c r="Z150" s="154" t="n">
        <f aca="false">(Z144+Z145+Z148+Z149+Z146)-Z147</f>
        <v>16234.5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21258</v>
      </c>
      <c r="AI150" s="154" t="n">
        <f aca="false">(AI144+AI145+AI148+AI149+AI146)-AI147</f>
        <v>16234.5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21258</v>
      </c>
      <c r="H156" s="161" t="n">
        <f aca="false">H150-((H153*1.2)+(H154*1.2)+(H155*1.2)+(H151*1.2))</f>
        <v>21258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21258</v>
      </c>
      <c r="Q156" s="161" t="n">
        <f aca="false">Q150-((Q153*1.2)+(Q154*1.2)+(Q155*1.2)+(Q151*1.2))</f>
        <v>35519.004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21258</v>
      </c>
      <c r="Z156" s="161" t="n">
        <f aca="false">Z150-((Z153*1.2)+(Z154*1.2)+(Z155*1.2)+(Z151*1.2))</f>
        <v>16234.5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21258</v>
      </c>
      <c r="AI156" s="161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14261.004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-5023.5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21258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36519.004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17234.5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17234.5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419.513616970629</v>
      </c>
      <c r="B176" s="174" t="n">
        <f aca="false">B103</f>
        <v>80.4375</v>
      </c>
      <c r="C176" s="171"/>
      <c r="D176" s="171"/>
      <c r="E176" s="174" t="n">
        <f aca="false">B105</f>
        <v>499.951116970629</v>
      </c>
      <c r="F176" s="23"/>
      <c r="G176" s="23"/>
      <c r="H176" s="33"/>
      <c r="J176" s="173" t="n">
        <f aca="false">K104</f>
        <v>1522.35059507587</v>
      </c>
      <c r="K176" s="175" t="n">
        <f aca="false">K103</f>
        <v>0</v>
      </c>
      <c r="L176" s="172"/>
      <c r="M176" s="172"/>
      <c r="N176" s="175" t="n">
        <f aca="false">K105</f>
        <v>1522.35059507587</v>
      </c>
      <c r="O176" s="23"/>
      <c r="P176" s="23"/>
      <c r="Q176" s="33"/>
      <c r="S176" s="173" t="n">
        <f aca="false">T104</f>
        <v>634.549742547474</v>
      </c>
      <c r="T176" s="175" t="n">
        <f aca="false">T103</f>
        <v>0</v>
      </c>
      <c r="U176" s="172"/>
      <c r="V176" s="172"/>
      <c r="W176" s="175" t="n">
        <f aca="false">T105</f>
        <v>634.549742547474</v>
      </c>
      <c r="X176" s="23"/>
      <c r="Y176" s="23"/>
      <c r="Z176" s="33"/>
      <c r="AB176" s="173" t="n">
        <f aca="false">AC104</f>
        <v>634.549742547474</v>
      </c>
      <c r="AC176" s="175" t="n">
        <f aca="false">AC103</f>
        <v>0</v>
      </c>
      <c r="AD176" s="172"/>
      <c r="AE176" s="172"/>
      <c r="AF176" s="175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7200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17440</v>
      </c>
      <c r="B182" s="99" t="n">
        <f aca="false">H146</f>
        <v>3488</v>
      </c>
      <c r="C182" s="183"/>
      <c r="D182" s="23"/>
      <c r="E182" s="179" t="n">
        <f aca="false">H148+H149</f>
        <v>330</v>
      </c>
      <c r="F182" s="23"/>
      <c r="G182" s="23"/>
      <c r="H182" s="33"/>
      <c r="J182" s="182" t="n">
        <f aca="false">Q150-Q146-Q148-Q149</f>
        <v>29324.17</v>
      </c>
      <c r="K182" s="38" t="n">
        <f aca="false">Q146</f>
        <v>5864.834</v>
      </c>
      <c r="L182" s="43"/>
      <c r="M182" s="23"/>
      <c r="N182" s="181" t="n">
        <f aca="false">Q148+Q149</f>
        <v>330</v>
      </c>
      <c r="O182" s="23"/>
      <c r="P182" s="23"/>
      <c r="Q182" s="33"/>
      <c r="S182" s="182" t="n">
        <f aca="false">Z150-Z146-Z148-Z149</f>
        <v>13253.75</v>
      </c>
      <c r="T182" s="38" t="n">
        <f aca="false">Z146</f>
        <v>2650.75</v>
      </c>
      <c r="U182" s="43"/>
      <c r="V182" s="23"/>
      <c r="W182" s="181" t="n">
        <f aca="false">Z148+Z149</f>
        <v>330</v>
      </c>
      <c r="X182" s="23"/>
      <c r="Y182" s="23"/>
      <c r="Z182" s="33"/>
      <c r="AB182" s="182" t="n">
        <f aca="false">AI150-AI146-AI148-AI149</f>
        <v>13253.75</v>
      </c>
      <c r="AC182" s="38" t="n">
        <f aca="false">AI146</f>
        <v>2650.75</v>
      </c>
      <c r="AD182" s="43"/>
      <c r="AE182" s="23"/>
      <c r="AF182" s="181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21258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21258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-633.564256939884</v>
      </c>
      <c r="B191" s="99" t="str">
        <f aca="false">B123</f>
        <v>239.99</v>
      </c>
      <c r="C191" s="99"/>
      <c r="D191" s="23"/>
      <c r="E191" s="99" t="n">
        <f aca="false">E188+A191+B191+A194</f>
        <v>20874.4257430601</v>
      </c>
      <c r="F191" s="23"/>
      <c r="G191" s="23"/>
      <c r="H191" s="101"/>
      <c r="J191" s="107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1"/>
      <c r="S191" s="107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1"/>
      <c r="AB191" s="107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7210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5.02272</v>
      </c>
      <c r="B197" s="99" t="n">
        <f aca="false">(G167*B76)/1.2</f>
        <v>166.078125</v>
      </c>
      <c r="C197" s="130"/>
      <c r="D197" s="130"/>
      <c r="E197" s="99" t="n">
        <f aca="false">IF(E114="YES",(K55*A117*0.1), 0)</f>
        <v>49.5</v>
      </c>
      <c r="F197" s="23"/>
      <c r="G197" s="23"/>
      <c r="H197" s="33"/>
      <c r="J197" s="107" t="n">
        <f aca="false">IF(N114="YES", H15*0.000002, 0)</f>
        <v>0.042516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315.569791666667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14261.004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-5023.5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499.951116970629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419.513616970629</v>
      </c>
      <c r="B221" s="174" t="n">
        <f aca="false">B176</f>
        <v>80.4375</v>
      </c>
      <c r="C221" s="171"/>
      <c r="D221" s="171"/>
      <c r="E221" s="174" t="n">
        <f aca="false">E176</f>
        <v>499.951116970629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17440</v>
      </c>
      <c r="B224" s="99" t="n">
        <f aca="false">B182</f>
        <v>3488</v>
      </c>
      <c r="C224" s="183"/>
      <c r="D224" s="109"/>
      <c r="E224" s="179" t="n">
        <f aca="false">E182</f>
        <v>330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21258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21258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-633.564256939884</v>
      </c>
      <c r="B233" s="99" t="str">
        <f aca="false">B191</f>
        <v>239.99</v>
      </c>
      <c r="C233" s="99"/>
      <c r="D233" s="109"/>
      <c r="E233" s="99" t="n">
        <f aca="false">E191</f>
        <v>20874.4257430601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419.513616970629</v>
      </c>
      <c r="B239" s="99" t="n">
        <f aca="false">B176</f>
        <v>80.4375</v>
      </c>
      <c r="C239" s="183"/>
      <c r="D239" s="183"/>
      <c r="E239" s="99" t="n">
        <f aca="false">E176</f>
        <v>499.951116970629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7200</v>
      </c>
      <c r="B242" s="99" t="n">
        <f aca="false">E194</f>
        <v>7210</v>
      </c>
      <c r="C242" s="130"/>
      <c r="D242" s="130"/>
      <c r="E242" s="99" t="n">
        <f aca="false">J18*0.000006*100*1.2</f>
        <v>15.06816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5.02272</v>
      </c>
      <c r="B245" s="99" t="n">
        <f aca="false">E242+A245</f>
        <v>20.09088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166.078125</v>
      </c>
      <c r="C249" s="130"/>
      <c r="D249" s="130"/>
      <c r="E249" s="99" t="n">
        <f aca="false">E197</f>
        <v>49.5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315.569791666667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199.29375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594.991666666667</v>
      </c>
      <c r="C264" s="194"/>
      <c r="D264" s="195" t="s">
        <v>218</v>
      </c>
      <c r="E264" s="195"/>
      <c r="F264" s="196" t="n">
        <f aca="false">(B263-F263)+B264</f>
        <v>395.697916666667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13424.4357430601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199.29375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0.3</v>
      </c>
      <c r="C271" s="32"/>
      <c r="D271" s="163" t="s">
        <v>222</v>
      </c>
      <c r="E271" s="163"/>
      <c r="F271" s="143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395.697916666667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75" zoomScaleNormal="7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347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1096.67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2094.93478535204</v>
      </c>
      <c r="E33" s="212"/>
      <c r="F33" s="63"/>
      <c r="G33" s="215" t="s">
        <v>349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2067.51803535204</v>
      </c>
      <c r="B36" s="99" t="n">
        <f aca="false">IF(B26="YES", H42, "")</f>
        <v>27.41675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15905.4488975102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27.41675</v>
      </c>
      <c r="C40" s="103"/>
      <c r="D40" s="181" t="n">
        <f aca="false">I32</f>
        <v>1096.67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8052.8811024898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27.41675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369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2067.51803535204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2094.93478535204</v>
      </c>
      <c r="I48" s="234" t="n">
        <f aca="false">I49-H42</f>
        <v>1372.58325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2094.93478535204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v>37404</v>
      </c>
      <c r="C61" s="211"/>
      <c r="D61" s="211"/>
      <c r="E61" s="212"/>
      <c r="F61" s="63"/>
      <c r="G61" s="210" t="s">
        <v>14</v>
      </c>
      <c r="H61" s="277" t="n">
        <f aca="false">G18</f>
        <v>0</v>
      </c>
      <c r="I61" s="211"/>
      <c r="J61" s="211"/>
      <c r="K61" s="212"/>
      <c r="L61" s="63"/>
      <c r="M61" s="210" t="s">
        <v>14</v>
      </c>
      <c r="N61" s="277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B62+(B62*0.25*((H29/12)-1))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B60*B63</f>
        <v>2012.49972</v>
      </c>
      <c r="C64" s="464" t="n">
        <v>10000</v>
      </c>
      <c r="D64" s="277" t="n">
        <f aca="false">B64</f>
        <v>2012.49972</v>
      </c>
      <c r="E64" s="465" t="n">
        <f aca="false">D64/(B58+B57)</f>
        <v>167.70831</v>
      </c>
      <c r="F64" s="63"/>
      <c r="G64" s="310" t="s">
        <v>93</v>
      </c>
      <c r="H64" s="129" t="n">
        <f aca="false">H61*H63</f>
        <v>0</v>
      </c>
      <c r="I64" s="211"/>
      <c r="J64" s="277" t="n">
        <f aca="false">H64-G145</f>
        <v>0</v>
      </c>
      <c r="K64" s="212"/>
      <c r="L64" s="63"/>
      <c r="M64" s="310" t="s">
        <v>93</v>
      </c>
      <c r="N64" s="129" t="n">
        <f aca="false">N61*N63</f>
        <v>0</v>
      </c>
      <c r="O64" s="211"/>
      <c r="P64" s="277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77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308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(B61*B66)</f>
        <v>374.04</v>
      </c>
      <c r="C67" s="467" t="s">
        <v>221</v>
      </c>
      <c r="D67" s="468"/>
      <c r="E67" s="212"/>
      <c r="F67" s="63"/>
      <c r="G67" s="310" t="s">
        <v>96</v>
      </c>
      <c r="H67" s="129" t="n">
        <f aca="false">(H61*H66)/1.2</f>
        <v>0</v>
      </c>
      <c r="I67" s="211"/>
      <c r="J67" s="277"/>
      <c r="K67" s="212"/>
      <c r="L67" s="63"/>
      <c r="M67" s="310" t="s">
        <v>96</v>
      </c>
      <c r="N67" s="129" t="n">
        <f aca="false">(N61*N66)/1.2</f>
        <v>0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469"/>
      <c r="D68" s="277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310" t="s">
        <v>102</v>
      </c>
      <c r="N73" s="129" t="n">
        <f aca="false">N72*H29</f>
        <v>54</v>
      </c>
      <c r="O73" s="211"/>
      <c r="P73" s="277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165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((B74+B75)/12)*(H29+1)</f>
        <v>178.75</v>
      </c>
      <c r="C76" s="211"/>
      <c r="D76" s="277" t="n">
        <f aca="false">B76</f>
        <v>178.75</v>
      </c>
      <c r="E76" s="212"/>
      <c r="F76" s="63"/>
      <c r="G76" s="310" t="s">
        <v>280</v>
      </c>
      <c r="H76" s="129" t="n">
        <f aca="false">((H74+H75)/12)*(H29-11)</f>
        <v>13.75</v>
      </c>
      <c r="I76" s="211"/>
      <c r="J76" s="277" t="n">
        <f aca="false">H76</f>
        <v>13.75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281</v>
      </c>
      <c r="B77" s="127" t="n">
        <f aca="false">B102/(1-0.1)</f>
        <v>444.444444444444</v>
      </c>
      <c r="C77" s="472"/>
      <c r="D77" s="277" t="n">
        <f aca="false">B77</f>
        <v>444.444444444444</v>
      </c>
      <c r="E77" s="465" t="n">
        <f aca="false">D77/(B58+B57)</f>
        <v>37.037037037037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472"/>
      <c r="D78" s="277" t="n">
        <f aca="false">B78</f>
        <v>222.222222222222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472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69.8958333333333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3517.91638666667</v>
      </c>
      <c r="C81" s="472"/>
      <c r="D81" s="473"/>
      <c r="E81" s="465"/>
      <c r="F81" s="63"/>
      <c r="G81" s="422" t="s">
        <v>105</v>
      </c>
      <c r="H81" s="423" t="n">
        <f aca="false">SUM(J64:J80)</f>
        <v>627.75</v>
      </c>
      <c r="I81" s="211"/>
      <c r="J81" s="211"/>
      <c r="K81" s="212"/>
      <c r="L81" s="63"/>
      <c r="M81" s="422" t="s">
        <v>105</v>
      </c>
      <c r="N81" s="42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293.159698888889</v>
      </c>
      <c r="C82" s="472"/>
      <c r="D82" s="211"/>
      <c r="E82" s="465"/>
      <c r="F82" s="63"/>
      <c r="G82" s="210" t="s">
        <v>106</v>
      </c>
      <c r="H82" s="419" t="n">
        <f aca="false">H81/H29</f>
        <v>52.3125</v>
      </c>
      <c r="I82" s="211"/>
      <c r="J82" s="211"/>
      <c r="K82" s="212"/>
      <c r="L82" s="63"/>
      <c r="M82" s="210" t="s">
        <v>106</v>
      </c>
      <c r="N82" s="41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2067.51803535204</v>
      </c>
      <c r="C83" s="472"/>
      <c r="D83" s="211"/>
      <c r="E83" s="465" t="n">
        <f aca="false">B83+E80+E77+E64</f>
        <v>2342.15921572241</v>
      </c>
      <c r="F83" s="63"/>
      <c r="G83" s="424" t="s">
        <v>107</v>
      </c>
      <c r="H83" s="425" t="n">
        <f aca="false">H47</f>
        <v>2067.51803535204</v>
      </c>
      <c r="I83" s="211"/>
      <c r="J83" s="211"/>
      <c r="K83" s="212"/>
      <c r="L83" s="63"/>
      <c r="M83" s="424" t="s">
        <v>107</v>
      </c>
      <c r="N83" s="425" t="n">
        <f aca="false">H47</f>
        <v>2067.51803535204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</f>
        <v>28328.1328108911</v>
      </c>
      <c r="C85" s="472"/>
      <c r="D85" s="472"/>
      <c r="E85" s="465" t="n">
        <f aca="false">B85/(B58+B57)</f>
        <v>2360.67773424092</v>
      </c>
      <c r="F85" s="63"/>
      <c r="G85" s="404" t="s">
        <v>117</v>
      </c>
      <c r="H85" s="127" t="n">
        <f aca="false">((H83*H29)+H81)*1.2</f>
        <v>30525.5597090693</v>
      </c>
      <c r="I85" s="211"/>
      <c r="J85" s="211"/>
      <c r="K85" s="212"/>
      <c r="L85" s="63"/>
      <c r="M85" s="404" t="s">
        <v>117</v>
      </c>
      <c r="N85" s="127" t="n">
        <f aca="false">((N83*H29)+N81)</f>
        <v>25424.2164242244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(((B83*H29)+B81)/(1-B70))*B70</f>
        <v>239.972081092664</v>
      </c>
      <c r="C86" s="472" t="s">
        <v>230</v>
      </c>
      <c r="D86" s="211"/>
      <c r="E86" s="465" t="n">
        <f aca="false">B86/(B58+B57)</f>
        <v>19.9976734243886</v>
      </c>
      <c r="F86" s="63"/>
      <c r="G86" s="210" t="s">
        <v>118</v>
      </c>
      <c r="H86" s="419" t="n">
        <f aca="false">((((H83*H29)+H81))/(1-H70))*H70</f>
        <v>215.489025780038</v>
      </c>
      <c r="I86" s="211"/>
      <c r="J86" s="211"/>
      <c r="K86" s="212"/>
      <c r="L86" s="63"/>
      <c r="M86" s="210" t="s">
        <v>118</v>
      </c>
      <c r="N86" s="419" t="n">
        <f aca="false">(N85/(1-N70))*N70</f>
        <v>215.37254736132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28568.1048919838</v>
      </c>
      <c r="C87" s="472"/>
      <c r="D87" s="474"/>
      <c r="E87" s="465" t="n">
        <f aca="false">E86+E85</f>
        <v>2380.67540766531</v>
      </c>
      <c r="F87" s="63"/>
      <c r="G87" s="310" t="s">
        <v>119</v>
      </c>
      <c r="H87" s="129" t="n">
        <f aca="false">IF(H110="YES",((H85+H86)-K114),(H85+H86))</f>
        <v>30741.0487348493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25639.5889715857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(I32+(I32*B105))/(B58), (I32+(I32*B105))/(B57+B58))*(C45/100)</f>
        <v>35.641775</v>
      </c>
      <c r="C89" s="472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92.8944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77.412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2380.67540766531</v>
      </c>
      <c r="C90" s="472"/>
      <c r="D90" s="211"/>
      <c r="E90" s="475"/>
      <c r="F90" s="63"/>
      <c r="G90" s="427" t="s">
        <v>121</v>
      </c>
      <c r="H90" s="428" t="n">
        <f aca="false">IF(H99=Y98, (H87-J105)/(H58), H87/(H57+H58))</f>
        <v>1808.2969844029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1508.21111597563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2416.31718266531</v>
      </c>
      <c r="C91" s="472"/>
      <c r="D91" s="476"/>
      <c r="E91" s="412"/>
      <c r="F91" s="63"/>
      <c r="G91" s="429" t="s">
        <v>122</v>
      </c>
      <c r="H91" s="430" t="n">
        <f aca="false">IF(G105="YES", H90+H89, H90)</f>
        <v>1901.1913844029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1585.62311597563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131</v>
      </c>
      <c r="C99" s="331"/>
      <c r="D99" s="103" t="n">
        <v>1000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373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400</v>
      </c>
      <c r="C102" s="103"/>
      <c r="D102" s="103" t="n">
        <v>200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34" t="n">
        <v>0.3</v>
      </c>
      <c r="C105" s="334"/>
      <c r="D105" s="103" t="n">
        <v>200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19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IF(B110="YES",((E118*1.2)+E117)-E114,((E118*1.2)+E117))</f>
        <v>1239.988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35000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1808.2969844029</v>
      </c>
      <c r="H127" s="174" t="n">
        <f aca="false">IF(G105="YES", H89*H57, 0)</f>
        <v>557.3664</v>
      </c>
      <c r="I127" s="174"/>
      <c r="J127" s="349" t="n">
        <f aca="false">H91</f>
        <v>1901.1913844029</v>
      </c>
      <c r="K127" s="212"/>
      <c r="L127" s="63"/>
      <c r="M127" s="348" t="n">
        <f aca="false">N90</f>
        <v>1508.21111597563</v>
      </c>
      <c r="N127" s="174" t="n">
        <f aca="false">IF(M105="YES", N89*N57, 0)</f>
        <v>464.472</v>
      </c>
      <c r="O127" s="174"/>
      <c r="P127" s="174" t="n">
        <f aca="false">N91</f>
        <v>1585.62311597563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2380.67540766531</v>
      </c>
      <c r="B128" s="338" t="n">
        <f aca="false">IF(A105="YES", B89, 0)</f>
        <v>35.641775</v>
      </c>
      <c r="C128" s="342"/>
      <c r="D128" s="338" t="n">
        <f aca="false">B91</f>
        <v>2416.31718266531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2380.67540766531</v>
      </c>
      <c r="C131" s="280"/>
      <c r="D131" s="38" t="n">
        <f aca="false">IF(A105="YES", B89*B57, 0)</f>
        <v>35.641775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10849.7819064174</v>
      </c>
      <c r="H133" s="99" t="n">
        <f aca="false">IF(G105="YES", H89*H57, 0)</f>
        <v>557.3664</v>
      </c>
      <c r="I133" s="217"/>
      <c r="J133" s="181" t="n">
        <f aca="false">H91*H57</f>
        <v>11407.1483064174</v>
      </c>
      <c r="K133" s="212"/>
      <c r="L133" s="63"/>
      <c r="M133" s="182" t="n">
        <f aca="false">N90*N57</f>
        <v>9049.26669585379</v>
      </c>
      <c r="N133" s="99" t="n">
        <f aca="false">IF(M105="YES", N89*N57, 0)</f>
        <v>464.472</v>
      </c>
      <c r="O133" s="217"/>
      <c r="P133" s="181" t="n">
        <f aca="false">N91*N57</f>
        <v>9513.73869585379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2416.31718266531</v>
      </c>
      <c r="B134" s="38" t="n">
        <f aca="false">E114</f>
        <v>4000</v>
      </c>
      <c r="C134" s="280"/>
      <c r="D134" s="352" t="n">
        <f aca="false">B58</f>
        <v>11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2380.67540766531</v>
      </c>
      <c r="B137" s="38" t="n">
        <f aca="false">IF(A105="YES", B89, 0)</f>
        <v>35.641775</v>
      </c>
      <c r="C137" s="280"/>
      <c r="D137" s="38" t="n">
        <f aca="false">B91</f>
        <v>2416.31718266531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(B61*0.000006)*1.2*100</f>
        <v>26.93088</v>
      </c>
      <c r="B140" s="358" t="n">
        <f aca="false">IF(A105="YES", B61*0.000002, 0)*1.2*100</f>
        <v>8.97696</v>
      </c>
      <c r="C140" s="280"/>
      <c r="D140" s="358" t="n">
        <f aca="false">A140+B140</f>
        <v>35.90784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((B36*H105)*0.1)*(G130), 0)</f>
        <v>6.58002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6.58002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374.04</v>
      </c>
      <c r="B148" s="99" t="n">
        <f aca="false">B102</f>
        <v>400</v>
      </c>
      <c r="C148" s="38"/>
      <c r="D148" s="38" t="n">
        <f aca="false">IF(A105="YES", (B40*B105)*B125, 0)*0.1</f>
        <v>9.87003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883.90003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1901.1913844029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1585.62311597563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2416.31718266531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12</v>
      </c>
      <c r="C174" s="369"/>
      <c r="D174" s="341" t="n">
        <f aca="false">D125</f>
        <v>35000</v>
      </c>
      <c r="E174" s="339"/>
      <c r="F174" s="63"/>
      <c r="G174" s="452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2380.67540766531</v>
      </c>
      <c r="B177" s="367" t="n">
        <f aca="false">IF(A105="YES", B89, 0)</f>
        <v>35.641775</v>
      </c>
      <c r="C177" s="369"/>
      <c r="D177" s="367" t="n">
        <f aca="false">B91</f>
        <v>2416.31718266531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2380.67540766531</v>
      </c>
      <c r="C180" s="282"/>
      <c r="D180" s="99" t="n">
        <f aca="false">IF(A105="YES", B89*B57, 0)</f>
        <v>35.641775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2416.31718266531</v>
      </c>
      <c r="B183" s="99" t="n">
        <f aca="false">E114</f>
        <v>4000</v>
      </c>
      <c r="C183" s="282"/>
      <c r="D183" s="371" t="n">
        <f aca="false">B58</f>
        <v>11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2380.67540766531</v>
      </c>
      <c r="B186" s="99" t="n">
        <f aca="false">IF(A105="YES", B89, 0)</f>
        <v>35.641775</v>
      </c>
      <c r="C186" s="282"/>
      <c r="D186" s="99" t="n">
        <f aca="false">B91</f>
        <v>2416.31718266531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A140</f>
        <v>26.93088</v>
      </c>
      <c r="B189" s="375" t="n">
        <f aca="false">B140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374.04</v>
      </c>
      <c r="B197" s="99" t="n">
        <f aca="false">B102</f>
        <v>400</v>
      </c>
      <c r="C197" s="99"/>
      <c r="D197" s="99" t="n">
        <f aca="false">IF(A105="YES", (B40*B105)*B125, 0)*0.1</f>
        <v>9.87003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883.90003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2012.49972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438.6903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2077.15002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2012.49972</v>
      </c>
      <c r="C217" s="381" t="s">
        <v>221</v>
      </c>
      <c r="D217" s="280"/>
      <c r="E217" s="309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(B77-(B77*(E219*100)))*0.1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218</v>
      </c>
      <c r="D223" s="280"/>
      <c r="E223" s="33" t="n">
        <f aca="false">(B217-B211+D211)</f>
        <v>2077.15002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98.7003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239.972081092664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16745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 t="n">
        <f aca="false">(B7+C7+D7+E3)</f>
        <v>16745</v>
      </c>
      <c r="F9" s="149"/>
      <c r="G9" s="133"/>
      <c r="H9" s="439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 t="n">
        <v>585</v>
      </c>
      <c r="F13" s="151"/>
      <c r="G13" s="152"/>
      <c r="H13" s="438" t="n">
        <v>275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12924.0721066965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16770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11514.1760889046</v>
      </c>
      <c r="C88" s="130" t="n">
        <f aca="false">B81-B86</f>
        <v>11514.1760889046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419.513616970629</v>
      </c>
      <c r="C89" s="130" t="n">
        <f aca="false">(B88/B87)</f>
        <v>419.513616970629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13424.4357430601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13424.4357430601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419.513616970629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419.513616970629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419.513616970629</v>
      </c>
      <c r="B167" s="174" t="str">
        <f aca="false">B94</f>
        <v>0</v>
      </c>
      <c r="C167" s="171"/>
      <c r="D167" s="171"/>
      <c r="E167" s="174" t="n">
        <f aca="false">B96</f>
        <v>419.513616970629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-633.564256939884</v>
      </c>
      <c r="B182" s="99" t="str">
        <f aca="false">B114</f>
        <v>239.99</v>
      </c>
      <c r="C182" s="99"/>
      <c r="D182" s="23"/>
      <c r="E182" s="99" t="n">
        <f aca="false">E179+A182+B182+A185</f>
        <v>20874.4257430601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5.02272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266.069791666667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419.513616970629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419.513616970629</v>
      </c>
      <c r="B212" s="174" t="str">
        <f aca="false">B167</f>
        <v>0</v>
      </c>
      <c r="C212" s="171"/>
      <c r="D212" s="171"/>
      <c r="E212" s="174" t="n">
        <f aca="false">E167</f>
        <v>419.513616970629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-633.564256939884</v>
      </c>
      <c r="B224" s="99" t="str">
        <f aca="false">B182</f>
        <v>239.99</v>
      </c>
      <c r="C224" s="99"/>
      <c r="D224" s="109"/>
      <c r="E224" s="99" t="n">
        <f aca="false">E182</f>
        <v>20874.4257430601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419.513616970629</v>
      </c>
      <c r="B230" s="99" t="str">
        <f aca="false">B167</f>
        <v>0</v>
      </c>
      <c r="C230" s="183"/>
      <c r="D230" s="183"/>
      <c r="E230" s="99" t="n">
        <f aca="false">E167</f>
        <v>419.513616970629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15.06816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5.02272</v>
      </c>
      <c r="B236" s="99" t="n">
        <f aca="false">E233+A236</f>
        <v>20.09088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266.069791666667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-99.3020833333333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-99.3020833333333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376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51961.7272372354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0.137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4125.32107917265</v>
      </c>
      <c r="C86" s="130" t="n">
        <f aca="false">(B82/((1+B84)^(B85+1)))</f>
        <v>4125.32107917265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43752.1789208274</v>
      </c>
      <c r="C88" s="130" t="n">
        <f aca="false">B81-B86</f>
        <v>43752.1789208274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1639.88541555755</v>
      </c>
      <c r="C89" s="130" t="n">
        <f aca="false">(B88/B87)</f>
        <v>1639.88541555755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52476.3332978415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52476.3332978415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17.625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1639.88541555755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1657.51041555755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/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151</v>
      </c>
      <c r="D120" s="112" t="s">
        <v>150</v>
      </c>
      <c r="E120" s="114" t="n">
        <v>0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1639.88541555755</v>
      </c>
      <c r="B167" s="174" t="n">
        <f aca="false">B94</f>
        <v>17.625</v>
      </c>
      <c r="C167" s="171"/>
      <c r="D167" s="171"/>
      <c r="E167" s="174" t="n">
        <f aca="false">B96</f>
        <v>1657.51041555755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-48.666702158509</v>
      </c>
      <c r="B182" s="99" t="str">
        <f aca="false">B114</f>
        <v>199.99</v>
      </c>
      <c r="C182" s="99"/>
      <c r="D182" s="23"/>
      <c r="E182" s="99" t="n">
        <f aca="false">E179+A182+B182+A185</f>
        <v>58686.3232978415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566.6165625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1657.51041555755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1639.88541555755</v>
      </c>
      <c r="B212" s="174" t="n">
        <f aca="false">B167</f>
        <v>17.625</v>
      </c>
      <c r="C212" s="171"/>
      <c r="D212" s="171"/>
      <c r="E212" s="174" t="n">
        <f aca="false">E167</f>
        <v>1657.51041555755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-48.666702158509</v>
      </c>
      <c r="B224" s="99" t="str">
        <f aca="false">B182</f>
        <v>199.99</v>
      </c>
      <c r="C224" s="99"/>
      <c r="D224" s="109"/>
      <c r="E224" s="99" t="n">
        <f aca="false">E182</f>
        <v>58686.3232978415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1639.88541555755</v>
      </c>
      <c r="B230" s="99" t="n">
        <f aca="false">B167</f>
        <v>17.625</v>
      </c>
      <c r="C230" s="183"/>
      <c r="D230" s="183"/>
      <c r="E230" s="99" t="n">
        <f aca="false">E167</f>
        <v>1657.51041555755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566.6165625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193.99</v>
      </c>
      <c r="C255" s="194"/>
      <c r="D255" s="195" t="s">
        <v>218</v>
      </c>
      <c r="E255" s="195"/>
      <c r="F255" s="196" t="n">
        <f aca="false">(B254-F254)+B255</f>
        <v>-354.681875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0.137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-354.681875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16745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16745</v>
      </c>
      <c r="F9" s="149"/>
      <c r="G9" s="133"/>
      <c r="H9" s="439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275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8.96969696969697</v>
      </c>
      <c r="E32" s="222"/>
      <c r="F32" s="63"/>
      <c r="G32" s="223" t="s">
        <v>241</v>
      </c>
      <c r="H32" s="221" t="n">
        <f aca="false">A41</f>
        <v>8.96969696969697</v>
      </c>
      <c r="I32" s="0"/>
      <c r="J32" s="44" t="s">
        <v>37</v>
      </c>
      <c r="K32" s="45" t="s">
        <v>378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508.969696969697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377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8.96969696969697</v>
      </c>
      <c r="B41" s="237" t="n">
        <f aca="false">IF(B38="YES", D38+A41, D38)</f>
        <v>508.969696969697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8.96969696969697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509.333333333333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509.333333333333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12915.1024097268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16770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11514.1760889046</v>
      </c>
      <c r="C88" s="130" t="n">
        <f aca="false">B81-B86</f>
        <v>11514.1760889046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419.513616970629</v>
      </c>
      <c r="C89" s="130" t="n">
        <f aca="false">(B88/B87)</f>
        <v>419.513616970629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13424.4357430601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13424.4357430601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14.43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419.513616970629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433.943616970629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268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419.513616970629</v>
      </c>
      <c r="B167" s="174" t="n">
        <f aca="false">B94</f>
        <v>14.43</v>
      </c>
      <c r="C167" s="171"/>
      <c r="D167" s="171"/>
      <c r="E167" s="174" t="n">
        <f aca="false">B96</f>
        <v>433.943616970629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-633.564256939884</v>
      </c>
      <c r="B182" s="99" t="str">
        <f aca="false">B114</f>
        <v>239.99</v>
      </c>
      <c r="C182" s="99"/>
      <c r="D182" s="23"/>
      <c r="E182" s="99" t="n">
        <f aca="false">E179+A182+B182+A185</f>
        <v>20874.4257430601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5.02272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274.949791666667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433.943616970629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419.513616970629</v>
      </c>
      <c r="B212" s="174" t="n">
        <f aca="false">B167</f>
        <v>14.43</v>
      </c>
      <c r="C212" s="171"/>
      <c r="D212" s="171"/>
      <c r="E212" s="174" t="n">
        <f aca="false">E167</f>
        <v>433.943616970629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-633.564256939884</v>
      </c>
      <c r="B224" s="99" t="str">
        <f aca="false">B182</f>
        <v>239.99</v>
      </c>
      <c r="C224" s="99"/>
      <c r="D224" s="109"/>
      <c r="E224" s="99" t="n">
        <f aca="false">E182</f>
        <v>20874.4257430601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419.513616970629</v>
      </c>
      <c r="B230" s="99" t="n">
        <f aca="false">B167</f>
        <v>14.43</v>
      </c>
      <c r="C230" s="183"/>
      <c r="D230" s="183"/>
      <c r="E230" s="99" t="n">
        <f aca="false">E167</f>
        <v>433.943616970629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5.02272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E188</f>
        <v>8.88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274.949791666667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188.791666666667</v>
      </c>
      <c r="C255" s="194"/>
      <c r="D255" s="195" t="s">
        <v>218</v>
      </c>
      <c r="E255" s="195"/>
      <c r="F255" s="196" t="n">
        <f aca="false">(B254-F254)+B255</f>
        <v>-10.5020833333333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-10.5020833333333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380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5.28</v>
      </c>
      <c r="I44" s="292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278</v>
      </c>
      <c r="B80" s="414" t="n">
        <v>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279</v>
      </c>
      <c r="B81" s="416" t="n">
        <v>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5378.61666666667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448.218055555556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96.4917103670835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623.925698086146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630.789698086146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286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623.925698086146</v>
      </c>
      <c r="B134" s="338" t="n">
        <f aca="false">IF(A111="YES", B95, 0)</f>
        <v>6.864</v>
      </c>
      <c r="C134" s="394"/>
      <c r="D134" s="338" t="n">
        <f aca="false">B97</f>
        <v>630.789698086146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5615.33128277531</v>
      </c>
      <c r="C137" s="280"/>
      <c r="D137" s="38" t="n">
        <f aca="false">IF(A111="YES", B95*B63, 0)</f>
        <v>61.776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5677.10728277531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6.864</v>
      </c>
      <c r="C143" s="280"/>
      <c r="D143" s="38" t="n">
        <f aca="false">B97</f>
        <v>630.789698086146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630.789698086146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623.925698086146</v>
      </c>
      <c r="B177" s="367" t="n">
        <f aca="false">IF(A111="YES", B95, 0)</f>
        <v>6.864</v>
      </c>
      <c r="C177" s="395"/>
      <c r="D177" s="367" t="n">
        <f aca="false">B91</f>
        <v>11390.6166666667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5615.33128277531</v>
      </c>
      <c r="C180" s="282"/>
      <c r="D180" s="99" t="n">
        <f aca="false">IF(A111="YES", B95*B63, 0)</f>
        <v>61.776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5677.10728277531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6.864</v>
      </c>
      <c r="C186" s="282"/>
      <c r="D186" s="99" t="n">
        <f aca="false">B97</f>
        <v>630.789698086146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358.998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3832.098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19.008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292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703.333333333333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58.6111111111111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43.3333333333333</v>
      </c>
      <c r="C82" s="211"/>
      <c r="D82" s="277" t="n">
        <f aca="false">IF(A50="YES", 0, B82)</f>
        <v>43.3333333333333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5421.95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451.829166666667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((B89*H29)+B87)*1.2</f>
        <v>13720.74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96.8587938684954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9817.5987938685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818.133232822375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818.133232822375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31" t="n">
        <v>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818.133232822375</v>
      </c>
      <c r="B134" s="338" t="n">
        <f aca="false">IF(A111="YES", B95, 0)</f>
        <v>0</v>
      </c>
      <c r="C134" s="394"/>
      <c r="D134" s="338" t="n">
        <f aca="false">B97</f>
        <v>818.133232822375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7363.19909540137</v>
      </c>
      <c r="C137" s="280"/>
      <c r="D137" s="38" t="n">
        <f aca="false">IF(A111="YES", B95*B63, 0)</f>
        <v>0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7363.19909540137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818.133232822375</v>
      </c>
      <c r="B143" s="38" t="n">
        <f aca="false">IF(A111="YES", B95, 0)</f>
        <v>0</v>
      </c>
      <c r="C143" s="280"/>
      <c r="D143" s="38" t="n">
        <f aca="false">B97</f>
        <v>818.133232822375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818.133232822375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818.133232822375</v>
      </c>
      <c r="B177" s="367" t="n">
        <f aca="false">IF(A111="YES", B95, 0)</f>
        <v>0</v>
      </c>
      <c r="C177" s="395"/>
      <c r="D177" s="367" t="n">
        <f aca="false">B91</f>
        <v>13720.74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7363.19909540137</v>
      </c>
      <c r="C180" s="282"/>
      <c r="D180" s="99" t="n">
        <f aca="false">IF(A111="YES", B95*B63,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7363.19909540137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818.133232822375</v>
      </c>
      <c r="B186" s="99" t="n">
        <f aca="false">IF(A111="YES", B95, 0)</f>
        <v>0</v>
      </c>
      <c r="C186" s="282"/>
      <c r="D186" s="99" t="n">
        <f aca="false">B97</f>
        <v>818.133232822375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1078.84166666667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339.991666666667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3813.09166666667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292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703.333333333333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58.6111111111111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43.3333333333333</v>
      </c>
      <c r="C82" s="211"/>
      <c r="D82" s="277" t="n">
        <f aca="false">IF(A50="YES", 0, B82)</f>
        <v>43.3333333333333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5421.95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451.829166666667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11433.95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96.8587938684954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7530.8087938685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627.567399489041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627.567399489041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31" t="n">
        <v>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627.567399489041</v>
      </c>
      <c r="B134" s="338" t="n">
        <f aca="false">IF(A111="YES", B95, 0)</f>
        <v>0</v>
      </c>
      <c r="C134" s="394"/>
      <c r="D134" s="338" t="n">
        <f aca="false">B97</f>
        <v>627.567399489041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5648.10659540137</v>
      </c>
      <c r="C137" s="280"/>
      <c r="D137" s="38" t="n">
        <f aca="false">IF(A111="YES", B95*B63, 0)</f>
        <v>0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5648.10659540137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627.567399489041</v>
      </c>
      <c r="B143" s="38" t="n">
        <f aca="false">IF(A111="YES", B95, 0)</f>
        <v>0</v>
      </c>
      <c r="C143" s="280"/>
      <c r="D143" s="38" t="n">
        <f aca="false">B97</f>
        <v>627.567399489041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627.567399489041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627.567399489041</v>
      </c>
      <c r="B177" s="367" t="n">
        <f aca="false">IF(A111="YES", B95, 0)</f>
        <v>0</v>
      </c>
      <c r="C177" s="395"/>
      <c r="D177" s="367" t="n">
        <f aca="false">B91</f>
        <v>11433.95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5648.10659540137</v>
      </c>
      <c r="C180" s="282"/>
      <c r="D180" s="99" t="n">
        <f aca="false">IF(A111="YES", B95*B63,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5648.10659540137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627.567399489041</v>
      </c>
      <c r="B186" s="99" t="n">
        <f aca="false">IF(A111="YES", B95, 0)</f>
        <v>0</v>
      </c>
      <c r="C186" s="282"/>
      <c r="D186" s="99" t="n">
        <f aca="false">B97</f>
        <v>627.567399489041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339.99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3813.09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262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376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19.09375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1603.91015136705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n">
        <f aca="false">B94</f>
        <v>19.09375</v>
      </c>
      <c r="C167" s="171"/>
      <c r="D167" s="171"/>
      <c r="E167" s="174" t="n">
        <f aca="false">B96</f>
        <v>1603.91015136705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571.3165625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1603.91015136705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19.09375</v>
      </c>
      <c r="C212" s="171"/>
      <c r="D212" s="171"/>
      <c r="E212" s="174" t="n">
        <f aca="false">E167</f>
        <v>1603.91015136705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19.09375</v>
      </c>
      <c r="C230" s="183"/>
      <c r="D230" s="183"/>
      <c r="E230" s="99" t="n">
        <f aca="false">E167</f>
        <v>1603.91015136705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571.3165625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</v>
      </c>
      <c r="C255" s="194"/>
      <c r="D255" s="195" t="s">
        <v>218</v>
      </c>
      <c r="E255" s="195"/>
      <c r="F255" s="196" t="n">
        <f aca="false">(B254-F254)+B255</f>
        <v>-307.681875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-307.681875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2" colorId="64" zoomScale="75" zoomScaleNormal="75" zoomScalePageLayoutView="100" workbookViewId="0">
      <selection pane="topLeft" activeCell="B155" activeCellId="0" sqref="B15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241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341</v>
      </c>
      <c r="B41" s="237" t="n">
        <f aca="false">IF(B38="YES", D38+A41, D38)</f>
        <v>560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342</v>
      </c>
      <c r="E44" s="100"/>
      <c r="F44" s="63"/>
      <c r="G44" s="63" t="s">
        <v>253</v>
      </c>
      <c r="H44" s="234" t="str">
        <f aca="false">H32</f>
        <v>60</v>
      </c>
      <c r="I44" s="292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273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278</v>
      </c>
      <c r="B80" s="414" t="n">
        <v>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279</v>
      </c>
      <c r="B81" s="416" t="n">
        <v>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5378.61666666667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448.218055555556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96.4917103670835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623.925698086146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701.925698086146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4" t="n">
        <v>30</v>
      </c>
      <c r="C111" s="334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623.925698086146</v>
      </c>
      <c r="B134" s="338" t="n">
        <f aca="false">IF(A111="YES", B95, 0)</f>
        <v>78</v>
      </c>
      <c r="C134" s="394"/>
      <c r="D134" s="338" t="n">
        <f aca="false">B97</f>
        <v>701.925698086146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5615.33128277531</v>
      </c>
      <c r="C137" s="280"/>
      <c r="D137" s="38" t="n">
        <f aca="false">IF(A111="YES", B95*B63, 0)</f>
        <v>702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6317.33128277531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78</v>
      </c>
      <c r="C143" s="280"/>
      <c r="D143" s="38" t="n">
        <f aca="false">B97</f>
        <v>701.925698086146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701.925698086146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623.925698086146</v>
      </c>
      <c r="B177" s="367" t="n">
        <f aca="false">IF(A111="YES", B95, 0)</f>
        <v>78</v>
      </c>
      <c r="C177" s="395"/>
      <c r="D177" s="367" t="n">
        <f aca="false">B91</f>
        <v>11390.6166666667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5615.33128277531</v>
      </c>
      <c r="C180" s="282"/>
      <c r="D180" s="99" t="n">
        <f aca="false">IF(A111="YES", B95*B63, 0)</f>
        <v>702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6317.33128277531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78</v>
      </c>
      <c r="C186" s="282"/>
      <c r="D186" s="99" t="n">
        <f aca="false">B97</f>
        <v>701.925698086146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1100.44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555.99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4029.09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216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8" colorId="64" zoomScale="75" zoomScaleNormal="7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343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4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703.333333333333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58.6111111111111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43.3333333333333</v>
      </c>
      <c r="C82" s="211"/>
      <c r="D82" s="277" t="n">
        <f aca="false">IF(A50="YES", 0, B82)</f>
        <v>43.3333333333333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5421.95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451.829166666667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((B89*H29)+B87)*1.2</f>
        <v>13720.74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96.8587938684954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9817.5987938685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818.133232822375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896.133232822375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818.133232822375</v>
      </c>
      <c r="B134" s="338" t="n">
        <f aca="false">IF(A111="YES", B95, 0)</f>
        <v>78</v>
      </c>
      <c r="C134" s="394"/>
      <c r="D134" s="338" t="n">
        <f aca="false">B97</f>
        <v>896.133232822375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7363.19909540137</v>
      </c>
      <c r="C137" s="280"/>
      <c r="D137" s="38" t="n">
        <f aca="false">IF(A111="YES", B95*B63, 0)</f>
        <v>702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8065.19909540137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818.133232822375</v>
      </c>
      <c r="B143" s="38" t="n">
        <f aca="false">IF(A111="YES", B95, 0)</f>
        <v>78</v>
      </c>
      <c r="C143" s="280"/>
      <c r="D143" s="38" t="n">
        <f aca="false">B97</f>
        <v>896.133232822375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896.133232822375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818.133232822375</v>
      </c>
      <c r="B177" s="367" t="n">
        <f aca="false">IF(A111="YES", B95, 0)</f>
        <v>78</v>
      </c>
      <c r="C177" s="395"/>
      <c r="D177" s="367" t="n">
        <f aca="false">B97</f>
        <v>896.133232822375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7363.19909540137</v>
      </c>
      <c r="C180" s="282"/>
      <c r="D180" s="99" t="n">
        <f aca="false">IF(A111="YES", B95*B63, 0)</f>
        <v>702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8065.19909540137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818.133232822375</v>
      </c>
      <c r="B186" s="99" t="n">
        <f aca="false">IF(A111="YES", B95, 0)</f>
        <v>78</v>
      </c>
      <c r="C186" s="282"/>
      <c r="D186" s="99" t="n">
        <f aca="false">B97</f>
        <v>896.133232822375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519.991666666667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3993.09166666667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3993.09166666667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3" colorId="64" zoomScale="75" zoomScaleNormal="75" zoomScalePageLayoutView="100" workbookViewId="0">
      <selection pane="topLeft" activeCell="B198" activeCellId="0" sqref="B19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343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703.333333333333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58.6111111111111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43.3333333333333</v>
      </c>
      <c r="C82" s="211"/>
      <c r="D82" s="277" t="n">
        <f aca="false">IF(A50="YES", 0, B82)</f>
        <v>43.3333333333333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5421.95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451.829166666667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11433.95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96.8587938684954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7530.8087938685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627.567399489041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692.567399489041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627.567399489041</v>
      </c>
      <c r="B134" s="338" t="n">
        <f aca="false">IF(A111="YES", B95, 0)</f>
        <v>65</v>
      </c>
      <c r="C134" s="394"/>
      <c r="D134" s="338" t="n">
        <f aca="false">B97</f>
        <v>692.567399489041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5648.10659540137</v>
      </c>
      <c r="C137" s="280"/>
      <c r="D137" s="38" t="n">
        <f aca="false">IF(A111="YES", B95*B63, 0)</f>
        <v>585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6233.10659540137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627.567399489041</v>
      </c>
      <c r="B143" s="38" t="n">
        <f aca="false">IF(A111="YES", B95, 0)</f>
        <v>65</v>
      </c>
      <c r="C143" s="280"/>
      <c r="D143" s="38" t="n">
        <f aca="false">B97</f>
        <v>692.567399489041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692.567399489041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627.567399489041</v>
      </c>
      <c r="B177" s="367" t="n">
        <f aca="false">IF(A111="YES", B95, 0)</f>
        <v>65</v>
      </c>
      <c r="C177" s="395"/>
      <c r="D177" s="367" t="n">
        <f aca="false">B91</f>
        <v>11433.95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5648.10659540137</v>
      </c>
      <c r="C180" s="282"/>
      <c r="D180" s="99" t="n">
        <f aca="false">IF(A111="YES", B95*B63, 0)</f>
        <v>585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6233.10659540137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627.567399489041</v>
      </c>
      <c r="B186" s="99" t="n">
        <f aca="false">IF(A111="YES", B95, 0)</f>
        <v>65</v>
      </c>
      <c r="C186" s="282"/>
      <c r="D186" s="99" t="n">
        <f aca="false">B97</f>
        <v>692.567399489041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1096.84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519.99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3993.09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3993.09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4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9000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2344.65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1409.67314916584</v>
      </c>
      <c r="F33" s="228"/>
      <c r="G33" s="228"/>
      <c r="H33" s="47"/>
      <c r="I33" s="2"/>
      <c r="J33" s="34" t="s">
        <v>349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1342.68314916584</v>
      </c>
      <c r="B36" s="228" t="n">
        <f aca="false">IF(B26="YES", K42, "0.00")</f>
        <v>66.99</v>
      </c>
      <c r="C36" s="228"/>
      <c r="D36" s="228"/>
      <c r="E36" s="228" t="n">
        <f aca="false">K31</f>
        <v>9000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29487.3203689542</v>
      </c>
      <c r="N39" s="1" t="n">
        <f aca="false">K39-L39</f>
        <v>19390.1796310458</v>
      </c>
      <c r="P39" s="208"/>
    </row>
    <row r="40" customFormat="false" ht="17.35" hidden="false" customHeight="false" outlineLevel="0" collapsed="false">
      <c r="A40" s="103" t="n">
        <f aca="false">E36*A45/100</f>
        <v>9000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109</v>
      </c>
      <c r="K40" s="2" t="n">
        <f aca="false">(A40)/1.2</f>
        <v>7500</v>
      </c>
      <c r="L40" s="2" t="n">
        <f aca="false">K39-L39</f>
        <v>19390.1796310458</v>
      </c>
      <c r="N40" s="1" t="n">
        <f aca="false">N38-N39</f>
        <v>-16478.4996310458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6174.50826496102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42702.991735039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1342.68314916584</v>
      </c>
      <c r="L47" s="2" t="n">
        <f aca="false">L49-K42</f>
        <v>733.01</v>
      </c>
      <c r="M47" s="1" t="n">
        <f aca="false">K47-L47</f>
        <v>609.673149165836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1409.67314916584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1409.67314916584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25106.5530151278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4219.71813983739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278.282275088859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278.282275088859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1342.68314916584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1342.68314916584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1409.67314916584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1409.67314916584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45468.749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9000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9000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9000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6445.6463636142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6154.67359467891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6154.67359467891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61284.3576363858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39314.0754053211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39314.0754053211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2120.60185988035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1390.35860282039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1390.35860282039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72100.4632359321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47272.1924958931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47272.1924958931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72100.4632359321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47272.1924958931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47272.1924958931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89.6483823529412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99.3028235294117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2120.60185988035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1390.35860282039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1390.35860282039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2210.2502422333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1473.11095576156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1489.6614263498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18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269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48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35973.9575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7304.7915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58525</v>
      </c>
      <c r="Z141" s="154" t="n">
        <f aca="false">(Z135+Z136+Z139+Z140+Z137)-Z138</f>
        <v>44468.749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58525</v>
      </c>
      <c r="Z147" s="161" t="n">
        <f aca="false">Z141-((Z144*1.2)+(Z145*1.2)+(Z146*1.2)+(Z142*1.2))</f>
        <v>44468.749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-14056.251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45468.749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2120.60185988035</v>
      </c>
      <c r="B167" s="174" t="n">
        <f aca="false">B94</f>
        <v>89.6483823529412</v>
      </c>
      <c r="C167" s="171"/>
      <c r="D167" s="171"/>
      <c r="E167" s="174" t="n">
        <f aca="false">B96</f>
        <v>2210.2502422333</v>
      </c>
      <c r="F167" s="23"/>
      <c r="G167" s="23"/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1390.35860282039</v>
      </c>
      <c r="T167" s="174" t="n">
        <f aca="false">T94</f>
        <v>82.7523529411765</v>
      </c>
      <c r="U167" s="171"/>
      <c r="V167" s="171"/>
      <c r="W167" s="174" t="n">
        <f aca="false">T96</f>
        <v>1473.11095576156</v>
      </c>
      <c r="X167" s="23"/>
      <c r="Y167" s="23"/>
      <c r="Z167" s="33"/>
      <c r="AB167" s="173" t="n">
        <f aca="false">AC95</f>
        <v>1390.35860282039</v>
      </c>
      <c r="AC167" s="174" t="n">
        <f aca="false">AC94</f>
        <v>99.3028235294117</v>
      </c>
      <c r="AD167" s="171"/>
      <c r="AE167" s="171"/>
      <c r="AF167" s="174" t="n">
        <f aca="false">AC96</f>
        <v>1489.6614263498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9000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9000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9000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36523.9575</v>
      </c>
      <c r="T173" s="99" t="n">
        <f aca="false">Z137</f>
        <v>7304.7915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44468.749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45468.749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13370.4592359321</v>
      </c>
      <c r="B182" s="99" t="str">
        <f aca="false">B114</f>
        <v>199.99</v>
      </c>
      <c r="C182" s="99"/>
      <c r="D182" s="23"/>
      <c r="E182" s="99" t="n">
        <f aca="false">E179+A182+B182+A185</f>
        <v>81310.4532359321</v>
      </c>
      <c r="F182" s="23"/>
      <c r="G182" s="23"/>
      <c r="H182" s="101"/>
      <c r="J182" s="107" t="n">
        <f aca="false">(J167*K59)+N185-N179-J185</f>
        <v>22558.6283606416</v>
      </c>
      <c r="K182" s="99" t="n">
        <f aca="false">K114</f>
        <v>239.99</v>
      </c>
      <c r="L182" s="99"/>
      <c r="M182" s="23"/>
      <c r="N182" s="99" t="n">
        <f aca="false">N179+J182+K182+J185</f>
        <v>60473.6183606416</v>
      </c>
      <c r="O182" s="23"/>
      <c r="P182" s="23"/>
      <c r="Q182" s="101"/>
      <c r="S182" s="107" t="n">
        <f aca="false">(S167*T59)+W185-W179-S185</f>
        <v>10803.4434958931</v>
      </c>
      <c r="T182" s="99" t="n">
        <f aca="false">T114</f>
        <v>199.99</v>
      </c>
      <c r="U182" s="99"/>
      <c r="V182" s="23"/>
      <c r="W182" s="99" t="n">
        <f aca="false">W179+S182+T182+S185</f>
        <v>56482.1824958931</v>
      </c>
      <c r="X182" s="23"/>
      <c r="Y182" s="23"/>
      <c r="Z182" s="101"/>
      <c r="AB182" s="107" t="n">
        <f aca="false">(AB167*AC59)+AF185-AF179-AB185</f>
        <v>10803.4434958931</v>
      </c>
      <c r="AC182" s="99" t="n">
        <f aca="false">AC114</f>
        <v>239.99</v>
      </c>
      <c r="AD182" s="99"/>
      <c r="AE182" s="23"/>
      <c r="AF182" s="99" t="n">
        <f aca="false">AF179+AB182+AC182+AB185</f>
        <v>56522.1824958931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9010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11.577</v>
      </c>
      <c r="B188" s="99" t="n">
        <f aca="false">(G158*B67)/1.2</f>
        <v>552.65801875</v>
      </c>
      <c r="C188" s="130"/>
      <c r="D188" s="130"/>
      <c r="E188" s="99" t="n">
        <f aca="false">(E40*A108)*0.1</f>
        <v>70.3395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371.012361631944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722.98751875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1517.89536163194</v>
      </c>
      <c r="U191" s="130"/>
      <c r="V191" s="130"/>
      <c r="W191" s="99" t="n">
        <f aca="false">Z148</f>
        <v>-14056.251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1557.89536163194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2210.2502422333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1473.11095576156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1489.6614263498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2120.60185988035</v>
      </c>
      <c r="B212" s="174" t="n">
        <f aca="false">B167</f>
        <v>89.6483823529412</v>
      </c>
      <c r="C212" s="171"/>
      <c r="D212" s="171"/>
      <c r="E212" s="174" t="n">
        <f aca="false">E167</f>
        <v>2210.2502422333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13370.4592359321</v>
      </c>
      <c r="B224" s="99" t="str">
        <f aca="false">B182</f>
        <v>199.99</v>
      </c>
      <c r="C224" s="99"/>
      <c r="D224" s="109"/>
      <c r="E224" s="99" t="n">
        <f aca="false">E182</f>
        <v>81310.4532359321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2120.60185988035</v>
      </c>
      <c r="B230" s="99" t="n">
        <f aca="false">B167</f>
        <v>89.6483823529412</v>
      </c>
      <c r="C230" s="183"/>
      <c r="D230" s="183"/>
      <c r="E230" s="99" t="n">
        <f aca="false">E167</f>
        <v>2210.2502422333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9000</v>
      </c>
      <c r="B233" s="99" t="n">
        <f aca="false">E185</f>
        <v>9010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70.3395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10477.15751875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803.385</v>
      </c>
      <c r="C255" s="194"/>
      <c r="D255" s="195" t="s">
        <v>218</v>
      </c>
      <c r="E255" s="195"/>
      <c r="F255" s="196" t="n">
        <f aca="false">(B254-F254)+B255</f>
        <v>140.1953775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72100.4632359321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703.395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140.1953775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9" colorId="64" zoomScale="75" zoomScaleNormal="75" zoomScalePageLayoutView="100" workbookViewId="0">
      <selection pane="topLeft" activeCell="B95" activeCellId="0" sqref="B9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22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22000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8670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 t="n">
        <v>0</v>
      </c>
      <c r="J32" s="29" t="s">
        <v>36</v>
      </c>
      <c r="K32" s="445" t="n">
        <v>0</v>
      </c>
      <c r="P32" s="208"/>
    </row>
    <row r="33" customFormat="false" ht="34.8" hidden="false" customHeight="false" outlineLevel="0" collapsed="false">
      <c r="A33" s="176" t="n">
        <f aca="false">A52</f>
        <v>22</v>
      </c>
      <c r="B33" s="228" t="n">
        <f aca="false">B51</f>
        <v>22000</v>
      </c>
      <c r="C33" s="130"/>
      <c r="D33" s="130"/>
      <c r="E33" s="228" t="n">
        <f aca="false">K48</f>
        <v>2054.26747437178</v>
      </c>
      <c r="F33" s="228"/>
      <c r="G33" s="228"/>
      <c r="H33" s="47"/>
      <c r="I33" s="2"/>
      <c r="J33" s="34" t="s">
        <v>349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2054.26747437178</v>
      </c>
      <c r="B36" s="228" t="str">
        <f aca="false">IF(B26="YES", K42, "0.00")</f>
        <v>0.00</v>
      </c>
      <c r="C36" s="228"/>
      <c r="D36" s="228"/>
      <c r="E36" s="228" t="n">
        <f aca="false">K31</f>
        <v>8670</v>
      </c>
      <c r="F36" s="228"/>
      <c r="G36" s="228"/>
      <c r="H36" s="47"/>
      <c r="I36" s="2"/>
      <c r="J36" s="2" t="s">
        <v>50</v>
      </c>
      <c r="K36" s="2" t="n">
        <f aca="false">K29</f>
        <v>22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22930.452563623</v>
      </c>
      <c r="N39" s="1" t="n">
        <f aca="false">K39-L39</f>
        <v>25947.047436377</v>
      </c>
      <c r="P39" s="208"/>
    </row>
    <row r="40" customFormat="false" ht="17.35" hidden="false" customHeight="false" outlineLevel="0" collapsed="false">
      <c r="A40" s="103" t="n">
        <f aca="false">E36*A45/100</f>
        <v>8670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7225</v>
      </c>
      <c r="L40" s="2" t="n">
        <f aca="false">K39-L39</f>
        <v>25947.047436377</v>
      </c>
      <c r="N40" s="1" t="n">
        <f aca="false">N38-N39</f>
        <v>-23035.367436377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6380.84223469511</v>
      </c>
      <c r="L44" s="2"/>
      <c r="P44" s="208"/>
    </row>
    <row r="45" customFormat="false" ht="17.35" hidden="false" customHeight="false" outlineLevel="0" collapsed="false">
      <c r="A45" s="504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360</v>
      </c>
      <c r="K45" s="2" t="n">
        <f aca="false">(K39-K44)</f>
        <v>42496.6577653049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20.6870129111599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2054.26747437178</v>
      </c>
      <c r="L47" s="2" t="n">
        <f aca="false">L49-K42</f>
        <v>800</v>
      </c>
      <c r="M47" s="1" t="n">
        <f aca="false">K47-L47</f>
        <v>1254.26747437178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2054.26747437178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22000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22</v>
      </c>
      <c r="B52" s="74" t="n">
        <f aca="false">K48</f>
        <v>2054.26747437178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21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21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21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21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13324.5517974638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-412.321312148415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14591.9692298969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-1199.15946979073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0.00708333333333333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0.0604166666666667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0.00708333333333333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0.00708333333333333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345.460069444445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3497.21875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410.01875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322.070305416667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2054.26747437178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2054.26747437178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2054.26747437178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2054.26747437178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58525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8670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8670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8670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0.137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21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22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21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21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6753.93330749799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6699.07651625925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6699.07651625925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18.5786304371117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17.6580481974213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18.5059259440892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18.5059259440892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51771.066692502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52685.3609737407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38769.6724837408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2786.59220160205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2132.45538685861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2846.94541267029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2094.98690316135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58518.436233643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46914.0185108894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59785.8536660761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43994.7249663885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58518.436233643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46914.0185108894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59785.8536660761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43994.7249663885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IF(B26="YES",((E40/B85)*(1+A108)*1.2),"0")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2786.59220160205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2132.45538685861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2846.94541267029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2094.98690316135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2786.59220160205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2132.45538685861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2846.94541267029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2094.98690316135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124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263</v>
      </c>
      <c r="C108" s="103"/>
      <c r="D108" s="103"/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48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0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58525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2786.59220160205</v>
      </c>
      <c r="B167" s="174" t="str">
        <f aca="false">B94</f>
        <v>0</v>
      </c>
      <c r="C167" s="171"/>
      <c r="D167" s="171"/>
      <c r="E167" s="174" t="n">
        <f aca="false">B96</f>
        <v>2786.59220160205</v>
      </c>
      <c r="F167" s="23"/>
      <c r="G167" s="23"/>
      <c r="H167" s="33"/>
      <c r="J167" s="173" t="n">
        <f aca="false">K95</f>
        <v>2132.45538685861</v>
      </c>
      <c r="K167" s="174" t="n">
        <f aca="false">K94</f>
        <v>0</v>
      </c>
      <c r="L167" s="171"/>
      <c r="M167" s="171"/>
      <c r="N167" s="174" t="n">
        <f aca="false">K96</f>
        <v>2132.45538685861</v>
      </c>
      <c r="O167" s="23"/>
      <c r="P167" s="23"/>
      <c r="Q167" s="33"/>
      <c r="S167" s="173" t="n">
        <f aca="false">T95</f>
        <v>2846.94541267029</v>
      </c>
      <c r="T167" s="174" t="n">
        <f aca="false">T94</f>
        <v>0</v>
      </c>
      <c r="U167" s="171"/>
      <c r="V167" s="171"/>
      <c r="W167" s="174" t="n">
        <f aca="false">T96</f>
        <v>2846.94541267029</v>
      </c>
      <c r="X167" s="23"/>
      <c r="Y167" s="23"/>
      <c r="Z167" s="33"/>
      <c r="AB167" s="173" t="n">
        <f aca="false">AC95</f>
        <v>2094.98690316135</v>
      </c>
      <c r="AC167" s="174" t="n">
        <f aca="false">AC94</f>
        <v>0</v>
      </c>
      <c r="AD167" s="171"/>
      <c r="AE167" s="171"/>
      <c r="AF167" s="174" t="n">
        <f aca="false">AC96</f>
        <v>2094.98690316135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22</v>
      </c>
      <c r="B170" s="225" t="n">
        <f aca="false">K30</f>
        <v>22000</v>
      </c>
      <c r="C170" s="178"/>
      <c r="D170" s="23"/>
      <c r="E170" s="179" t="n">
        <f aca="false">IF(A111="YES", A40, 0)</f>
        <v>8670</v>
      </c>
      <c r="F170" s="23"/>
      <c r="G170" s="23"/>
      <c r="H170" s="33"/>
      <c r="J170" s="176" t="n">
        <f aca="false">K29</f>
        <v>22</v>
      </c>
      <c r="K170" s="177" t="n">
        <f aca="false">K30</f>
        <v>22000</v>
      </c>
      <c r="L170" s="178"/>
      <c r="M170" s="23"/>
      <c r="N170" s="179" t="n">
        <f aca="false">IF(A111="YES", A40, 0)</f>
        <v>8670</v>
      </c>
      <c r="O170" s="23"/>
      <c r="P170" s="23"/>
      <c r="Q170" s="33"/>
      <c r="S170" s="176" t="n">
        <f aca="false">K29</f>
        <v>22</v>
      </c>
      <c r="T170" s="177" t="n">
        <f aca="false">K30</f>
        <v>22000</v>
      </c>
      <c r="U170" s="178"/>
      <c r="V170" s="23"/>
      <c r="W170" s="179" t="n">
        <f aca="false">IF(A111="YES", A40, 0)</f>
        <v>8670</v>
      </c>
      <c r="X170" s="23"/>
      <c r="Y170" s="23"/>
      <c r="Z170" s="33"/>
      <c r="AB170" s="176" t="n">
        <f aca="false">K29</f>
        <v>22</v>
      </c>
      <c r="AC170" s="177" t="n">
        <f aca="false">K30</f>
        <v>22000</v>
      </c>
      <c r="AD170" s="178"/>
      <c r="AE170" s="23"/>
      <c r="AF170" s="179" t="n">
        <f aca="false">IF(A111="YES", A40, 0)</f>
        <v>8670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8663.43623364299</v>
      </c>
      <c r="B182" s="99" t="str">
        <f aca="false">B114</f>
        <v>239.99</v>
      </c>
      <c r="C182" s="99"/>
      <c r="D182" s="23"/>
      <c r="E182" s="99" t="n">
        <f aca="false">E179+A182+B182+A185</f>
        <v>67438.426233643</v>
      </c>
      <c r="F182" s="23"/>
      <c r="G182" s="23"/>
      <c r="H182" s="101"/>
      <c r="J182" s="107" t="n">
        <f aca="false">(J167*K59)+N185-N179-J185</f>
        <v>15796.5631240308</v>
      </c>
      <c r="K182" s="99" t="n">
        <f aca="false">K114</f>
        <v>239.99</v>
      </c>
      <c r="L182" s="99"/>
      <c r="M182" s="23"/>
      <c r="N182" s="99" t="n">
        <f aca="false">N179+J182+K182+J185</f>
        <v>53711.5531240308</v>
      </c>
      <c r="O182" s="23"/>
      <c r="P182" s="23"/>
      <c r="Q182" s="101"/>
      <c r="S182" s="107" t="n">
        <f aca="false">(S167*T59)+W185-W179-S185</f>
        <v>9071.41617607606</v>
      </c>
      <c r="T182" s="99" t="n">
        <f aca="false">T114</f>
        <v>199.99</v>
      </c>
      <c r="U182" s="99"/>
      <c r="V182" s="23"/>
      <c r="W182" s="99" t="n">
        <f aca="false">W179+S182+T182+S185</f>
        <v>68665.8436660761</v>
      </c>
      <c r="X182" s="23"/>
      <c r="Y182" s="23"/>
      <c r="Z182" s="101"/>
      <c r="AB182" s="107" t="n">
        <f aca="false">(AB167*AC59)+AF185-AF179-AB185</f>
        <v>7195.97596638845</v>
      </c>
      <c r="AC182" s="99" t="n">
        <f aca="false">AC114</f>
        <v>239.99</v>
      </c>
      <c r="AD182" s="99"/>
      <c r="AE182" s="23"/>
      <c r="AF182" s="99" t="n">
        <f aca="false">AF179+AB182+AC182+AB185</f>
        <v>52914.7149663885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E170+A185</f>
        <v>8680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8690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8680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8680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0</v>
      </c>
      <c r="B188" s="99" t="n">
        <f aca="false">(G158*B67)</f>
        <v>414.552083333333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1895.82465277778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350.533137961806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268.391921180556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514.54375</v>
      </c>
      <c r="C191" s="130"/>
      <c r="D191" s="130"/>
      <c r="E191" s="99" t="n">
        <f aca="false">H148</f>
        <v>0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3035.81465277778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1450.52313796181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1408.38192118056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22000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22000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22000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22000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22</v>
      </c>
      <c r="B197" s="74" t="n">
        <f aca="false">B96</f>
        <v>2786.59220160205</v>
      </c>
      <c r="C197" s="74"/>
      <c r="D197" s="74"/>
      <c r="E197" s="23"/>
      <c r="F197" s="23"/>
      <c r="G197" s="23"/>
      <c r="H197" s="33"/>
      <c r="J197" s="73" t="n">
        <f aca="false">K29</f>
        <v>22</v>
      </c>
      <c r="K197" s="74" t="n">
        <f aca="false">K96</f>
        <v>2132.45538685861</v>
      </c>
      <c r="L197" s="74"/>
      <c r="M197" s="74"/>
      <c r="N197" s="23"/>
      <c r="O197" s="23"/>
      <c r="P197" s="23"/>
      <c r="Q197" s="33"/>
      <c r="S197" s="73" t="n">
        <f aca="false">K29</f>
        <v>22</v>
      </c>
      <c r="T197" s="74" t="n">
        <f aca="false">T96</f>
        <v>2846.94541267029</v>
      </c>
      <c r="U197" s="74"/>
      <c r="V197" s="74"/>
      <c r="W197" s="23"/>
      <c r="X197" s="23"/>
      <c r="Y197" s="23"/>
      <c r="Z197" s="33"/>
      <c r="AB197" s="73" t="n">
        <f aca="false">K29</f>
        <v>22</v>
      </c>
      <c r="AC197" s="74" t="n">
        <f aca="false">AC96</f>
        <v>2094.98690316135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22</v>
      </c>
      <c r="C209" s="171"/>
      <c r="D209" s="171"/>
      <c r="E209" s="171" t="n">
        <f aca="false">B196</f>
        <v>22000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2786.59220160205</v>
      </c>
      <c r="B212" s="174" t="str">
        <f aca="false">B167</f>
        <v>0</v>
      </c>
      <c r="C212" s="171"/>
      <c r="D212" s="171"/>
      <c r="E212" s="174" t="n">
        <f aca="false">E167</f>
        <v>2786.59220160205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8663.43623364299</v>
      </c>
      <c r="B224" s="99" t="str">
        <f aca="false">B182</f>
        <v>239.99</v>
      </c>
      <c r="C224" s="99"/>
      <c r="D224" s="109"/>
      <c r="E224" s="99" t="n">
        <f aca="false">E182</f>
        <v>67438.426233643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21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2786.59220160205</v>
      </c>
      <c r="B230" s="99" t="str">
        <f aca="false">B167</f>
        <v>0</v>
      </c>
      <c r="C230" s="183"/>
      <c r="D230" s="183"/>
      <c r="E230" s="99" t="n">
        <f aca="false">E167</f>
        <v>2786.59220160205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8670</v>
      </c>
      <c r="B233" s="99" t="n">
        <f aca="false">E185</f>
        <v>8680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B68</f>
        <v>345.460069444445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445.451736111111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414.552083333333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-314.560416666667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0.137</v>
      </c>
      <c r="C260" s="43"/>
      <c r="D260" s="163" t="s">
        <v>215</v>
      </c>
      <c r="E260" s="163"/>
      <c r="F260" s="143" t="n">
        <f aca="false">(B89*B59)-(C89*B59)</f>
        <v>58518.436233643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0.00708333333333333</v>
      </c>
      <c r="C261" s="32"/>
      <c r="D261" s="163" t="s">
        <v>221</v>
      </c>
      <c r="E261" s="163"/>
      <c r="F261" s="148" t="n">
        <f aca="false">B68*1.2</f>
        <v>414.552083333333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-314.560416666667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555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5400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 t="n">
        <v>0</v>
      </c>
      <c r="J32" s="29" t="s">
        <v>36</v>
      </c>
      <c r="K32" s="445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1420.33961176863</v>
      </c>
      <c r="F33" s="228"/>
      <c r="G33" s="228"/>
      <c r="H33" s="47"/>
      <c r="I33" s="2"/>
      <c r="J33" s="34" t="s">
        <v>349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1420.33961176863</v>
      </c>
      <c r="B36" s="228" t="str">
        <f aca="false">IF(B26="YES", K42, "0.00")</f>
        <v>0.00</v>
      </c>
      <c r="C36" s="228"/>
      <c r="D36" s="228"/>
      <c r="E36" s="228" t="n">
        <f aca="false">K31</f>
        <v>5400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29148.0818340459</v>
      </c>
      <c r="N39" s="1" t="n">
        <f aca="false">K39-L39</f>
        <v>19729.4181659541</v>
      </c>
      <c r="P39" s="208"/>
    </row>
    <row r="40" customFormat="false" ht="17.35" hidden="false" customHeight="false" outlineLevel="0" collapsed="false">
      <c r="A40" s="333" t="n">
        <f aca="false">E36*A45/100</f>
        <v>5400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4500</v>
      </c>
      <c r="L40" s="2" t="n">
        <f aca="false">K39-L39</f>
        <v>19729.4181659541</v>
      </c>
      <c r="N40" s="1" t="n">
        <f aca="false">N38-N39</f>
        <v>-16817.7381659541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3704.70495897661</v>
      </c>
      <c r="L44" s="2"/>
      <c r="P44" s="208"/>
    </row>
    <row r="45" customFormat="false" ht="17.35" hidden="false" customHeight="false" outlineLevel="0" collapsed="false">
      <c r="A45" s="506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360</v>
      </c>
      <c r="K45" s="2" t="n">
        <f aca="false">(K39-K44)</f>
        <v>45172.7950410234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1420.33961176863</v>
      </c>
      <c r="L47" s="2" t="n">
        <f aca="false">L49-K42</f>
        <v>800</v>
      </c>
      <c r="M47" s="1" t="n">
        <f aca="false">K47-L47</f>
        <v>620.339611768627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1420.33961176863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1420.33961176863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25421.8734536788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1501.7419487397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17253.0767519285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520.51727469029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1420.33961176863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1420.33961176863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1420.33961176863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1420.33961176863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5400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5400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5400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3867.38781816852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3692.80415680734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3692.80415680734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63862.6161818315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55691.6333331927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41775.9448431927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2209.81646663473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1969.55774011266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1477.42363784095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75133.7598655807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66964.9631638305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50232.4036865922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75133.7598655807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66964.9631638305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50232.4036865922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IF(B26="YES",((E40/B85)*(1+A108)*1.2),"0")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2209.81646663473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1969.55774011266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1477.42363784095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2209.81646663473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1969.55774011266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1477.42363784095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126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48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2209.81646663473</v>
      </c>
      <c r="B167" s="174" t="str">
        <f aca="false">B94</f>
        <v>0</v>
      </c>
      <c r="C167" s="171"/>
      <c r="D167" s="171"/>
      <c r="E167" s="174" t="n">
        <f aca="false">B96</f>
        <v>2209.81646663473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1969.55774011266</v>
      </c>
      <c r="T167" s="174" t="n">
        <f aca="false">T94</f>
        <v>0</v>
      </c>
      <c r="U167" s="171"/>
      <c r="V167" s="171"/>
      <c r="W167" s="174" t="n">
        <f aca="false">T96</f>
        <v>1969.55774011266</v>
      </c>
      <c r="X167" s="23"/>
      <c r="Y167" s="23"/>
      <c r="Z167" s="33"/>
      <c r="AB167" s="173" t="n">
        <f aca="false">AC95</f>
        <v>1477.42363784095</v>
      </c>
      <c r="AC167" s="174" t="n">
        <f aca="false">AC94</f>
        <v>0</v>
      </c>
      <c r="AD167" s="171"/>
      <c r="AE167" s="171"/>
      <c r="AF167" s="174" t="n">
        <f aca="false">AC96</f>
        <v>1477.42363784095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5400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5400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5400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12803.7558655807</v>
      </c>
      <c r="B182" s="99" t="str">
        <f aca="false">B114</f>
        <v>239.99</v>
      </c>
      <c r="C182" s="99"/>
      <c r="D182" s="23"/>
      <c r="E182" s="99" t="n">
        <f aca="false">E179+A182+B182+A185</f>
        <v>80783.7498655807</v>
      </c>
      <c r="F182" s="23"/>
      <c r="G182" s="23"/>
      <c r="H182" s="101"/>
      <c r="J182" s="107" t="n">
        <f aca="false">(J167*K59)+N185-N179-J185</f>
        <v>18958.6283606416</v>
      </c>
      <c r="K182" s="99" t="n">
        <f aca="false">K114</f>
        <v>239.99</v>
      </c>
      <c r="L182" s="99"/>
      <c r="M182" s="23"/>
      <c r="N182" s="99" t="n">
        <f aca="false">N179+J182+K182+J185</f>
        <v>56873.6183606416</v>
      </c>
      <c r="O182" s="23"/>
      <c r="P182" s="23"/>
      <c r="Q182" s="101"/>
      <c r="S182" s="107" t="n">
        <f aca="false">(S167*T59)+W185-W179-S185</f>
        <v>12980.5256738305</v>
      </c>
      <c r="T182" s="99" t="n">
        <f aca="false">T114</f>
        <v>199.99</v>
      </c>
      <c r="U182" s="99"/>
      <c r="V182" s="23"/>
      <c r="W182" s="99" t="n">
        <f aca="false">W179+S182+T182+S185</f>
        <v>72574.9531638305</v>
      </c>
      <c r="X182" s="23"/>
      <c r="Y182" s="23"/>
      <c r="Z182" s="101"/>
      <c r="AB182" s="107" t="n">
        <f aca="false">(AB167*AC59)+AF185-AF179-AB185</f>
        <v>10163.6546865922</v>
      </c>
      <c r="AC182" s="99" t="n">
        <f aca="false">AC114</f>
        <v>239.99</v>
      </c>
      <c r="AD182" s="99"/>
      <c r="AE182" s="23"/>
      <c r="AF182" s="99" t="n">
        <f aca="false">AF179+AB182+AC182+AB185</f>
        <v>55882.3936865922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E170+A185</f>
        <v>5410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5420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5410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5410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H15*0.000002, 0)</f>
        <v>0</v>
      </c>
      <c r="B188" s="99" t="n">
        <f aca="false">(G158*B67)/1.2</f>
        <v>552.65801875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652.649685416667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2209.81646663473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1969.55774011266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1477.42363784095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2209.81646663473</v>
      </c>
      <c r="B212" s="174" t="str">
        <f aca="false">B167</f>
        <v>0</v>
      </c>
      <c r="C212" s="171"/>
      <c r="D212" s="171"/>
      <c r="E212" s="174" t="n">
        <f aca="false">E167</f>
        <v>2209.81646663473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12803.7558655807</v>
      </c>
      <c r="B224" s="99" t="str">
        <f aca="false">B182</f>
        <v>239.99</v>
      </c>
      <c r="C224" s="99"/>
      <c r="D224" s="109"/>
      <c r="E224" s="99" t="n">
        <f aca="false">E182</f>
        <v>80783.7498655807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2209.81646663473</v>
      </c>
      <c r="B230" s="99" t="str">
        <f aca="false">B167</f>
        <v>0</v>
      </c>
      <c r="C230" s="183"/>
      <c r="D230" s="183"/>
      <c r="E230" s="99" t="n">
        <f aca="false">E167</f>
        <v>2209.81646663473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5400</v>
      </c>
      <c r="B233" s="99" t="n">
        <f aca="false">E185</f>
        <v>5410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41.6772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10406.8196854167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-563.197955833333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75133.7598655807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-563.197955833333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B26 E105 N105 W105 AF105 A111 J111 S111 AB111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75" zoomScaleNormal="7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10800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 t="n">
        <v>0</v>
      </c>
      <c r="J32" s="29" t="s">
        <v>36</v>
      </c>
      <c r="K32" s="445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1303.85491786444</v>
      </c>
      <c r="F33" s="228"/>
      <c r="G33" s="228"/>
      <c r="H33" s="47"/>
      <c r="I33" s="2"/>
      <c r="J33" s="34" t="s">
        <v>349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1303.85491786444</v>
      </c>
      <c r="B36" s="228" t="str">
        <f aca="false">IF(B26="YES", K42, "0.00")</f>
        <v>0.00</v>
      </c>
      <c r="C36" s="228"/>
      <c r="D36" s="228"/>
      <c r="E36" s="228" t="n">
        <f aca="false">K31</f>
        <v>10800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32852.7867930225</v>
      </c>
      <c r="N39" s="1" t="n">
        <f aca="false">K39-L39</f>
        <v>16024.7132069775</v>
      </c>
      <c r="P39" s="208"/>
    </row>
    <row r="40" customFormat="false" ht="17.35" hidden="false" customHeight="false" outlineLevel="0" collapsed="false">
      <c r="A40" s="333" t="n">
        <f aca="false">E36*A45/100</f>
        <v>10800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9000</v>
      </c>
      <c r="L40" s="2" t="n">
        <f aca="false">K39-L39</f>
        <v>16024.7132069775</v>
      </c>
      <c r="N40" s="1" t="n">
        <f aca="false">N38-N39</f>
        <v>-13113.0332069775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7409.40991795322</v>
      </c>
      <c r="L44" s="2"/>
      <c r="P44" s="208"/>
    </row>
    <row r="45" customFormat="false" ht="17.35" hidden="false" customHeight="false" outlineLevel="0" collapsed="false">
      <c r="A45" s="506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360</v>
      </c>
      <c r="K45" s="2" t="n">
        <f aca="false">(K39-K44)</f>
        <v>41468.0900820468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1303.85491786444</v>
      </c>
      <c r="L47" s="2" t="n">
        <f aca="false">L49-K42</f>
        <v>800</v>
      </c>
      <c r="M47" s="1" t="n">
        <f aca="false">K47-L47</f>
        <v>503.854917864441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1303.85491786444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1303.85491786444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30700.8669468965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5578.70623538621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16889.7242525263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157.164775288125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573.057324305556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1303.85491786444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1303.85491786444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1303.85491786444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1303.85491786444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70230.004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10800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10800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10800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0.137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7258.88722548487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7385.60831361469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7385.60831361469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28.0473680348001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62971.1167745151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51998.8291763853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38083.1406863853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2245.170266828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1838.96018758182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1346.8260853101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76335.789072152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62524.6463777818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45792.0869005436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76335.789072152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62524.6463777818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45792.0869005436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2245.170266828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1838.96018758182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1346.8260853101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2245.170266828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1838.96018758182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1346.8260853101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263</v>
      </c>
      <c r="C108" s="103"/>
      <c r="D108" s="103"/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48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70230.004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2245.170266828</v>
      </c>
      <c r="B167" s="174" t="str">
        <f aca="false">B94</f>
        <v>0</v>
      </c>
      <c r="C167" s="171"/>
      <c r="D167" s="171"/>
      <c r="E167" s="174" t="n">
        <f aca="false">B96</f>
        <v>2245.170266828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1838.96018758182</v>
      </c>
      <c r="T167" s="174" t="n">
        <f aca="false">T94</f>
        <v>0</v>
      </c>
      <c r="U167" s="171"/>
      <c r="V167" s="171"/>
      <c r="W167" s="174" t="n">
        <f aca="false">T96</f>
        <v>1838.96018758182</v>
      </c>
      <c r="X167" s="23"/>
      <c r="Y167" s="23"/>
      <c r="Z167" s="33"/>
      <c r="AB167" s="173" t="n">
        <f aca="false">AC95</f>
        <v>1346.8260853101</v>
      </c>
      <c r="AC167" s="174" t="n">
        <f aca="false">AC94</f>
        <v>0</v>
      </c>
      <c r="AD167" s="171"/>
      <c r="AE167" s="171"/>
      <c r="AF167" s="174" t="n">
        <f aca="false">AC96</f>
        <v>1346.8260853101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10800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10800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10800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10800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70230.004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16905.785072152</v>
      </c>
      <c r="B182" s="99" t="str">
        <f aca="false">B114</f>
        <v>199.99</v>
      </c>
      <c r="C182" s="99"/>
      <c r="D182" s="23"/>
      <c r="E182" s="99" t="n">
        <f aca="false">E179+A182+B182+A185</f>
        <v>87345.779072152</v>
      </c>
      <c r="F182" s="23"/>
      <c r="G182" s="23"/>
      <c r="H182" s="101"/>
      <c r="J182" s="107" t="n">
        <f aca="false">(J167*K59)+N185-N179-J185</f>
        <v>24358.6283606416</v>
      </c>
      <c r="K182" s="99" t="n">
        <f aca="false">K114</f>
        <v>239.99</v>
      </c>
      <c r="L182" s="99"/>
      <c r="M182" s="23"/>
      <c r="N182" s="99" t="n">
        <f aca="false">N179+J182+K182+J185</f>
        <v>62273.6183606416</v>
      </c>
      <c r="O182" s="23"/>
      <c r="P182" s="23"/>
      <c r="Q182" s="101"/>
      <c r="S182" s="107" t="n">
        <f aca="false">(S167*T59)+W185-W179-S185</f>
        <v>13940.2088877818</v>
      </c>
      <c r="T182" s="99" t="n">
        <f aca="false">T114</f>
        <v>199.99</v>
      </c>
      <c r="U182" s="99"/>
      <c r="V182" s="23"/>
      <c r="W182" s="99" t="n">
        <f aca="false">W179+S182+T182+S185</f>
        <v>73534.6363777818</v>
      </c>
      <c r="X182" s="23"/>
      <c r="Y182" s="23"/>
      <c r="Z182" s="101"/>
      <c r="AB182" s="107" t="n">
        <f aca="false">(AB167*AC59)+AF185-AF179-AB185</f>
        <v>11123.3379005435</v>
      </c>
      <c r="AC182" s="99" t="n">
        <f aca="false">AC114</f>
        <v>239.99</v>
      </c>
      <c r="AD182" s="99"/>
      <c r="AE182" s="23"/>
      <c r="AF182" s="99" t="n">
        <f aca="false">AF179+AB182+AC182+AB185</f>
        <v>56842.0769005436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10810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10820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10810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10810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573.057324305556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673.047324305556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2245.170266828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1838.96018758182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1346.8260853101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2245.170266828</v>
      </c>
      <c r="B212" s="174" t="str">
        <f aca="false">B167</f>
        <v>0</v>
      </c>
      <c r="C212" s="171"/>
      <c r="D212" s="171"/>
      <c r="E212" s="174" t="n">
        <f aca="false">E167</f>
        <v>2245.170266828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70230.004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16905.785072152</v>
      </c>
      <c r="B224" s="99" t="str">
        <f aca="false">B182</f>
        <v>199.99</v>
      </c>
      <c r="C224" s="99"/>
      <c r="D224" s="109"/>
      <c r="E224" s="99" t="n">
        <f aca="false">E182</f>
        <v>87345.779072152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2245.170266828</v>
      </c>
      <c r="B230" s="99" t="str">
        <f aca="false">B167</f>
        <v>0</v>
      </c>
      <c r="C230" s="183"/>
      <c r="D230" s="183"/>
      <c r="E230" s="99" t="n">
        <f aca="false">E167</f>
        <v>2245.170266828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10800</v>
      </c>
      <c r="B233" s="99" t="n">
        <f aca="false">E185</f>
        <v>10810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34.731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573.057324305556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10427.2173243056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687.668789166667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-587.678789166667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0.137</v>
      </c>
      <c r="C260" s="43"/>
      <c r="D260" s="163" t="s">
        <v>215</v>
      </c>
      <c r="E260" s="163"/>
      <c r="F260" s="143" t="n">
        <f aca="false">(B89*B59)-(C89*B59)</f>
        <v>76335.789072152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687.668789166667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-587.678789166667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2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</v>
      </c>
      <c r="C4" s="0" t="n">
        <v>0</v>
      </c>
      <c r="D4" s="0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347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18000</v>
      </c>
      <c r="I31" s="234" t="n">
        <f aca="false">IF(C107="YES",H31,0)</f>
        <v>18000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4689.3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1282.52199265886</v>
      </c>
      <c r="E33" s="212"/>
      <c r="F33" s="63"/>
      <c r="G33" s="215" t="s">
        <v>349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1148.54199265886</v>
      </c>
      <c r="B36" s="99" t="n">
        <f aca="false">IF(B26="YES", H42, "")</f>
        <v>133.98</v>
      </c>
      <c r="C36" s="217"/>
      <c r="D36" s="181" t="n">
        <f aca="false">I31</f>
        <v>18000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52613.796519141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18000</v>
      </c>
      <c r="B40" s="103" t="n">
        <f aca="false">IF(B26="YES",H42,"0")</f>
        <v>133.98</v>
      </c>
      <c r="C40" s="103"/>
      <c r="D40" s="181" t="n">
        <f aca="false">I32</f>
        <v>4689.3</v>
      </c>
      <c r="E40" s="212"/>
      <c r="F40" s="63"/>
      <c r="G40" s="63" t="s">
        <v>109</v>
      </c>
      <c r="H40" s="234" t="n">
        <f aca="false">A40/1.2</f>
        <v>15000</v>
      </c>
      <c r="I40" s="234" t="n">
        <f aca="false">H39-I39</f>
        <v>-3736.29651914099</v>
      </c>
      <c r="J40" s="63" t="n">
        <v>30000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133.98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12349.016529922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36528.483470078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1148.54199265886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1282.52199265886</v>
      </c>
      <c r="I48" s="234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1282.52199265886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57885</v>
      </c>
      <c r="C61" s="211"/>
      <c r="D61" s="211"/>
      <c r="E61" s="212"/>
      <c r="F61" s="63"/>
      <c r="G61" s="210" t="s">
        <v>14</v>
      </c>
      <c r="H61" s="277" t="n">
        <f aca="false">G18</f>
        <v>57885</v>
      </c>
      <c r="I61" s="211"/>
      <c r="J61" s="211"/>
      <c r="K61" s="212"/>
      <c r="L61" s="63"/>
      <c r="M61" s="210" t="s">
        <v>14</v>
      </c>
      <c r="N61" s="277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0.103541666666667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5993.509375</v>
      </c>
      <c r="C64" s="211" t="n">
        <v>10000</v>
      </c>
      <c r="D64" s="277" t="n">
        <f aca="false">B64-A143</f>
        <v>5993.509375</v>
      </c>
      <c r="E64" s="212"/>
      <c r="F64" s="63"/>
      <c r="G64" s="310" t="s">
        <v>93</v>
      </c>
      <c r="H64" s="129" t="n">
        <f aca="false">H61*H63</f>
        <v>5993.509375</v>
      </c>
      <c r="I64" s="211"/>
      <c r="J64" s="277" t="n">
        <f aca="false">H64-G145</f>
        <v>5993.509375</v>
      </c>
      <c r="K64" s="212"/>
      <c r="L64" s="63"/>
      <c r="M64" s="310" t="s">
        <v>93</v>
      </c>
      <c r="N64" s="129" t="n">
        <f aca="false">N61*N63</f>
        <v>5993.509375</v>
      </c>
      <c r="O64" s="211"/>
      <c r="P64" s="277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0.0195833333333333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1133.58125</v>
      </c>
      <c r="C67" s="211"/>
      <c r="D67" s="277"/>
      <c r="E67" s="212"/>
      <c r="F67" s="63"/>
      <c r="G67" s="310" t="s">
        <v>96</v>
      </c>
      <c r="H67" s="129" t="n">
        <f aca="false">(H61*H66)/1.2</f>
        <v>944.651041666667</v>
      </c>
      <c r="I67" s="211"/>
      <c r="J67" s="277"/>
      <c r="K67" s="212"/>
      <c r="L67" s="63"/>
      <c r="M67" s="310" t="s">
        <v>96</v>
      </c>
      <c r="N67" s="129" t="n">
        <f aca="false">(N61*N66)/1.2</f>
        <v>944.651041666667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70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175</v>
      </c>
      <c r="C73" s="211"/>
      <c r="D73" s="277" t="n">
        <f aca="false">B73+B71</f>
        <v>375</v>
      </c>
      <c r="E73" s="212"/>
      <c r="F73" s="63"/>
      <c r="G73" s="310" t="s">
        <v>102</v>
      </c>
      <c r="H73" s="129" t="n">
        <f aca="false">H72*H29</f>
        <v>157.5</v>
      </c>
      <c r="I73" s="211"/>
      <c r="J73" s="277" t="n">
        <f aca="false">H73+H71</f>
        <v>317.5</v>
      </c>
      <c r="K73" s="212"/>
      <c r="L73" s="63"/>
      <c r="M73" s="310" t="s">
        <v>102</v>
      </c>
      <c r="N73" s="129" t="n">
        <f aca="false">N72*H29</f>
        <v>157.5</v>
      </c>
      <c r="O73" s="211"/>
      <c r="P73" s="277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13" t="s">
        <v>278</v>
      </c>
      <c r="B74" s="414" t="n">
        <v>0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15" t="s">
        <v>279</v>
      </c>
      <c r="B75" s="416" t="n">
        <v>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17" t="s">
        <v>280</v>
      </c>
      <c r="B76" s="418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330</v>
      </c>
      <c r="I76" s="211"/>
      <c r="J76" s="277" t="n">
        <f aca="false">H76</f>
        <v>330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127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7435.17604166667</v>
      </c>
      <c r="C81" s="211"/>
      <c r="D81" s="211"/>
      <c r="E81" s="212"/>
      <c r="F81" s="63"/>
      <c r="G81" s="422" t="s">
        <v>105</v>
      </c>
      <c r="H81" s="423" t="n">
        <f aca="false">SUM(J64:J80)</f>
        <v>7041.009375</v>
      </c>
      <c r="I81" s="211"/>
      <c r="J81" s="211"/>
      <c r="K81" s="212"/>
      <c r="L81" s="63"/>
      <c r="M81" s="422" t="s">
        <v>105</v>
      </c>
      <c r="N81" s="42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212.433601190476</v>
      </c>
      <c r="C82" s="211"/>
      <c r="D82" s="211"/>
      <c r="E82" s="212"/>
      <c r="F82" s="63"/>
      <c r="G82" s="210" t="s">
        <v>106</v>
      </c>
      <c r="H82" s="419" t="n">
        <f aca="false">H81/H29</f>
        <v>201.171696428571</v>
      </c>
      <c r="I82" s="211"/>
      <c r="J82" s="211"/>
      <c r="K82" s="212"/>
      <c r="L82" s="63"/>
      <c r="M82" s="210" t="s">
        <v>106</v>
      </c>
      <c r="N82" s="41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1148.54199265886</v>
      </c>
      <c r="C83" s="211"/>
      <c r="D83" s="211"/>
      <c r="E83" s="212"/>
      <c r="F83" s="63"/>
      <c r="G83" s="424" t="s">
        <v>107</v>
      </c>
      <c r="H83" s="425" t="n">
        <f aca="false">H47</f>
        <v>1148.54199265886</v>
      </c>
      <c r="I83" s="211"/>
      <c r="J83" s="211"/>
      <c r="K83" s="212"/>
      <c r="L83" s="63"/>
      <c r="M83" s="424" t="s">
        <v>107</v>
      </c>
      <c r="N83" s="425" t="n">
        <f aca="false">H47</f>
        <v>1148.54199265886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</f>
        <v>47634.1457847267</v>
      </c>
      <c r="C85" s="211"/>
      <c r="D85" s="211"/>
      <c r="E85" s="212"/>
      <c r="F85" s="63"/>
      <c r="G85" s="404" t="s">
        <v>117</v>
      </c>
      <c r="H85" s="127" t="n">
        <f aca="false">((H83*H29)+H81)*1.2</f>
        <v>56687.9749416721</v>
      </c>
      <c r="I85" s="211"/>
      <c r="J85" s="211"/>
      <c r="K85" s="212"/>
      <c r="L85" s="63"/>
      <c r="M85" s="404" t="s">
        <v>117</v>
      </c>
      <c r="N85" s="127" t="n">
        <f aca="false">((N83*H29)+N81)</f>
        <v>46909.9791180601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(B85/(1-B70))*B70</f>
        <v>403.51636203278</v>
      </c>
      <c r="C86" s="211"/>
      <c r="D86" s="211"/>
      <c r="E86" s="212"/>
      <c r="F86" s="63"/>
      <c r="G86" s="210" t="s">
        <v>118</v>
      </c>
      <c r="H86" s="419" t="n">
        <f aca="false">((((H83*H29)+H81))/(1-H70))*H70</f>
        <v>400.177314029553</v>
      </c>
      <c r="I86" s="211"/>
      <c r="J86" s="211"/>
      <c r="K86" s="212"/>
      <c r="L86" s="63"/>
      <c r="M86" s="210" t="s">
        <v>118</v>
      </c>
      <c r="N86" s="419" t="n">
        <f aca="false">(N85/(1-N70))*N70</f>
        <v>397.381831980339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IF(B110="YES",((B85+B86)-E114),(B85+B86))</f>
        <v>48037.6621467595</v>
      </c>
      <c r="C87" s="211"/>
      <c r="D87" s="211"/>
      <c r="E87" s="212"/>
      <c r="F87" s="63"/>
      <c r="G87" s="310" t="s">
        <v>119</v>
      </c>
      <c r="H87" s="129" t="n">
        <f aca="false">IF(H110="YES",((H85+H86)-K114),(H85+H86))</f>
        <v>57088.1522557016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47307.3609500404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(D40+(D40*B105))/(B58), (D40+(D40*B105))/(B57+B58))*(C45/100)</f>
        <v>174.174</v>
      </c>
      <c r="C89" s="211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168.8148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140.679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1372.50463276456</v>
      </c>
      <c r="C90" s="211"/>
      <c r="D90" s="211"/>
      <c r="E90" s="212"/>
      <c r="F90" s="63"/>
      <c r="G90" s="427" t="s">
        <v>121</v>
      </c>
      <c r="H90" s="428" t="n">
        <f aca="false">IF(H99=Y98, (H87-J105)/(H58), H87/(H57+H58))</f>
        <v>1427.20380639254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1182.68402375101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1546.67863276456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1596.01860639254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1323.36302375101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286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131</v>
      </c>
      <c r="C99" s="331"/>
      <c r="D99" s="103" t="n">
        <v>1000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400</v>
      </c>
      <c r="C102" s="103"/>
      <c r="D102" s="103" t="n">
        <v>200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34" t="n">
        <v>0.3</v>
      </c>
      <c r="C105" s="334"/>
      <c r="D105" s="103" t="n">
        <v>200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292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293</v>
      </c>
      <c r="B108" s="213"/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19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-2800.01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35</v>
      </c>
      <c r="C125" s="342"/>
      <c r="D125" s="341" t="n">
        <f aca="false">B160</f>
        <v>35000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1427.20380639254</v>
      </c>
      <c r="H127" s="174" t="n">
        <f aca="false">IF(G105="YES", H89*H57, 0)</f>
        <v>1012.8888</v>
      </c>
      <c r="I127" s="174"/>
      <c r="J127" s="349" t="n">
        <f aca="false">H91</f>
        <v>1596.01860639254</v>
      </c>
      <c r="K127" s="212"/>
      <c r="L127" s="63"/>
      <c r="M127" s="348" t="n">
        <f aca="false">N90</f>
        <v>1182.68402375101</v>
      </c>
      <c r="N127" s="174" t="n">
        <f aca="false">IF(M105="YES", N89*N57, 0)</f>
        <v>844.074</v>
      </c>
      <c r="O127" s="174"/>
      <c r="P127" s="174" t="n">
        <f aca="false">N91</f>
        <v>1323.36302375101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1372.50463276456</v>
      </c>
      <c r="B128" s="338" t="n">
        <f aca="false">IF(A105="YES", B89, 0)</f>
        <v>174.174</v>
      </c>
      <c r="C128" s="342"/>
      <c r="D128" s="338" t="n">
        <f aca="false">B91</f>
        <v>1546.67863276456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1372.50463276456</v>
      </c>
      <c r="C131" s="280"/>
      <c r="D131" s="38" t="n">
        <f aca="false">IF(A105="YES", B89*B57, 0)</f>
        <v>174.174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8563.22283835524</v>
      </c>
      <c r="H133" s="99" t="n">
        <f aca="false">IF(G105="YES", H89*H57, 0)</f>
        <v>1012.8888</v>
      </c>
      <c r="I133" s="217"/>
      <c r="J133" s="181" t="n">
        <f aca="false">H91*H57</f>
        <v>9576.11163835524</v>
      </c>
      <c r="K133" s="212"/>
      <c r="L133" s="63"/>
      <c r="M133" s="182" t="n">
        <f aca="false">N90*N57</f>
        <v>7096.10414250606</v>
      </c>
      <c r="N133" s="99" t="n">
        <f aca="false">IF(M105="YES", N89*N57, 0)</f>
        <v>844.074</v>
      </c>
      <c r="O133" s="217"/>
      <c r="P133" s="181" t="n">
        <f aca="false">N91*N57</f>
        <v>7940.17814250606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1546.67863276456</v>
      </c>
      <c r="B134" s="38" t="n">
        <f aca="false">E114</f>
        <v>4000</v>
      </c>
      <c r="C134" s="280"/>
      <c r="D134" s="352" t="n">
        <f aca="false">B58</f>
        <v>34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1372.50463276456</v>
      </c>
      <c r="B137" s="38" t="n">
        <f aca="false">IF(A105="YES", B89, 0)</f>
        <v>174.174</v>
      </c>
      <c r="C137" s="280"/>
      <c r="D137" s="38" t="n">
        <f aca="false">B91</f>
        <v>1546.67863276456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IF(A105="YES", G18*0.000002, 0)*1.2*100</f>
        <v>13.8924</v>
      </c>
      <c r="C140" s="280"/>
      <c r="D140" s="358" t="n">
        <f aca="false">A140+B140</f>
        <v>55.5696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((B36*H105)*0.1)*(G130), 0)</f>
        <v>93.786</v>
      </c>
      <c r="H142" s="99" t="n">
        <f aca="false">G102-100</f>
        <v>99.99</v>
      </c>
      <c r="I142" s="99"/>
      <c r="J142" s="99" t="n">
        <f aca="false">(H139+J139+G142+H142)-H145</f>
        <v>1138.42704166667</v>
      </c>
      <c r="K142" s="101"/>
      <c r="L142" s="63"/>
      <c r="M142" s="107" t="n">
        <f aca="false">IF(M105="YES", ((B36*N105)*0.1)*(M130), 0)</f>
        <v>93.786</v>
      </c>
      <c r="N142" s="99" t="n">
        <f aca="false">M102-100</f>
        <v>99.99</v>
      </c>
      <c r="O142" s="99"/>
      <c r="P142" s="99" t="n">
        <f aca="false">(N139+P139+M142+N142)-N145</f>
        <v>1138.42704166667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35</v>
      </c>
      <c r="H152" s="74" t="n">
        <f aca="false">H91</f>
        <v>1596.01860639254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1323.36302375101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1546.67863276456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35</v>
      </c>
      <c r="C174" s="369"/>
      <c r="D174" s="341" t="n">
        <f aca="false">D125</f>
        <v>35000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1372.50463276456</v>
      </c>
      <c r="B177" s="367" t="n">
        <f aca="false">IF(A105="YES", B89, 0)</f>
        <v>174.174</v>
      </c>
      <c r="C177" s="369"/>
      <c r="D177" s="367" t="n">
        <f aca="false">B91</f>
        <v>1546.67863276456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1372.50463276456</v>
      </c>
      <c r="C180" s="282"/>
      <c r="D180" s="99" t="n">
        <f aca="false">IF(A105="YES", B89*B57, 0)</f>
        <v>174.174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1546.67863276456</v>
      </c>
      <c r="B183" s="99" t="n">
        <f aca="false">E114</f>
        <v>4000</v>
      </c>
      <c r="C183" s="282"/>
      <c r="D183" s="371" t="n">
        <f aca="false">B58</f>
        <v>34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1372.50463276456</v>
      </c>
      <c r="B186" s="99" t="n">
        <f aca="false">IF(A105="YES", B89, 0)</f>
        <v>174.174</v>
      </c>
      <c r="C186" s="282"/>
      <c r="D186" s="99" t="n">
        <f aca="false">B91</f>
        <v>1546.67863276456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IF(A105="YES", G18*0.000002, 0)*1.2*100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400</v>
      </c>
      <c r="C197" s="99"/>
      <c r="D197" s="99" t="n">
        <f aca="false">IF(A105="YES", (B40*B105)*B125, 0)*0.1</f>
        <v>140.679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1774.25025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5993.509375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1133.58125</v>
      </c>
      <c r="C211" s="337" t="s">
        <v>217</v>
      </c>
      <c r="D211" s="377" t="n">
        <f aca="false">B225+E221+B221+B223</f>
        <v>1746.78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6606.708125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5993.509375</v>
      </c>
      <c r="C217" s="381" t="s">
        <v>221</v>
      </c>
      <c r="D217" s="280"/>
      <c r="E217" s="309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1133.58125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218</v>
      </c>
      <c r="D223" s="280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1406.79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403.51636203278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9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</v>
      </c>
      <c r="C4" s="0" t="n">
        <v>0</v>
      </c>
      <c r="D4" s="0" t="n">
        <v>0</v>
      </c>
      <c r="E4" s="308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347</v>
      </c>
      <c r="C30" s="169"/>
      <c r="D30" s="211"/>
      <c r="E30" s="212"/>
      <c r="F30" s="63"/>
      <c r="G30" s="214" t="s">
        <v>32</v>
      </c>
      <c r="H30" s="456" t="n">
        <v>22000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28900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1334.55835324858</v>
      </c>
      <c r="E33" s="212"/>
      <c r="F33" s="63"/>
      <c r="G33" s="215" t="s">
        <v>349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1334.55835324858</v>
      </c>
      <c r="B36" s="99" t="str">
        <f aca="false">IF(B26="YES", H42, "")</f>
        <v/>
      </c>
      <c r="C36" s="217"/>
      <c r="D36" s="181" t="n">
        <f aca="false">H31</f>
        <v>28900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50231.2921912742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28900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(A40)/1.2</f>
        <v>24083.3333333333</v>
      </c>
      <c r="I40" s="234" t="n">
        <f aca="false">H39-I39</f>
        <v>-1353.79219127425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21269.4741156504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509" t="n">
        <v>100</v>
      </c>
      <c r="D45" s="509"/>
      <c r="E45" s="212"/>
      <c r="F45" s="63"/>
      <c r="G45" s="63" t="s">
        <v>369</v>
      </c>
      <c r="H45" s="234" t="n">
        <f aca="false">(H39-H44)</f>
        <v>27608.0258843496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1334.55835324858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1334.55835324858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1334.55835324858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57885</v>
      </c>
      <c r="C61" s="211"/>
      <c r="D61" s="211"/>
      <c r="E61" s="212"/>
      <c r="F61" s="63"/>
      <c r="G61" s="210" t="s">
        <v>14</v>
      </c>
      <c r="H61" s="277" t="n">
        <f aca="false">G18</f>
        <v>57885</v>
      </c>
      <c r="I61" s="211"/>
      <c r="J61" s="211"/>
      <c r="K61" s="212"/>
      <c r="L61" s="63"/>
      <c r="M61" s="210" t="s">
        <v>14</v>
      </c>
      <c r="N61" s="277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0.0845833333333333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0.0845833333333333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4896.10625</v>
      </c>
      <c r="C64" s="211" t="n">
        <v>10000</v>
      </c>
      <c r="D64" s="277" t="n">
        <f aca="false">B64-A143</f>
        <v>4896.10625</v>
      </c>
      <c r="E64" s="465" t="n">
        <f aca="false">D64/(B58+B57)</f>
        <v>222.550284090909</v>
      </c>
      <c r="F64" s="63"/>
      <c r="G64" s="310" t="s">
        <v>93</v>
      </c>
      <c r="H64" s="129" t="n">
        <f aca="false">H61*H63</f>
        <v>4896.10625</v>
      </c>
      <c r="I64" s="211"/>
      <c r="J64" s="277" t="n">
        <f aca="false">H64-G145</f>
        <v>4896.10625</v>
      </c>
      <c r="K64" s="212"/>
      <c r="L64" s="63"/>
      <c r="M64" s="310" t="s">
        <v>93</v>
      </c>
      <c r="N64" s="129" t="n">
        <f aca="false">N61*N63</f>
        <v>4896.10625</v>
      </c>
      <c r="O64" s="211"/>
      <c r="P64" s="277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0.0141666666666667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820.0375</v>
      </c>
      <c r="C67" s="211"/>
      <c r="D67" s="277"/>
      <c r="E67" s="212"/>
      <c r="F67" s="63"/>
      <c r="G67" s="310" t="s">
        <v>96</v>
      </c>
      <c r="H67" s="129" t="n">
        <f aca="false">(H61*H66)/1.2</f>
        <v>683.364583333333</v>
      </c>
      <c r="I67" s="211"/>
      <c r="J67" s="277"/>
      <c r="K67" s="212"/>
      <c r="L67" s="63"/>
      <c r="M67" s="310" t="s">
        <v>96</v>
      </c>
      <c r="N67" s="129" t="n">
        <f aca="false">(N61*N66)/1.2</f>
        <v>683.364583333333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110</v>
      </c>
      <c r="C73" s="211"/>
      <c r="D73" s="277" t="n">
        <f aca="false">B73+B71</f>
        <v>310</v>
      </c>
      <c r="E73" s="212"/>
      <c r="F73" s="63"/>
      <c r="G73" s="310" t="s">
        <v>102</v>
      </c>
      <c r="H73" s="129" t="n">
        <f aca="false">H72*H29</f>
        <v>99</v>
      </c>
      <c r="I73" s="211"/>
      <c r="J73" s="277" t="n">
        <f aca="false">H73+H71</f>
        <v>259</v>
      </c>
      <c r="K73" s="212"/>
      <c r="L73" s="63"/>
      <c r="M73" s="310" t="s">
        <v>102</v>
      </c>
      <c r="N73" s="129" t="n">
        <f aca="false">N72*H29</f>
        <v>99</v>
      </c>
      <c r="O73" s="211"/>
      <c r="P73" s="277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165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355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476.666666666667</v>
      </c>
      <c r="C76" s="211"/>
      <c r="D76" s="277" t="n">
        <f aca="false">B76</f>
        <v>476.666666666667</v>
      </c>
      <c r="E76" s="212"/>
      <c r="F76" s="63"/>
      <c r="G76" s="310" t="s">
        <v>280</v>
      </c>
      <c r="H76" s="129" t="n">
        <f aca="false">((H74+H75)/12)*(H29-11)</f>
        <v>151.25</v>
      </c>
      <c r="I76" s="211"/>
      <c r="J76" s="277" t="n">
        <f aca="false">H76</f>
        <v>151.25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127" t="n">
        <f aca="false">B102/(1-0.1)</f>
        <v>444.444444444444</v>
      </c>
      <c r="C77" s="211"/>
      <c r="D77" s="277" t="n">
        <f aca="false">B77</f>
        <v>444.444444444444</v>
      </c>
      <c r="E77" s="465" t="n">
        <f aca="false">D77/(B58+B57)</f>
        <v>20.2020202020202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211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211"/>
      <c r="D80" s="277" t="n">
        <f aca="false">B80</f>
        <v>200</v>
      </c>
      <c r="E80" s="465" t="n">
        <f aca="false">(D73+D76+D79+D80)/(B58+B57)</f>
        <v>53.9393939393939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6749.43958333333</v>
      </c>
      <c r="C81" s="211"/>
      <c r="D81" s="211"/>
      <c r="E81" s="465"/>
      <c r="F81" s="63"/>
      <c r="G81" s="422" t="s">
        <v>105</v>
      </c>
      <c r="H81" s="423" t="n">
        <f aca="false">SUM(J64:J80)</f>
        <v>5706.35625</v>
      </c>
      <c r="I81" s="211"/>
      <c r="J81" s="211"/>
      <c r="K81" s="212"/>
      <c r="L81" s="63"/>
      <c r="M81" s="422" t="s">
        <v>105</v>
      </c>
      <c r="N81" s="42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306.792708333333</v>
      </c>
      <c r="C82" s="211"/>
      <c r="D82" s="211"/>
      <c r="E82" s="465"/>
      <c r="F82" s="63"/>
      <c r="G82" s="210" t="s">
        <v>106</v>
      </c>
      <c r="H82" s="419" t="n">
        <f aca="false">H81/H29</f>
        <v>259.379829545455</v>
      </c>
      <c r="I82" s="211"/>
      <c r="J82" s="211"/>
      <c r="K82" s="212"/>
      <c r="L82" s="63"/>
      <c r="M82" s="210" t="s">
        <v>106</v>
      </c>
      <c r="N82" s="41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1334.55835324858</v>
      </c>
      <c r="C83" s="211"/>
      <c r="D83" s="211"/>
      <c r="E83" s="465" t="n">
        <f aca="false">B83+E80+E77+E64</f>
        <v>1631.2500514809</v>
      </c>
      <c r="F83" s="63"/>
      <c r="G83" s="424" t="s">
        <v>107</v>
      </c>
      <c r="H83" s="425" t="n">
        <f aca="false">H47</f>
        <v>1334.55835324858</v>
      </c>
      <c r="I83" s="211"/>
      <c r="J83" s="211"/>
      <c r="K83" s="212"/>
      <c r="L83" s="63"/>
      <c r="M83" s="424" t="s">
        <v>107</v>
      </c>
      <c r="N83" s="425" t="n">
        <f aca="false">H47</f>
        <v>1334.55835324858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((B83*H29)+B81)*1.2</f>
        <v>43331.6680257625</v>
      </c>
      <c r="C85" s="211"/>
      <c r="D85" s="211"/>
      <c r="E85" s="465" t="n">
        <f aca="false">B85/(B58+B57)</f>
        <v>1969.62127389829</v>
      </c>
      <c r="F85" s="63"/>
      <c r="G85" s="404" t="s">
        <v>117</v>
      </c>
      <c r="H85" s="127" t="n">
        <f aca="false">((H83*H29)+H81)*1.2</f>
        <v>42079.9680257624</v>
      </c>
      <c r="I85" s="211"/>
      <c r="J85" s="211"/>
      <c r="K85" s="212"/>
      <c r="L85" s="63"/>
      <c r="M85" s="404" t="s">
        <v>117</v>
      </c>
      <c r="N85" s="127" t="n">
        <f aca="false">((N83*H29)+N81)</f>
        <v>34915.3900214687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((((B83*H29)+B81))/(1-B70))*B70</f>
        <v>305.891161940638</v>
      </c>
      <c r="C86" s="211"/>
      <c r="D86" s="211"/>
      <c r="E86" s="465" t="n">
        <f aca="false">B86/(B58+B57)</f>
        <v>13.9041437245745</v>
      </c>
      <c r="F86" s="63"/>
      <c r="G86" s="210" t="s">
        <v>118</v>
      </c>
      <c r="H86" s="419" t="n">
        <f aca="false">((((H83*H29)+H81))/(1-H70))*H70</f>
        <v>297.055038503769</v>
      </c>
      <c r="I86" s="211"/>
      <c r="J86" s="211"/>
      <c r="K86" s="212"/>
      <c r="L86" s="63"/>
      <c r="M86" s="210" t="s">
        <v>118</v>
      </c>
      <c r="N86" s="419" t="n">
        <f aca="false">(N85/(1-N70))*N70</f>
        <v>295.773775897879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IF(B110="YES",((B85+B86)-E114),(B85+B86))</f>
        <v>43637.5591877031</v>
      </c>
      <c r="C87" s="211"/>
      <c r="D87" s="211"/>
      <c r="E87" s="465" t="n">
        <f aca="false">E86+E85</f>
        <v>1983.52541762287</v>
      </c>
      <c r="F87" s="63"/>
      <c r="G87" s="310" t="s">
        <v>119</v>
      </c>
      <c r="H87" s="129" t="n">
        <f aca="false">IF(H110="YES",((H85+H86)-K114),(H85+H86))</f>
        <v>42377.0230642662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35211.1637973666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(D40+(D40*B105))/(B58), (D40+(D40*B105))/(B57+B58))*1.2*(C45/100)</f>
        <v>0</v>
      </c>
      <c r="C89" s="211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0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1983.52541762287</v>
      </c>
      <c r="C90" s="211"/>
      <c r="D90" s="211"/>
      <c r="E90" s="212"/>
      <c r="F90" s="63"/>
      <c r="G90" s="427" t="s">
        <v>121</v>
      </c>
      <c r="H90" s="428" t="n">
        <f aca="false">IF(H99=Y98, (H87-J105)/(H58), H87/(H57+H58))</f>
        <v>1569.5193727506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1304.11717768024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1983.52541762287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1569.5193727506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1304.11717768024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285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239.99</v>
      </c>
      <c r="B102" s="103" t="n">
        <v>400</v>
      </c>
      <c r="C102" s="103"/>
      <c r="D102" s="103" t="n">
        <v>200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19</v>
      </c>
      <c r="B105" s="334" t="n">
        <v>0</v>
      </c>
      <c r="C105" s="334"/>
      <c r="D105" s="103" t="s">
        <v>340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293</v>
      </c>
      <c r="B108" s="213"/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19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((E118/1.2)+E117)-(D115-E113)</f>
        <v>-800.008333333333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22</v>
      </c>
      <c r="C125" s="342"/>
      <c r="D125" s="341" t="n">
        <f aca="false">B160</f>
        <v>22000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1569.5193727506</v>
      </c>
      <c r="H127" s="174" t="n">
        <f aca="false">IF(G105="YES", H89*H57, 0)</f>
        <v>0</v>
      </c>
      <c r="I127" s="174"/>
      <c r="J127" s="349" t="n">
        <f aca="false">H91</f>
        <v>1569.5193727506</v>
      </c>
      <c r="K127" s="212"/>
      <c r="L127" s="63"/>
      <c r="M127" s="348" t="n">
        <f aca="false">N90</f>
        <v>1304.11717768024</v>
      </c>
      <c r="N127" s="174" t="n">
        <f aca="false">IF(M105="YES", N89*N57, 0)</f>
        <v>0</v>
      </c>
      <c r="O127" s="174"/>
      <c r="P127" s="174" t="n">
        <f aca="false">N91</f>
        <v>1304.11717768024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1983.52541762287</v>
      </c>
      <c r="B128" s="338" t="n">
        <f aca="false">IF(A105="YES", B89, 0)</f>
        <v>0</v>
      </c>
      <c r="C128" s="342"/>
      <c r="D128" s="338" t="n">
        <f aca="false">B91</f>
        <v>1983.52541762287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17851.7287586058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9417.1162365036</v>
      </c>
      <c r="H133" s="99" t="n">
        <f aca="false">IF(G105="YES", H89*H57, 0)</f>
        <v>0</v>
      </c>
      <c r="I133" s="217"/>
      <c r="J133" s="181" t="n">
        <f aca="false">H91*H57</f>
        <v>9417.1162365036</v>
      </c>
      <c r="K133" s="212"/>
      <c r="L133" s="63"/>
      <c r="M133" s="182" t="n">
        <f aca="false">N90*N57</f>
        <v>7824.70306608146</v>
      </c>
      <c r="N133" s="99" t="n">
        <f aca="false">IF(M105="YES", N89*N57, 0)</f>
        <v>0</v>
      </c>
      <c r="O133" s="217"/>
      <c r="P133" s="181" t="n">
        <f aca="false">N91*N57</f>
        <v>7824.70306608146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17851.7287586058</v>
      </c>
      <c r="B134" s="38" t="n">
        <f aca="false">E114</f>
        <v>4000</v>
      </c>
      <c r="C134" s="280"/>
      <c r="D134" s="352" t="n">
        <f aca="false">B58</f>
        <v>13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1983.52541762287</v>
      </c>
      <c r="B137" s="38" t="n">
        <f aca="false">IF(A105="YES", B89, 0)</f>
        <v>0</v>
      </c>
      <c r="C137" s="280"/>
      <c r="D137" s="38" t="n">
        <f aca="false">B91</f>
        <v>1983.52541762287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IF(A105="YES", G18*0.000002, 0)*1.2*100</f>
        <v>0</v>
      </c>
      <c r="C140" s="280"/>
      <c r="D140" s="358" t="n">
        <f aca="false">A140+B140</f>
        <v>41.6772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1320.02916666667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22</v>
      </c>
      <c r="H152" s="74" t="n">
        <f aca="false">H91</f>
        <v>1569.5193727506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1304.11717768024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1983.52541762287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22</v>
      </c>
      <c r="C174" s="369"/>
      <c r="D174" s="341" t="n">
        <f aca="false">D125</f>
        <v>22000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1983.52541762287</v>
      </c>
      <c r="B177" s="367" t="n">
        <f aca="false">IF(A105="YES", B89, 0)</f>
        <v>0</v>
      </c>
      <c r="C177" s="369"/>
      <c r="D177" s="367" t="n">
        <f aca="false">B91</f>
        <v>1983.52541762287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Terminal pause with 9 down </v>
      </c>
      <c r="B180" s="99" t="n">
        <f aca="false">B90*B57</f>
        <v>17851.7287586058</v>
      </c>
      <c r="C180" s="282"/>
      <c r="D180" s="99" t="n">
        <f aca="false">IF(A105="YES", B89*B57,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17851.7287586058</v>
      </c>
      <c r="B183" s="99" t="n">
        <f aca="false">E114</f>
        <v>4000</v>
      </c>
      <c r="C183" s="282"/>
      <c r="D183" s="371" t="n">
        <f aca="false">B58</f>
        <v>13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1983.52541762287</v>
      </c>
      <c r="B186" s="99" t="n">
        <f aca="false">IF(A105="YES", B89, 0)</f>
        <v>0</v>
      </c>
      <c r="C186" s="282"/>
      <c r="D186" s="99" t="n">
        <f aca="false">B91</f>
        <v>1983.52541762287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IF(A105="YES", G18*0.000002, 0)*1.2*100</f>
        <v>0</v>
      </c>
      <c r="C189" s="282"/>
      <c r="D189" s="375" t="n">
        <f aca="false">A189+B189</f>
        <v>41.6772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1320.02916666667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4896.10625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820.0375</v>
      </c>
      <c r="C211" s="337" t="s">
        <v>217</v>
      </c>
      <c r="D211" s="377" t="n">
        <f aca="false">B225+E221+B221+B223</f>
        <v>339.991666666667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4416.06041666667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4896.10625</v>
      </c>
      <c r="C217" s="381" t="s">
        <v>221</v>
      </c>
      <c r="D217" s="280"/>
      <c r="E217" s="309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218</v>
      </c>
      <c r="D223" s="280"/>
      <c r="E223" s="33" t="n">
        <f aca="false">(B217-B211+D211)</f>
        <v>4416.06041666667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305.891161940638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</v>
      </c>
      <c r="C4" s="0" t="n">
        <v>0</v>
      </c>
      <c r="D4" s="0" t="n">
        <v>0</v>
      </c>
      <c r="E4" s="308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60000</v>
      </c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1000</v>
      </c>
      <c r="C11" s="487"/>
      <c r="D11" s="487"/>
      <c r="E11" s="41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347</v>
      </c>
      <c r="C30" s="169"/>
      <c r="D30" s="211"/>
      <c r="E30" s="212"/>
      <c r="F30" s="63"/>
      <c r="G30" s="214" t="s">
        <v>32</v>
      </c>
      <c r="H30" s="456" t="n">
        <v>22000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28900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831.6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1372.35835324858</v>
      </c>
      <c r="E33" s="212"/>
      <c r="F33" s="63"/>
      <c r="G33" s="215" t="s">
        <v>349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1334.55835324858</v>
      </c>
      <c r="B36" s="99" t="n">
        <f aca="false">IF(B26="YES", H42, "")</f>
        <v>37.8</v>
      </c>
      <c r="C36" s="217"/>
      <c r="D36" s="181" t="n">
        <f aca="false">H31</f>
        <v>28900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49449.3231032324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28900</v>
      </c>
      <c r="B40" s="103" t="n">
        <f aca="false">IF(B26="YES",H42,"0")</f>
        <v>37.8</v>
      </c>
      <c r="C40" s="103"/>
      <c r="D40" s="181" t="n">
        <f aca="false">I32</f>
        <v>831.6</v>
      </c>
      <c r="E40" s="212"/>
      <c r="F40" s="63"/>
      <c r="G40" s="63" t="s">
        <v>109</v>
      </c>
      <c r="H40" s="234" t="n">
        <f aca="false">A40/1.2</f>
        <v>24083.3333333333</v>
      </c>
      <c r="I40" s="234" t="n">
        <f aca="false">H39-I39</f>
        <v>-571.823103232397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37.8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21269.4741156504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27608.0258843496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1334.55835324858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1372.35835324858</v>
      </c>
      <c r="I48" s="234" t="n">
        <f aca="false">I49-H42</f>
        <v>1362.2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1372.35835324858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57885</v>
      </c>
      <c r="C61" s="211"/>
      <c r="D61" s="211"/>
      <c r="E61" s="212"/>
      <c r="F61" s="63"/>
      <c r="G61" s="210" t="s">
        <v>14</v>
      </c>
      <c r="H61" s="277" t="n">
        <f aca="false">G18</f>
        <v>57885</v>
      </c>
      <c r="I61" s="211"/>
      <c r="J61" s="211"/>
      <c r="K61" s="212"/>
      <c r="L61" s="63"/>
      <c r="M61" s="210" t="s">
        <v>14</v>
      </c>
      <c r="N61" s="277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B62+(B62*0.25*((H29/12)-1))</f>
        <v>0.0845833333333333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0.0845833333333333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4896.10625</v>
      </c>
      <c r="C64" s="464" t="n">
        <v>10000</v>
      </c>
      <c r="D64" s="277" t="n">
        <f aca="false">B64</f>
        <v>4896.10625</v>
      </c>
      <c r="E64" s="465" t="n">
        <f aca="false">D64/(B58+B57)</f>
        <v>222.550284090909</v>
      </c>
      <c r="F64" s="63"/>
      <c r="G64" s="310" t="s">
        <v>93</v>
      </c>
      <c r="H64" s="129" t="n">
        <f aca="false">H61*H63</f>
        <v>4896.10625</v>
      </c>
      <c r="I64" s="211"/>
      <c r="J64" s="277" t="n">
        <f aca="false">H64-G145</f>
        <v>4896.10625</v>
      </c>
      <c r="K64" s="212"/>
      <c r="L64" s="63"/>
      <c r="M64" s="310" t="s">
        <v>93</v>
      </c>
      <c r="N64" s="129" t="n">
        <f aca="false">N61*N63</f>
        <v>4896.10625</v>
      </c>
      <c r="O64" s="211"/>
      <c r="P64" s="277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77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0.0141666666666667</v>
      </c>
      <c r="C66" s="466" t="s">
        <v>221</v>
      </c>
      <c r="D66" s="211"/>
      <c r="E66" s="212"/>
      <c r="F66" s="63"/>
      <c r="G66" s="210" t="s">
        <v>95</v>
      </c>
      <c r="H66" s="308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820.0375</v>
      </c>
      <c r="C67" s="467" t="s">
        <v>221</v>
      </c>
      <c r="D67" s="468"/>
      <c r="E67" s="212"/>
      <c r="F67" s="63"/>
      <c r="G67" s="310" t="s">
        <v>96</v>
      </c>
      <c r="H67" s="129" t="n">
        <f aca="false">(H61*H66)/1.2</f>
        <v>683.364583333333</v>
      </c>
      <c r="I67" s="211"/>
      <c r="J67" s="277"/>
      <c r="K67" s="212"/>
      <c r="L67" s="63"/>
      <c r="M67" s="310" t="s">
        <v>96</v>
      </c>
      <c r="N67" s="129" t="n">
        <f aca="false">(N61*N66)/1.2</f>
        <v>683.364583333333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469"/>
      <c r="D68" s="277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110</v>
      </c>
      <c r="C73" s="211"/>
      <c r="D73" s="471" t="n">
        <f aca="false">B73+B71</f>
        <v>310</v>
      </c>
      <c r="E73" s="212" t="s">
        <v>227</v>
      </c>
      <c r="F73" s="63"/>
      <c r="G73" s="310" t="s">
        <v>102</v>
      </c>
      <c r="H73" s="129" t="n">
        <f aca="false">H72*H29</f>
        <v>99</v>
      </c>
      <c r="I73" s="211"/>
      <c r="J73" s="277" t="n">
        <f aca="false">H73+H71</f>
        <v>259</v>
      </c>
      <c r="K73" s="212"/>
      <c r="L73" s="63"/>
      <c r="M73" s="310" t="s">
        <v>102</v>
      </c>
      <c r="N73" s="129" t="n">
        <f aca="false">N72*H29</f>
        <v>99</v>
      </c>
      <c r="O73" s="211"/>
      <c r="P73" s="277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165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355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476.666666666667</v>
      </c>
      <c r="C76" s="211"/>
      <c r="D76" s="277" t="n">
        <f aca="false">B76</f>
        <v>476.666666666667</v>
      </c>
      <c r="E76" s="212"/>
      <c r="F76" s="63"/>
      <c r="G76" s="310" t="s">
        <v>280</v>
      </c>
      <c r="H76" s="129" t="n">
        <f aca="false">((H74+H75)/12)*(H29-11)</f>
        <v>151.25</v>
      </c>
      <c r="I76" s="211"/>
      <c r="J76" s="277" t="n">
        <f aca="false">H76</f>
        <v>151.25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281</v>
      </c>
      <c r="B77" s="127" t="n">
        <f aca="false">B102/(1-0.1)</f>
        <v>444.444444444444</v>
      </c>
      <c r="C77" s="472"/>
      <c r="D77" s="277" t="n">
        <f aca="false">B77</f>
        <v>444.444444444444</v>
      </c>
      <c r="E77" s="465" t="n">
        <f aca="false">D77/(B58+B57)</f>
        <v>20.2020202020202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472"/>
      <c r="D78" s="277" t="n">
        <f aca="false">B78</f>
        <v>222.222222222222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472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53.9393939393939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6749.43958333333</v>
      </c>
      <c r="C81" s="472"/>
      <c r="D81" s="473"/>
      <c r="E81" s="465"/>
      <c r="F81" s="63"/>
      <c r="G81" s="422" t="s">
        <v>105</v>
      </c>
      <c r="H81" s="423" t="n">
        <f aca="false">SUM(J64:J80)</f>
        <v>5706.35625</v>
      </c>
      <c r="I81" s="211"/>
      <c r="J81" s="211"/>
      <c r="K81" s="212"/>
      <c r="L81" s="63"/>
      <c r="M81" s="422" t="s">
        <v>105</v>
      </c>
      <c r="N81" s="42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306.792708333333</v>
      </c>
      <c r="C82" s="472"/>
      <c r="D82" s="211"/>
      <c r="E82" s="465"/>
      <c r="F82" s="63"/>
      <c r="G82" s="210" t="s">
        <v>106</v>
      </c>
      <c r="H82" s="419" t="n">
        <f aca="false">H81/H29</f>
        <v>259.379829545455</v>
      </c>
      <c r="I82" s="211"/>
      <c r="J82" s="211"/>
      <c r="K82" s="212"/>
      <c r="L82" s="63"/>
      <c r="M82" s="210" t="s">
        <v>106</v>
      </c>
      <c r="N82" s="41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1334.55835324858</v>
      </c>
      <c r="C83" s="472"/>
      <c r="D83" s="211"/>
      <c r="E83" s="465" t="n">
        <f aca="false">B83+E80+E77+E64</f>
        <v>1631.2500514809</v>
      </c>
      <c r="F83" s="63"/>
      <c r="G83" s="424" t="s">
        <v>107</v>
      </c>
      <c r="H83" s="425" t="n">
        <f aca="false">H47</f>
        <v>1334.55835324858</v>
      </c>
      <c r="I83" s="211"/>
      <c r="J83" s="211"/>
      <c r="K83" s="212"/>
      <c r="L83" s="63"/>
      <c r="M83" s="424" t="s">
        <v>107</v>
      </c>
      <c r="N83" s="425" t="n">
        <f aca="false">H47</f>
        <v>1334.55835324858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</f>
        <v>36109.723354802</v>
      </c>
      <c r="C85" s="472"/>
      <c r="D85" s="472"/>
      <c r="E85" s="465" t="n">
        <f aca="false">B85/(B58+B57)</f>
        <v>1641.35106158191</v>
      </c>
      <c r="F85" s="63"/>
      <c r="G85" s="404" t="s">
        <v>117</v>
      </c>
      <c r="H85" s="127" t="n">
        <f aca="false">((H83*H29)+H81)*1.2</f>
        <v>42079.9680257624</v>
      </c>
      <c r="I85" s="211"/>
      <c r="J85" s="211"/>
      <c r="K85" s="212"/>
      <c r="L85" s="63"/>
      <c r="M85" s="404" t="s">
        <v>117</v>
      </c>
      <c r="N85" s="127" t="n">
        <f aca="false">((N83*H29)+N81)</f>
        <v>34915.3900214687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(((B83*H29)+B81)/(1-B70))*B70</f>
        <v>305.891161940638</v>
      </c>
      <c r="C86" s="472" t="s">
        <v>230</v>
      </c>
      <c r="D86" s="211"/>
      <c r="E86" s="465" t="n">
        <f aca="false">B86/(B58+B57)</f>
        <v>13.9041437245745</v>
      </c>
      <c r="F86" s="63"/>
      <c r="G86" s="210" t="s">
        <v>118</v>
      </c>
      <c r="H86" s="419" t="n">
        <f aca="false">((((H83*H29)+H81))/(1-H70))*H70</f>
        <v>297.055038503769</v>
      </c>
      <c r="I86" s="211"/>
      <c r="J86" s="211"/>
      <c r="K86" s="212"/>
      <c r="L86" s="63"/>
      <c r="M86" s="210" t="s">
        <v>118</v>
      </c>
      <c r="N86" s="419" t="n">
        <f aca="false">(N85/(1-N70))*N70</f>
        <v>295.773775897879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36415.6145167427</v>
      </c>
      <c r="C87" s="472"/>
      <c r="D87" s="474"/>
      <c r="E87" s="465" t="n">
        <f aca="false">E86+E85</f>
        <v>1655.25520530649</v>
      </c>
      <c r="F87" s="63"/>
      <c r="G87" s="310" t="s">
        <v>119</v>
      </c>
      <c r="H87" s="129" t="n">
        <f aca="false">IF(H110="YES",((H85+H86)-K114),(H85+H86))</f>
        <v>42377.0230642662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35211.1637973666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(I32+(I32*B105))/(B58), (I32+(I32*B105))/(B57+B58))*(C45/100)</f>
        <v>49.14</v>
      </c>
      <c r="C89" s="472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44.352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36.96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1655.25520530649</v>
      </c>
      <c r="C90" s="472"/>
      <c r="D90" s="211"/>
      <c r="E90" s="475"/>
      <c r="F90" s="63"/>
      <c r="G90" s="427" t="s">
        <v>121</v>
      </c>
      <c r="H90" s="428" t="n">
        <f aca="false">IF(H99=Y98, (H87-J105)/(H58), H87/(H57+H58))</f>
        <v>1569.5193727506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1304.11717768024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1704.39520530649</v>
      </c>
      <c r="C91" s="472"/>
      <c r="D91" s="476"/>
      <c r="E91" s="412"/>
      <c r="F91" s="63"/>
      <c r="G91" s="429" t="s">
        <v>122</v>
      </c>
      <c r="H91" s="430" t="n">
        <f aca="false">IF(G105="YES", H90+H89, H90)</f>
        <v>1613.8713727506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1341.07717768024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373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400</v>
      </c>
      <c r="C102" s="103"/>
      <c r="D102" s="103" t="n">
        <v>200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34" t="n">
        <v>0.3</v>
      </c>
      <c r="C105" s="334"/>
      <c r="D105" s="103" t="s">
        <v>340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19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IF(B110="YES",((E118*1.2)+E117)-E114,((E118*1.2)+E117))</f>
        <v>1239.988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22</v>
      </c>
      <c r="C125" s="342"/>
      <c r="D125" s="341" t="n">
        <f aca="false">B160</f>
        <v>22000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1569.5193727506</v>
      </c>
      <c r="H127" s="174" t="n">
        <f aca="false">IF(G105="YES", H89*H57, 0)</f>
        <v>266.112</v>
      </c>
      <c r="I127" s="174"/>
      <c r="J127" s="349" t="n">
        <f aca="false">H91</f>
        <v>1613.8713727506</v>
      </c>
      <c r="K127" s="212"/>
      <c r="L127" s="63"/>
      <c r="M127" s="348" t="n">
        <f aca="false">N90</f>
        <v>1304.11717768024</v>
      </c>
      <c r="N127" s="174" t="n">
        <f aca="false">IF(M105="YES", N89*N57, 0)</f>
        <v>221.76</v>
      </c>
      <c r="O127" s="174"/>
      <c r="P127" s="174" t="n">
        <f aca="false">N91</f>
        <v>1341.07717768024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1655.25520530649</v>
      </c>
      <c r="B128" s="338" t="n">
        <f aca="false">IF(A105="YES", B89, 0)</f>
        <v>49.14</v>
      </c>
      <c r="C128" s="342"/>
      <c r="D128" s="338" t="n">
        <f aca="false">B91</f>
        <v>1704.39520530649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14897.2968477584</v>
      </c>
      <c r="C131" s="280"/>
      <c r="D131" s="38" t="n">
        <f aca="false">IF(A105="YES", B89*B57, 0)</f>
        <v>442.26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9417.1162365036</v>
      </c>
      <c r="H133" s="99" t="n">
        <f aca="false">IF(G105="YES", H89*H57, 0)</f>
        <v>266.112</v>
      </c>
      <c r="I133" s="217"/>
      <c r="J133" s="181" t="n">
        <f aca="false">H91*H57</f>
        <v>9683.2282365036</v>
      </c>
      <c r="K133" s="212"/>
      <c r="L133" s="63"/>
      <c r="M133" s="182" t="n">
        <f aca="false">N90*N57</f>
        <v>7824.70306608146</v>
      </c>
      <c r="N133" s="99" t="n">
        <f aca="false">IF(M105="YES", N89*N57, 0)</f>
        <v>221.76</v>
      </c>
      <c r="O133" s="217"/>
      <c r="P133" s="181" t="n">
        <f aca="false">N91*N57</f>
        <v>8046.46306608146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15339.5568477584</v>
      </c>
      <c r="B134" s="38" t="n">
        <f aca="false">E114</f>
        <v>4000</v>
      </c>
      <c r="C134" s="280"/>
      <c r="D134" s="352" t="n">
        <f aca="false">B58</f>
        <v>13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1655.25520530649</v>
      </c>
      <c r="B137" s="38" t="n">
        <f aca="false">IF(A105="YES", B89, 0)</f>
        <v>49.14</v>
      </c>
      <c r="C137" s="280"/>
      <c r="D137" s="38" t="n">
        <f aca="false">B91</f>
        <v>1704.39520530649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IF(A105="YES", G18*0.000002, 0)*1.2*100</f>
        <v>13.8924</v>
      </c>
      <c r="C140" s="280"/>
      <c r="D140" s="358" t="n">
        <f aca="false">A140+B140</f>
        <v>55.5696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((B36*H105)*0.1)*(G130), 0)</f>
        <v>16.632</v>
      </c>
      <c r="H142" s="99" t="n">
        <f aca="false">G102-100</f>
        <v>99.99</v>
      </c>
      <c r="I142" s="99"/>
      <c r="J142" s="99" t="n">
        <f aca="false">(H139+J139+G142+H142)-H145</f>
        <v>799.986583333333</v>
      </c>
      <c r="K142" s="101"/>
      <c r="L142" s="63"/>
      <c r="M142" s="107" t="n">
        <f aca="false">IF(M105="YES", ((B36*N105)*0.1)*(M130), 0)</f>
        <v>16.632</v>
      </c>
      <c r="N142" s="99" t="n">
        <f aca="false">M102-100</f>
        <v>99.99</v>
      </c>
      <c r="O142" s="99"/>
      <c r="P142" s="99" t="n">
        <f aca="false">(N139+P139+M142+N142)-N145</f>
        <v>799.986583333333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99" t="n">
        <f aca="false">B102</f>
        <v>400</v>
      </c>
      <c r="C148" s="38"/>
      <c r="D148" s="38" t="n">
        <f aca="false">IF(A105="YES", (B40*B105)*B125, 0)*0.1</f>
        <v>24.948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1344.9755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22</v>
      </c>
      <c r="H152" s="74" t="n">
        <f aca="false">H91</f>
        <v>1613.8713727506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1341.07717768024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1704.39520530649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22</v>
      </c>
      <c r="C174" s="369"/>
      <c r="D174" s="341" t="n">
        <f aca="false">D125</f>
        <v>22000</v>
      </c>
      <c r="E174" s="339"/>
      <c r="F174" s="63"/>
      <c r="G174" s="452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1655.25520530649</v>
      </c>
      <c r="B177" s="367" t="n">
        <f aca="false">IF(A105="YES", B89, 0)</f>
        <v>49.14</v>
      </c>
      <c r="C177" s="369"/>
      <c r="D177" s="367" t="n">
        <f aca="false">B91</f>
        <v>1704.39520530649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Terminal pause with 9 down </v>
      </c>
      <c r="B180" s="99" t="n">
        <f aca="false">B90*B57</f>
        <v>14897.2968477584</v>
      </c>
      <c r="C180" s="282"/>
      <c r="D180" s="99" t="n">
        <f aca="false">IF(A105="YES", B89*B57, 0)</f>
        <v>442.26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15339.5568477584</v>
      </c>
      <c r="B183" s="99" t="n">
        <f aca="false">E114</f>
        <v>4000</v>
      </c>
      <c r="C183" s="282"/>
      <c r="D183" s="371" t="n">
        <f aca="false">B58</f>
        <v>13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1655.25520530649</v>
      </c>
      <c r="B186" s="99" t="n">
        <f aca="false">IF(A105="YES", B89, 0)</f>
        <v>49.14</v>
      </c>
      <c r="C186" s="282"/>
      <c r="D186" s="99" t="n">
        <f aca="false">B91</f>
        <v>1704.39520530649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IF(A105="YES", G18*0.000002, 0)*1.2*100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24.948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1344.9755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4896.10625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820.0375</v>
      </c>
      <c r="C211" s="337" t="s">
        <v>217</v>
      </c>
      <c r="D211" s="377" t="n">
        <f aca="false">B225+E221+B221+B223</f>
        <v>589.47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4665.53875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4896.10625</v>
      </c>
      <c r="C217" s="381" t="s">
        <v>221</v>
      </c>
      <c r="D217" s="280"/>
      <c r="E217" s="309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(B77-(B77*(E219*100)))*0.1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218</v>
      </c>
      <c r="D223" s="280"/>
      <c r="E223" s="33" t="n">
        <f aca="false">(B217-B211+D211)</f>
        <v>4665.53875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249.48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305.891161940638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75" zoomScaleNormal="7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253</v>
      </c>
      <c r="H44" s="234" t="n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n">
        <v>0.01</v>
      </c>
      <c r="C47" s="396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381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365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84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/>
      <c r="D70" s="277" t="n">
        <f aca="false">B70-A151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4711.95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392.6625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10723.95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90.8442718838241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((H44*B35)+((H44*B35)*B111))/(B63+B64)</f>
        <v>31.304347826087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IF(B105=Y104, (B93-D111)/(B64), B93/(B63+B64))</f>
        <v>470.208446603645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501.512794429732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 t="s">
        <v>288</v>
      </c>
      <c r="B105" s="331" t="s">
        <v>264</v>
      </c>
      <c r="C105" s="331"/>
      <c r="D105" s="332" t="n">
        <v>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4" t="n">
        <v>0.2</v>
      </c>
      <c r="C111" s="334"/>
      <c r="D111" s="103" t="n">
        <v>200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19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0</v>
      </c>
      <c r="E118" s="103" t="n">
        <v>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199.99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184</v>
      </c>
      <c r="B130" s="169" t="n">
        <v>1200</v>
      </c>
      <c r="C130" s="169"/>
      <c r="D130" s="211"/>
      <c r="E130" s="212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85</v>
      </c>
      <c r="B132" s="211" t="s">
        <v>86</v>
      </c>
      <c r="C132" s="211"/>
      <c r="D132" s="211" t="s">
        <v>88</v>
      </c>
      <c r="E132" s="212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433" t="s">
        <v>302</v>
      </c>
      <c r="B135" s="434" t="s">
        <v>248</v>
      </c>
      <c r="C135" s="434"/>
      <c r="D135" s="434" t="s">
        <v>122</v>
      </c>
      <c r="E135" s="212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8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308</v>
      </c>
      <c r="B138" s="211" t="s">
        <v>239</v>
      </c>
      <c r="C138" s="211"/>
      <c r="D138" s="211" t="s">
        <v>242</v>
      </c>
      <c r="E138" s="212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250</v>
      </c>
      <c r="B141" s="211" t="s">
        <v>251</v>
      </c>
      <c r="C141" s="211"/>
      <c r="D141" s="211" t="s">
        <v>255</v>
      </c>
      <c r="E141" s="212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142</v>
      </c>
      <c r="B144" s="211" t="s">
        <v>315</v>
      </c>
      <c r="C144" s="211"/>
      <c r="D144" s="211" t="s">
        <v>316</v>
      </c>
      <c r="E144" s="212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318</v>
      </c>
      <c r="B147" s="211" t="s">
        <v>319</v>
      </c>
      <c r="C147" s="211"/>
      <c r="D147" s="211" t="s">
        <v>320</v>
      </c>
      <c r="E147" s="212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322</v>
      </c>
      <c r="B150" s="211" t="s">
        <v>323</v>
      </c>
      <c r="C150" s="211"/>
      <c r="D150" s="211"/>
      <c r="E150" s="212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398" t="s">
        <v>330</v>
      </c>
      <c r="B154" s="211"/>
      <c r="C154" s="211"/>
      <c r="D154" s="399"/>
      <c r="E154" s="400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85</v>
      </c>
      <c r="B156" s="247" t="s">
        <v>86</v>
      </c>
      <c r="C156" s="247"/>
      <c r="D156" s="211"/>
      <c r="E156" s="212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0"/>
      <c r="B163" s="402"/>
      <c r="C163" s="402"/>
      <c r="D163" s="402"/>
      <c r="E163" s="403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D148" activeCellId="0" sqref="D14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510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90" t="n">
        <f aca="false">A44+B44</f>
        <v>1</v>
      </c>
      <c r="E44" s="290"/>
      <c r="F44" s="63"/>
      <c r="G44" s="63" t="s">
        <v>253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365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366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57885</v>
      </c>
      <c r="C61" s="211"/>
      <c r="D61" s="211"/>
      <c r="E61" s="212"/>
      <c r="F61" s="63"/>
      <c r="G61" s="210" t="s">
        <v>14</v>
      </c>
      <c r="H61" s="277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4051.95</v>
      </c>
      <c r="C64" s="211" t="n">
        <v>10000</v>
      </c>
      <c r="D64" s="277" t="n">
        <f aca="false">B64</f>
        <v>4051.95</v>
      </c>
      <c r="E64" s="212"/>
      <c r="F64" s="63"/>
      <c r="G64" s="310" t="s">
        <v>93</v>
      </c>
      <c r="H64" s="129" t="n">
        <f aca="false">H61*H63</f>
        <v>4051.95</v>
      </c>
      <c r="I64" s="211"/>
      <c r="J64" s="277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578.85</v>
      </c>
      <c r="C67" s="211"/>
      <c r="D67" s="277"/>
      <c r="E67" s="212"/>
      <c r="F67" s="63"/>
      <c r="G67" s="310" t="s">
        <v>96</v>
      </c>
      <c r="H67" s="129" t="n">
        <f aca="false">H61*H66</f>
        <v>289.425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0</v>
      </c>
      <c r="C74" s="211"/>
      <c r="D74" s="211"/>
      <c r="E74" s="212"/>
      <c r="F74" s="63"/>
      <c r="G74" s="304" t="s">
        <v>278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 t="n">
        <f aca="false">IF(G18&gt;40000, 325, 0)</f>
        <v>325</v>
      </c>
      <c r="D75" s="211"/>
      <c r="E75" s="212"/>
      <c r="F75" s="63"/>
      <c r="G75" s="407" t="s">
        <v>279</v>
      </c>
      <c r="H75" s="411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39.5833333333333</v>
      </c>
      <c r="I76" s="211"/>
      <c r="J76" s="277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5378.61666666667</v>
      </c>
      <c r="C81" s="211"/>
      <c r="D81" s="211"/>
      <c r="E81" s="212"/>
      <c r="F81" s="63"/>
      <c r="G81" s="422" t="s">
        <v>105</v>
      </c>
      <c r="H81" s="42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448.218055555556</v>
      </c>
      <c r="C82" s="211"/>
      <c r="D82" s="211"/>
      <c r="E82" s="212"/>
      <c r="F82" s="63"/>
      <c r="G82" s="210" t="s">
        <v>106</v>
      </c>
      <c r="H82" s="41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H46</f>
        <v>501</v>
      </c>
      <c r="C83" s="211"/>
      <c r="D83" s="211"/>
      <c r="E83" s="212"/>
      <c r="F83" s="63"/>
      <c r="G83" s="424" t="s">
        <v>107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((B83*(H29)+B81))*1.2</f>
        <v>13668.74</v>
      </c>
      <c r="C85" s="211"/>
      <c r="D85" s="211"/>
      <c r="E85" s="212"/>
      <c r="F85" s="63"/>
      <c r="G85" s="404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(((B83*(H29))+B81)/(1-B70))*B70</f>
        <v>96.4917103670835</v>
      </c>
      <c r="C86" s="211"/>
      <c r="D86" s="211"/>
      <c r="E86" s="212"/>
      <c r="F86" s="63"/>
      <c r="G86" s="210" t="s">
        <v>118</v>
      </c>
      <c r="H86" s="41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9765.23171036708</v>
      </c>
      <c r="C87" s="211"/>
      <c r="D87" s="211"/>
      <c r="E87" s="212"/>
      <c r="F87" s="63"/>
      <c r="G87" s="310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50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422" t="s">
        <v>120</v>
      </c>
      <c r="H89" s="42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IF(B99=Z102, (B87-D105)/(B58), B87/(B57+B58))</f>
        <v>813.769309197257</v>
      </c>
      <c r="C90" s="211"/>
      <c r="D90" s="211"/>
      <c r="E90" s="212"/>
      <c r="F90" s="63"/>
      <c r="G90" s="427" t="s">
        <v>121</v>
      </c>
      <c r="H90" s="42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813.769309197257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285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288</v>
      </c>
      <c r="B99" s="331" t="s">
        <v>131</v>
      </c>
      <c r="C99" s="331"/>
      <c r="D99" s="103" t="n">
        <v>1000</v>
      </c>
      <c r="E99" s="103"/>
      <c r="F99" s="63"/>
      <c r="G99" s="216" t="s">
        <v>288</v>
      </c>
      <c r="H99" s="331" t="s">
        <v>131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33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19</v>
      </c>
      <c r="B105" s="331" t="n">
        <v>0</v>
      </c>
      <c r="C105" s="331"/>
      <c r="D105" s="103" t="n">
        <v>200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293</v>
      </c>
      <c r="B108" s="213"/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294</v>
      </c>
      <c r="B110" s="218" t="s">
        <v>18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239.988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-2760.012</v>
      </c>
      <c r="F119" s="63"/>
      <c r="G119" s="432" t="s">
        <v>295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813.769309197257</v>
      </c>
      <c r="B128" s="338" t="n">
        <f aca="false">IF(A105="YES", B89, 0)</f>
        <v>0</v>
      </c>
      <c r="C128" s="394"/>
      <c r="D128" s="338" t="n">
        <f aca="false">B91</f>
        <v>813.769309197257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299</v>
      </c>
      <c r="H129" s="434" t="s">
        <v>300</v>
      </c>
      <c r="I129" s="434"/>
      <c r="J129" s="434" t="s">
        <v>301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348" t="n">
        <f aca="false">H90</f>
        <v>1171.69258941778</v>
      </c>
      <c r="H130" s="174" t="n">
        <f aca="false">IF(G105="YES", H89*H57, 0)</f>
        <v>0</v>
      </c>
      <c r="I130" s="174"/>
      <c r="J130" s="349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813.769309197257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813.769309197257</v>
      </c>
      <c r="B134" s="38" t="n">
        <f aca="false">E114</f>
        <v>4000</v>
      </c>
      <c r="C134" s="280"/>
      <c r="D134" s="352" t="n">
        <f aca="false">B58</f>
        <v>11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813.769309197257</v>
      </c>
      <c r="B137" s="38" t="n">
        <f aca="false">IF(A105="YES", B89, 0)</f>
        <v>0</v>
      </c>
      <c r="C137" s="280"/>
      <c r="D137" s="38" t="n">
        <f aca="false">B91</f>
        <v>813.769309197257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G18*0.000002 *1.2*100</f>
        <v>13.8924</v>
      </c>
      <c r="C140" s="280"/>
      <c r="D140" s="358" t="n">
        <f aca="false">A140+B140</f>
        <v>55.5696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813.769309197257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128</v>
      </c>
      <c r="B167" s="366" t="s">
        <v>39</v>
      </c>
      <c r="C167" s="367"/>
      <c r="D167" s="366" t="s">
        <v>86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121</v>
      </c>
      <c r="B170" s="366" t="s">
        <v>297</v>
      </c>
      <c r="C170" s="367"/>
      <c r="D170" s="366" t="s">
        <v>298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813.769309197257</v>
      </c>
      <c r="B171" s="367" t="n">
        <f aca="false">IF(A105="YES", B89, 0)</f>
        <v>0</v>
      </c>
      <c r="C171" s="395"/>
      <c r="D171" s="367" t="n">
        <f aca="false">B91</f>
        <v>813.769309197257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6"/>
      <c r="D173" s="370" t="s">
        <v>304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Monthly in advance </v>
      </c>
      <c r="B174" s="99" t="n">
        <f aca="false">B90*B57</f>
        <v>813.769309197257</v>
      </c>
      <c r="C174" s="282"/>
      <c r="D174" s="99" t="n">
        <f aca="false">IF(A105="YES", B89*B57, 0)</f>
        <v>0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309</v>
      </c>
      <c r="B176" s="163" t="s">
        <v>310</v>
      </c>
      <c r="C176" s="285"/>
      <c r="D176" s="237" t="s">
        <v>206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813.769309197257</v>
      </c>
      <c r="B177" s="99" t="n">
        <f aca="false">E114</f>
        <v>4000</v>
      </c>
      <c r="C177" s="282"/>
      <c r="D177" s="371" t="n">
        <f aca="false">B58</f>
        <v>11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73" t="s">
        <v>297</v>
      </c>
      <c r="C179" s="282"/>
      <c r="D179" s="282" t="s">
        <v>298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813.769309197257</v>
      </c>
      <c r="B180" s="99" t="n">
        <f aca="false">IF(A105="YES", B89, 0)</f>
        <v>0</v>
      </c>
      <c r="C180" s="282"/>
      <c r="D180" s="99" t="n">
        <f aca="false">B91</f>
        <v>813.769309197257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317</v>
      </c>
      <c r="C182" s="99"/>
      <c r="D182" s="374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41.6772</v>
      </c>
      <c r="B183" s="375" t="n">
        <f aca="false">G18*0.000002 *1.2*100</f>
        <v>13.8924</v>
      </c>
      <c r="C183" s="282"/>
      <c r="D183" s="375" t="n">
        <f aca="false">A183+B183</f>
        <v>55.5696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321</v>
      </c>
      <c r="B185" s="374" t="s">
        <v>53</v>
      </c>
      <c r="C185" s="99"/>
      <c r="D185" s="374" t="s">
        <v>281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212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213</v>
      </c>
      <c r="B203" s="376" t="n">
        <f aca="false">B209</f>
        <v>0.065</v>
      </c>
      <c r="C203" s="338" t="s">
        <v>215</v>
      </c>
      <c r="D203" s="377" t="n">
        <f aca="false">D64</f>
        <v>4051.95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216</v>
      </c>
      <c r="B205" s="338" t="n">
        <f aca="false">B213</f>
        <v>578.85</v>
      </c>
      <c r="C205" s="337" t="s">
        <v>217</v>
      </c>
      <c r="D205" s="377" t="n">
        <f aca="false">B219+E215+B215+B217</f>
        <v>339.99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218</v>
      </c>
      <c r="B207" s="338" t="n">
        <f aca="false">E217</f>
        <v>3813.09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215</v>
      </c>
      <c r="B211" s="100" t="n">
        <f aca="false">D64</f>
        <v>4051.95</v>
      </c>
      <c r="C211" s="381" t="s">
        <v>221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51" t="s">
        <v>333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333</v>
      </c>
      <c r="B215" s="237" t="n">
        <f aca="false">B191*E213*100</f>
        <v>40</v>
      </c>
      <c r="C215" s="351" t="s">
        <v>223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218</v>
      </c>
      <c r="D217" s="280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335</v>
      </c>
      <c r="B219" s="356" t="n">
        <f aca="false">D191/0.1</f>
        <v>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225</v>
      </c>
      <c r="B223" s="100" t="n">
        <f aca="false">B71</f>
        <v>200</v>
      </c>
      <c r="C223" s="351" t="s">
        <v>226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227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228</v>
      </c>
      <c r="B225" s="386" t="n">
        <f aca="false">B68</f>
        <v>0.0075</v>
      </c>
      <c r="C225" s="351" t="s">
        <v>229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230</v>
      </c>
      <c r="D226" s="358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231</v>
      </c>
      <c r="B227" s="100" t="n">
        <f aca="false">B79</f>
        <v>200</v>
      </c>
      <c r="C227" s="387" t="s">
        <v>337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91" t="s">
        <v>338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9" colorId="64" zoomScale="75" zoomScaleNormal="75" zoomScalePageLayoutView="100" workbookViewId="0">
      <selection pane="topLeft" activeCell="B216" activeCellId="0" sqref="B21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452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90" t="n">
        <f aca="false">A44+B44</f>
        <v>1</v>
      </c>
      <c r="E44" s="290"/>
      <c r="F44" s="63"/>
      <c r="G44" s="63" t="s">
        <v>253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365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63"/>
      <c r="H48" s="234" t="n">
        <f aca="false">(A41*(B58+B57))</f>
        <v>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366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57885</v>
      </c>
      <c r="C61" s="211"/>
      <c r="D61" s="211"/>
      <c r="E61" s="212"/>
      <c r="F61" s="63"/>
      <c r="G61" s="210" t="s">
        <v>14</v>
      </c>
      <c r="H61" s="277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4051.95</v>
      </c>
      <c r="C64" s="211" t="n">
        <v>10000</v>
      </c>
      <c r="D64" s="277" t="n">
        <f aca="false">B64</f>
        <v>4051.95</v>
      </c>
      <c r="E64" s="212"/>
      <c r="F64" s="63"/>
      <c r="G64" s="310" t="s">
        <v>93</v>
      </c>
      <c r="H64" s="129" t="n">
        <f aca="false">H61*H63</f>
        <v>4051.95</v>
      </c>
      <c r="I64" s="211"/>
      <c r="J64" s="277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578.85</v>
      </c>
      <c r="C67" s="211"/>
      <c r="D67" s="277"/>
      <c r="E67" s="212"/>
      <c r="F67" s="63"/>
      <c r="G67" s="310" t="s">
        <v>96</v>
      </c>
      <c r="H67" s="129" t="n">
        <f aca="false">H61*H66</f>
        <v>289.425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0</v>
      </c>
      <c r="C74" s="211"/>
      <c r="D74" s="211"/>
      <c r="E74" s="212"/>
      <c r="F74" s="63"/>
      <c r="G74" s="304" t="s">
        <v>278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/>
      <c r="D75" s="211"/>
      <c r="E75" s="212"/>
      <c r="F75" s="63"/>
      <c r="G75" s="407" t="s">
        <v>279</v>
      </c>
      <c r="H75" s="411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39.5833333333333</v>
      </c>
      <c r="I76" s="211"/>
      <c r="J76" s="277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5378.61666666667</v>
      </c>
      <c r="C81" s="211"/>
      <c r="D81" s="211"/>
      <c r="E81" s="212"/>
      <c r="F81" s="63"/>
      <c r="G81" s="422" t="s">
        <v>105</v>
      </c>
      <c r="H81" s="42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448.218055555556</v>
      </c>
      <c r="C82" s="211"/>
      <c r="D82" s="211"/>
      <c r="E82" s="212"/>
      <c r="F82" s="63"/>
      <c r="G82" s="210" t="s">
        <v>106</v>
      </c>
      <c r="H82" s="41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H46</f>
        <v>501</v>
      </c>
      <c r="C83" s="211"/>
      <c r="D83" s="211"/>
      <c r="E83" s="212"/>
      <c r="F83" s="63"/>
      <c r="G83" s="424" t="s">
        <v>107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((B83*(H29)+B81))</f>
        <v>11390.6166666667</v>
      </c>
      <c r="C85" s="211"/>
      <c r="D85" s="211"/>
      <c r="E85" s="212"/>
      <c r="F85" s="63"/>
      <c r="G85" s="404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(B85/(1-B70))*B70</f>
        <v>96.4917103670835</v>
      </c>
      <c r="C86" s="211"/>
      <c r="D86" s="211"/>
      <c r="E86" s="212"/>
      <c r="F86" s="63"/>
      <c r="G86" s="210" t="s">
        <v>118</v>
      </c>
      <c r="H86" s="41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7487.10837703375</v>
      </c>
      <c r="C87" s="211"/>
      <c r="D87" s="211"/>
      <c r="E87" s="212"/>
      <c r="F87" s="63"/>
      <c r="G87" s="310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50" t="n">
        <f aca="false">IF(B99=Z102,(((H44*B35)+(H44*B35)*(B105/100))/(B58)),(((H44*B35)+(H44*B35)*(B105/100))/(B57+B58)))</f>
        <v>0</v>
      </c>
      <c r="C89" s="211" t="s">
        <v>4</v>
      </c>
      <c r="D89" s="211"/>
      <c r="E89" s="212"/>
      <c r="F89" s="63"/>
      <c r="G89" s="422" t="s">
        <v>120</v>
      </c>
      <c r="H89" s="42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IF(B99=Z102, (B87-D105)/(B58), B87/(B57+B58))</f>
        <v>623.925698086146</v>
      </c>
      <c r="C90" s="211"/>
      <c r="D90" s="211"/>
      <c r="E90" s="212"/>
      <c r="F90" s="63"/>
      <c r="G90" s="427" t="s">
        <v>121</v>
      </c>
      <c r="H90" s="42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623.925698086146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</v>
      </c>
      <c r="E99" s="103"/>
      <c r="F99" s="63"/>
      <c r="G99" s="216" t="s">
        <v>288</v>
      </c>
      <c r="H99" s="331" t="s">
        <v>131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33" t="n">
        <v>199.99</v>
      </c>
      <c r="B102" s="103" t="n">
        <v>400</v>
      </c>
      <c r="C102" s="103"/>
      <c r="D102" s="103" t="n">
        <v>200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19</v>
      </c>
      <c r="B105" s="331" t="n">
        <v>0</v>
      </c>
      <c r="C105" s="331"/>
      <c r="D105" s="103" t="s">
        <v>340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293</v>
      </c>
      <c r="B108" s="213"/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294</v>
      </c>
      <c r="B110" s="218" t="s">
        <v>18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-2800.01</v>
      </c>
      <c r="F119" s="63"/>
      <c r="G119" s="432" t="s">
        <v>295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623.925698086146</v>
      </c>
      <c r="B128" s="338" t="n">
        <f aca="false">IF(A105="YES", B89, 0)</f>
        <v>0</v>
      </c>
      <c r="C128" s="394"/>
      <c r="D128" s="338" t="n">
        <f aca="false">B91</f>
        <v>623.925698086146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299</v>
      </c>
      <c r="H129" s="434" t="s">
        <v>300</v>
      </c>
      <c r="I129" s="434"/>
      <c r="J129" s="434" t="s">
        <v>301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348" t="n">
        <f aca="false">H90</f>
        <v>1171.69258941778</v>
      </c>
      <c r="H130" s="174" t="n">
        <f aca="false">IF(G105="YES", H89*H57, 0)</f>
        <v>0</v>
      </c>
      <c r="I130" s="174"/>
      <c r="J130" s="349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5615.33128277531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5615.33128277531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623.925698086146</v>
      </c>
      <c r="B137" s="38" t="n">
        <f aca="false">IF(A105="YES", B89, 0)</f>
        <v>0</v>
      </c>
      <c r="C137" s="280"/>
      <c r="D137" s="38" t="n">
        <f aca="false">B91</f>
        <v>623.925698086146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G18*0.000002 *1.2*100</f>
        <v>13.8924</v>
      </c>
      <c r="C140" s="280"/>
      <c r="D140" s="358" t="n">
        <f aca="false">A140+B140</f>
        <v>55.5696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623.925698086146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128</v>
      </c>
      <c r="B167" s="366" t="s">
        <v>39</v>
      </c>
      <c r="C167" s="367"/>
      <c r="D167" s="366" t="s">
        <v>86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121</v>
      </c>
      <c r="B170" s="366" t="s">
        <v>297</v>
      </c>
      <c r="C170" s="367"/>
      <c r="D170" s="366" t="s">
        <v>298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623.925698086146</v>
      </c>
      <c r="B171" s="367" t="n">
        <f aca="false">IF(A105="YES", B89, 0)</f>
        <v>0</v>
      </c>
      <c r="C171" s="395"/>
      <c r="D171" s="367" t="n">
        <f aca="false">B91</f>
        <v>623.925698086146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6"/>
      <c r="D173" s="370" t="s">
        <v>304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Terminal pause with 9 down </v>
      </c>
      <c r="B174" s="99" t="n">
        <f aca="false">B90*B57</f>
        <v>5615.33128277531</v>
      </c>
      <c r="C174" s="282"/>
      <c r="D174" s="99" t="n">
        <f aca="false">IF(A105="YES", B89*B57, 0)</f>
        <v>0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309</v>
      </c>
      <c r="B176" s="163" t="s">
        <v>310</v>
      </c>
      <c r="C176" s="285"/>
      <c r="D176" s="237" t="s">
        <v>206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5615.33128277531</v>
      </c>
      <c r="B177" s="99" t="n">
        <f aca="false">E114</f>
        <v>4000</v>
      </c>
      <c r="C177" s="282"/>
      <c r="D177" s="371" t="n">
        <f aca="false">B58</f>
        <v>3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73" t="s">
        <v>297</v>
      </c>
      <c r="C179" s="282"/>
      <c r="D179" s="282" t="s">
        <v>298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623.925698086146</v>
      </c>
      <c r="B180" s="99" t="n">
        <f aca="false">IF(A105="YES", B89, 0)</f>
        <v>0</v>
      </c>
      <c r="C180" s="282"/>
      <c r="D180" s="99" t="n">
        <f aca="false">B91</f>
        <v>623.925698086146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317</v>
      </c>
      <c r="C182" s="99"/>
      <c r="D182" s="374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41.6772</v>
      </c>
      <c r="B183" s="375" t="n">
        <f aca="false">G18*0.000002 *1.2*100</f>
        <v>13.8924</v>
      </c>
      <c r="C183" s="282"/>
      <c r="D183" s="375" t="n">
        <f aca="false">A183+B183</f>
        <v>55.5696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321</v>
      </c>
      <c r="B185" s="374" t="s">
        <v>53</v>
      </c>
      <c r="C185" s="99"/>
      <c r="D185" s="374" t="s">
        <v>281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212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213</v>
      </c>
      <c r="B203" s="376" t="n">
        <f aca="false">H29</f>
        <v>12</v>
      </c>
      <c r="C203" s="338" t="s">
        <v>215</v>
      </c>
      <c r="D203" s="377" t="n">
        <f aca="false">D64</f>
        <v>4051.95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216</v>
      </c>
      <c r="B205" s="338" t="n">
        <f aca="false">B213</f>
        <v>578.85</v>
      </c>
      <c r="C205" s="337" t="s">
        <v>217</v>
      </c>
      <c r="D205" s="377" t="n">
        <f aca="false">B219+E215+B215+B217</f>
        <v>339.99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218</v>
      </c>
      <c r="B207" s="338" t="n">
        <f aca="false">E217</f>
        <v>3813.09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215</v>
      </c>
      <c r="B211" s="100" t="n">
        <f aca="false">D64</f>
        <v>4051.95</v>
      </c>
      <c r="C211" s="381" t="s">
        <v>221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51" t="s">
        <v>333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333</v>
      </c>
      <c r="B215" s="237" t="n">
        <f aca="false">B191*E213*100</f>
        <v>40</v>
      </c>
      <c r="C215" s="351" t="s">
        <v>223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218</v>
      </c>
      <c r="D217" s="280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335</v>
      </c>
      <c r="B219" s="356" t="n">
        <f aca="false">D191/0.1</f>
        <v>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225</v>
      </c>
      <c r="B223" s="100" t="n">
        <f aca="false">B71</f>
        <v>200</v>
      </c>
      <c r="C223" s="351" t="s">
        <v>226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227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228</v>
      </c>
      <c r="B225" s="386" t="n">
        <f aca="false">B68</f>
        <v>0.0075</v>
      </c>
      <c r="C225" s="351" t="s">
        <v>229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230</v>
      </c>
      <c r="D226" s="358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231</v>
      </c>
      <c r="B227" s="100" t="n">
        <f aca="false">B79</f>
        <v>200</v>
      </c>
      <c r="C227" s="387" t="s">
        <v>337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91" t="s">
        <v>338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4413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2023-03-29T12:28:34Z</dcterms:modified>
  <cp:revision>726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