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1"/>
  </bookViews>
  <sheets>
    <sheet name="CP(F2)-PCP_Used_car" sheetId="1" state="visible" r:id="rId2"/>
    <sheet name="CP(F2)-CP_Used_car" sheetId="2" state="visible" r:id="rId3"/>
    <sheet name="HPNR(F3)-PCP_Used_car" sheetId="3" state="visible" r:id="rId4"/>
    <sheet name="HPNR(F3)-CP_Used_car" sheetId="4" state="visible" r:id="rId5"/>
    <sheet name="HPNR(F3)-HPR_Used_car" sheetId="5" state="visible" r:id="rId6"/>
    <sheet name="HPNR(F3)-HPNR_Used_car" sheetId="6" state="visible" r:id="rId7"/>
    <sheet name="CP(F3)-PCH_Used_car" sheetId="7" state="visible" r:id="rId8"/>
    <sheet name="CP(F3)-BCH_Used_car" sheetId="8" state="visible" r:id="rId9"/>
    <sheet name="FL(F3)-FL_Used_car" sheetId="9" state="visible" r:id="rId10"/>
    <sheet name="FL(F3)-PCH_Used_car" sheetId="10" state="visible" r:id="rId11"/>
    <sheet name="FL(F3)-BCH_Used_car" sheetId="11" state="visible" r:id="rId12"/>
    <sheet name="HPNR (F3)-FL_Used_car" sheetId="12" state="visible" r:id="rId13"/>
    <sheet name="HPNR (F3)-PCH_Used_car" sheetId="13" state="visible" r:id="rId14"/>
    <sheet name="HPNR (F3)-BCH_Used_car" sheetId="14" state="visible" r:id="rId15"/>
    <sheet name="PCP_used_car" sheetId="15" state="visible" r:id="rId16"/>
    <sheet name="CP_used_car" sheetId="16" state="visible" r:id="rId17"/>
    <sheet name="HPR_used_car" sheetId="17" state="visible" r:id="rId18"/>
    <sheet name="HPNR_used_car" sheetId="18" state="visible" r:id="rId19"/>
    <sheet name="BCH-F3-PCH_Used_car" sheetId="19" state="visible" r:id="rId20"/>
    <sheet name="BCH-F3-BCH_Used_car" sheetId="20" state="visible" r:id="rId21"/>
    <sheet name="Formula1-FL_Used_car" sheetId="21" state="visible" r:id="rId22"/>
    <sheet name="Formula1-PCH_Used_car" sheetId="22" state="visible" r:id="rId23"/>
    <sheet name="CP (Formula 3) - PCH" sheetId="23" state="visible" r:id="rId24"/>
    <sheet name="CP (Formula 3) - BCH" sheetId="24" state="visible" r:id="rId25"/>
    <sheet name="CP (Formula 2) - CP" sheetId="25" state="visible" r:id="rId26"/>
    <sheet name="CP (Formula 2) - PCP" sheetId="26" state="visible" r:id="rId27"/>
    <sheet name="Formula1-BCH_Used_car" sheetId="27" state="visible" r:id="rId28"/>
    <sheet name="HPNR (Formula 3) - PCP" sheetId="28" state="visible" r:id="rId29"/>
    <sheet name="HPNR (Formula 3) - CP" sheetId="29" state="visible" r:id="rId30"/>
    <sheet name="HPNR (Formula 3) - HPR" sheetId="30" state="visible" r:id="rId31"/>
    <sheet name="HPNR (Formula 3) - FL" sheetId="31" state="visible" r:id="rId32"/>
    <sheet name="HPNR (Formula 3) - PCH" sheetId="32" state="visible" r:id="rId33"/>
    <sheet name="HPNR (Formula 3) - BCH" sheetId="33" state="visible" r:id="rId34"/>
    <sheet name="HPNR (Formula 3) - HPNR" sheetId="34" state="visible" r:id="rId35"/>
    <sheet name="FL (Formula 3) - FL" sheetId="35" state="visible" r:id="rId36"/>
    <sheet name="FL (Formula 3) - PCH" sheetId="36" state="visible" r:id="rId37"/>
    <sheet name="FL (Formula 3) - BCH" sheetId="37" state="visible" r:id="rId38"/>
    <sheet name="HirePurchaseNonRegulated" sheetId="38" state="visible" r:id="rId39"/>
    <sheet name="HirePurchaseRegulated" sheetId="39" state="visible" r:id="rId40"/>
    <sheet name="PersonalContractPurchase" sheetId="40" state="visible" r:id="rId41"/>
    <sheet name="ContractPurchase" sheetId="41" state="visible" r:id="rId42"/>
    <sheet name="Formula1-FL" sheetId="42" state="visible" r:id="rId43"/>
    <sheet name="Formula1-PCH" sheetId="43" state="visible" r:id="rId44"/>
    <sheet name="Formula1-BCH" sheetId="44" state="visible" r:id="rId45"/>
    <sheet name="FL (Formula 3) - BCH, PCH, FL" sheetId="45" state="visible" r:id="rId46"/>
    <sheet name="BCH (Formula 3) - PCH" sheetId="46" state="visible" r:id="rId47"/>
    <sheet name="BCH (Formula 3) - BCH" sheetId="47" state="visible" r:id="rId4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<sst xmlns="http://schemas.openxmlformats.org/spreadsheetml/2006/main" count="22588" uniqueCount="408">
  <si>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</si>
  <si>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</si>
  <si>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</si>
  <si>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</si>
  <si>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</si>
  <si>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</si>
  <si>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</si>
  <si>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</si>
  <si>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</si>
  <si>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</si>
  <si>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</si>
  <si>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</si>
  <si>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</si>
  <si>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</si>
  <si>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</si>
  <si>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</si>
  <si>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</si>
  <si>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</si>
  <si>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</si>
  <si>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</si>
  <si>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</si>
  <si>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</si>
  <si>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</si>
  <si>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</si>
  <si>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</si>
  <si>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</si>
  <si>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</si>
  <si>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</si>
  <si>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</si>
  <si>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</si>
  <si>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</si>
  <si>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</si>
  <si>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</si>
  <si>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</si>
  <si>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</si>
  <si>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</si>
  <si>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</si>
  <si>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</si>
  <si>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</si>
  <si>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</si>
  <si>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</si>
  <si>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</si>
  <si>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</si>
  <si>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</si>
  <si>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</si>
  <si>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</si>
  <si>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</si>
  <si>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</si>
  <si>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</si>
  <si>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</si>
  <si>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</si>
  <si>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</si>
  <si>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</si>
  <si>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</si>
  <si>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</si>
  <si>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</si>
  <si>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</si>
  <si>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</si>
  <si>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</si>
  <si>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</si>
  <si>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</si>
  <si>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</si>
  <si>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</si>
  <si>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</si>
  <si>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</si>
  <si>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</si>
  <si>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</si>
  <si>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</si>
  <si>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</si>
  <si>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</si>
  <si>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</si>
  <si>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</si>
  <si>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</si>
  <si>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</si>
  <si>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</si>
  <si>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</si>
  <si>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</si>
  <si>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</si>
  <si>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</si>
  <si>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</si>
  <si>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</si>
  <si>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</si>
  <si>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</si>
  <si>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</si>
  <si>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</si>
  <si>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</si>
  <si>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</si>
  <si>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</si>
  <si>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</si>
  <si>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</si>
  <si>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</si>
  <si>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</si>
  <si>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</si>
  <si>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</si>
  <si>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</si>
  <si>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</si>
  <si>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</si>
  <si>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</si>
  <si>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</si>
  <si>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</si>
  <si>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</si>
  <si>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</si>
  <si>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</si>
  <si>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</si>
  <si>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</si>
  <si>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</si>
  <si>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</si>
  <si>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</si>
  <si>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</si>
  <si>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</si>
  <si>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</si>
  <si>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</si>
  <si>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</si>
  <si>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</si>
  <si>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</si>
  <si>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</si>
  <si>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</si>
  <si>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</si>
  <si>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</si>
  <si>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</si>
  <si>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</si>
  <si>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</si>
  <si>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</si>
  <si>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</si>
  <si>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</si>
  <si>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</si>
  <si>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</si>
  <si>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</si>
  <si>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</si>
  <si>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</si>
  <si>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</si>
  <si>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</si>
  <si>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</si>
  <si>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</si>
  <si>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</si>
  <si>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</si>
  <si>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</si>
  <si>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</si>
  <si>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</si>
  <si>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</si>
  <si>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</si>
  <si>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</si>
  <si>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</si>
  <si>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</si>
  <si>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</si>
  <si>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</si>
  <si>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</si>
  <si>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</si>
  <si>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</si>
  <si>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</si>
  <si>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</si>
  <si>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</si>
  <si>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</si>
  <si>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</si>
  <si>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</si>
  <si>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</si>
  <si>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</si>
  <si>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</si>
  <si>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</si>
  <si>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</si>
  <si>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</si>
  <si>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</si>
  <si>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</si>
  <si>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</si>
  <si>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</si>
  <si>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</si>
  <si>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</si>
  <si>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</si>
  <si>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</si>
  <si>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</si>
  <si>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</si>
  <si>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</si>
  <si>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</si>
  <si>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</si>
  <si>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</si>
  <si>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</si>
  <si>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</si>
  <si>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</si>
  <si>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</si>
  <si>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</si>
  <si>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</si>
  <si>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</si>
  <si>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</si>
  <si>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</si>
  <si>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</si>
  <si>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</si>
  <si>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</si>
  <si>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</si>
  <si>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</si>
  <si>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</si>
  <si>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</si>
  <si>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</si>
  <si>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</si>
  <si>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</si>
  <si>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</si>
  <si>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</si>
  <si>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</si>
  <si>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</si>
  <si>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</si>
  <si>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</si>
  <si>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</si>
  <si>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</si>
  <si>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</si>
  <si>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</si>
  <si>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</si>
  <si>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</si>
  <si>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</si>
  <si>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</si>
  <si>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</si>
  <si>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</si>
  <si>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</si>
  <si>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</si>
  <si>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</si>
  <si>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</si>
  <si>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</si>
  <si>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</si>
  <si>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</si>
  <si>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</si>
  <si>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</si>
  <si>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</si>
  <si>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</si>
  <si>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</si>
  <si>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</si>
  <si>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</si>
  <si>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</si>
  <si>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</si>
  <si>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</si>
  <si>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</si>
  <si>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</si>
  <si>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</si>
  <si>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</si>
  <si>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</si>
  <si>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</si>
  <si>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</si>
  <si>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</si>
  <si>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</si>
  <si>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</si>
  <si>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</si>
  <si>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</si>
  <si>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</si>
  <si>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</si>
  <si>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</si>
  <si>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</si>
  <si>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</si>
  <si>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</si>
  <si>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</si>
  <si>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</si>
  <si>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</si>
  <si>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</si>
  <si>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</si>
  <si>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</si>
  <si>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</si>
  <si>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</si>
  <si>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</si>
  <si>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</si>
  <si>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</si>
  <si>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</si>
  <si>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</si>
  <si>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</si>
  <si>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</si>
  <si>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</si>
  <si>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</si>
  <si>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</si>
  <si>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</si>
  <si>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</si>
  <si>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</si>
  <si>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</si>
  <si>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</si>
  <si>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</si>
  <si>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</si>
  <si>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</si>
  <si>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</si>
  <si>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</si>
  <si>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</si>
  <si>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</si>
  <si>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</si>
  <si>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</si>
  <si>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</si>
  <si>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</si>
  <si>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</si>
  <si>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</si>
  <si>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</si>
  <si>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Referrer commision</t>
  </si>
  <si>
    <t xml:space="preserve">Refferal commision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</si>
  <si>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</si>
  <si>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</si>
  <si>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</si>
  <si>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</si>
  <si>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</si>
  <si>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</si>
  <si>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</si>
  <si>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</si>
  <si>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With balloon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</si>
  <si>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</si>
  <si>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</si>
  <si>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</si>
  <si>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</si>
  <si>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</si>
  <si>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</si>
  <si>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</si>
  <si>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</si>
  <si>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</si>
  <si>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</si>
  <si>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</si>
  <si>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</si>
  <si>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</si>
  <si>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</si>
  <si>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</si>
  <si>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</si>
  <si>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</si>
  <si>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</si>
  <si>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</si>
  <si>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</si>
  <si>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</si>
  <si>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</si>
  <si>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</si>
  <si>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</si>
  <si>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</si>
  <si>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</si>
  <si>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</si>
  <si>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</si>
  <si>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</si>
  <si>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</si>
  <si>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</si>
  <si>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</si>
  <si>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</si>
  <si>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</si>
  <si>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</si>
  <si>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</si>
  <si>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</si>
  <si>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</si>
  <si>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</si>
  <si>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</si>
  <si>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</si>
  <si>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</si>
  <si>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</si>
  <si>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</si>
  <si>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</si>
  <si>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</si>
  <si>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</si>
  <si>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</si>
  <si>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</si>
  <si>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</si>
  <si>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</si>
  <si>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</si>
  <si>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</si>
  <si>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</si>
  <si>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</si>
  <si>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</si>
  <si>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</si>
  <si>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</si>
  <si>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</si>
  <si>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</si>
  <si>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</si>
  <si>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</si>
  <si>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</si>
  <si>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</si>
  <si>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</si>
  <si>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</si>
  <si>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</si>
  <si>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</si>
  <si>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</si>
  <si>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</si>
  <si>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</si>
  <si>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</si>
  <si>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Upload document</t>
  </si>
  <si>
    <t xml:space="preserve">`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</si>
  <si>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</si>
  <si>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</si>
  <si>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</si>
  <si>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</si>
  <si>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</si>
  <si>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</si>
  <si>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</si>
  <si>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</si>
  <si>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OTR Calculation</t>
  </si>
  <si>
    <t xml:space="preserve">470.00</t>
  </si>
  <si>
    <t xml:space="preserve">48877.50</t>
  </si>
  <si>
    <t xml:space="preserve">5.28</t>
  </si>
  <si>
    <t xml:space="preserve">RFL included?</t>
  </si>
  <si>
    <t>YES</t>
  </si>
  <si>
    <t>0</t>
  </si>
  <si>
    <t>NO</t>
  </si>
  <si>
    <t>60</t>
  </si>
  <si>
    <t>A1 Credit</t>
  </si>
  <si>
    <t>199.99</t>
  </si>
  <si>
    <t>50</t>
  </si>
  <si>
    <t>239.99</t>
  </si>
  <si>
    <t>Limited Credit</t>
  </si>
  <si>
    <t>30</t>
  </si>
  <si>
    <t>100</t>
  </si>
  <si>
    <t>200</t>
  </si>
  <si>
    <t xml:space="preserve"> Terminal pause with 6 down </t>
  </si>
  <si>
    <t>40</t>
  </si>
  <si>
    <t>500</t>
  </si>
  <si>
    <t>5.28</t>
  </si>
  <si>
    <t>12</t>
  </si>
  <si>
    <t>48877.50</t>
  </si>
  <si>
    <t>1000</t>
  </si>
  <si>
    <t>33</t>
  </si>
  <si>
    <t>5000</t>
  </si>
  <si>
    <t>470.00</t>
  </si>
  <si>
    <t>6000</t>
  </si>
  <si>
    <t>10</t>
  </si>
  <si>
    <t>1</t>
  </si>
  <si>
    <t>2</t>
  </si>
  <si>
    <t>70</t>
  </si>
  <si>
    <t>20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</si>
</sst>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#,##0.0000000"/>
    <numFmt numFmtId="174" formatCode="_(* #,##0.00_);_(* \(#,##0.00\);_(* \-??_);_(@_)"/>
    <numFmt numFmtId="175" formatCode="_(* #,##0_);_(* \(#,##0\);_(* \-??_);_(@_)"/>
    <numFmt numFmtId="176" formatCode="\£#,##0.00000"/>
    <numFmt numFmtId="177" formatCode="\£#,##0.0000"/>
    <numFmt numFmtId="178" formatCode="0.0000%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8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sharedStrings.xml" Type="http://schemas.openxmlformats.org/officeDocument/2006/relationships/sharedStrings"/><Relationship Id="rId5" Target="worksheets/sheet4.xml" Type="http://schemas.openxmlformats.org/officeDocument/2006/relationships/worksheet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65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72</v>
      </c>
      <c r="B44" s="100" t="s">
        <v>271</v>
      </c>
      <c r="C44" s="100"/>
      <c r="D44" s="100" t="s">
        <v>271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247.916666666667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250.583333333333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250.583333333333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250.583333333333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1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11</v>
      </c>
      <c r="C64" s="280"/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93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93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93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94</v>
      </c>
      <c r="B71" s="305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80"/>
      <c r="D73" s="32"/>
      <c r="E73" s="283"/>
      <c r="F73" s="265"/>
      <c r="G73" s="298" t="s">
        <v>96</v>
      </c>
      <c r="H73" s="65" t="n">
        <f aca="false">H67*H72</f>
        <v>187.02</v>
      </c>
      <c r="I73" s="280"/>
      <c r="J73" s="32"/>
      <c r="K73" s="283"/>
      <c r="L73" s="265"/>
      <c r="M73" s="298" t="s">
        <v>96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7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105</v>
      </c>
      <c r="H87" s="323" t="n">
        <f aca="false">SUM(J70:J86)</f>
        <v>5744.78</v>
      </c>
      <c r="I87" s="280"/>
      <c r="J87" s="280"/>
      <c r="K87" s="283"/>
      <c r="L87" s="265"/>
      <c r="M87" s="322" t="s">
        <v>105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343.641388888889</v>
      </c>
      <c r="C88" s="280"/>
      <c r="D88" s="280"/>
      <c r="E88" s="283"/>
      <c r="F88" s="265"/>
      <c r="G88" s="281" t="s">
        <v>106</v>
      </c>
      <c r="H88" s="33" t="n">
        <f aca="false">H87/H29</f>
        <v>478.731666666667</v>
      </c>
      <c r="I88" s="280"/>
      <c r="J88" s="280"/>
      <c r="K88" s="283"/>
      <c r="L88" s="265"/>
      <c r="M88" s="281" t="s">
        <v>106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200.583333333333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((B89*H29)+B87)*1.2</f>
        <v>7836.836</v>
      </c>
      <c r="C91" s="280"/>
      <c r="D91" s="280"/>
      <c r="E91" s="283"/>
      <c r="F91" s="265"/>
      <c r="G91" s="301" t="s">
        <v>117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117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118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3892.15856151674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324.346546793062</v>
      </c>
      <c r="C96" s="280"/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402.346546793062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131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n">
        <v>200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11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11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324.346546793062</v>
      </c>
      <c r="B134" s="338" t="n">
        <f aca="false">IF(A111="YES", B95, 0)</f>
        <v>78</v>
      </c>
      <c r="C134" s="342"/>
      <c r="D134" s="338" t="n">
        <f aca="false">B97</f>
        <v>402.346546793062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324.346546793062</v>
      </c>
      <c r="C137" s="280"/>
      <c r="D137" s="38" t="n">
        <f aca="false">IF(A111="YES", B95*B63, 0)</f>
        <v>78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402.346546793062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324.346546793062</v>
      </c>
      <c r="B143" s="38" t="n">
        <f aca="false">IF(A111="YES", B95, 0)</f>
        <v>78</v>
      </c>
      <c r="C143" s="280"/>
      <c r="D143" s="38" t="n">
        <f aca="false">B97</f>
        <v>402.346546793062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402.346546793062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324.346546793062</v>
      </c>
      <c r="B177" s="367" t="n">
        <f aca="false">IF(A111="YES", B95, 0)</f>
        <v>78</v>
      </c>
      <c r="C177" s="369"/>
      <c r="D177" s="367" t="n">
        <f aca="false">A177+B177</f>
        <v>402.346546793062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324.346546793062</v>
      </c>
      <c r="C180" s="282"/>
      <c r="D180" s="99" t="n">
        <f aca="false">IF(A111="YES", B95*B63, 0)</f>
        <v>78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402.346546793062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324.346546793062</v>
      </c>
      <c r="B186" s="99" t="n">
        <f aca="false">IF(A111="YES", B95, 0)</f>
        <v>78</v>
      </c>
      <c r="C186" s="282"/>
      <c r="D186" s="99" t="n">
        <f aca="false">B97</f>
        <v>402.346546793062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2618.28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2764.23166666667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2618.28</v>
      </c>
      <c r="C217" s="381" t="s">
        <v>221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2764.23166666667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55.3225615167406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272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4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271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197.916666666667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200.583333333333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93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93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93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94</v>
      </c>
      <c r="B71" s="305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80"/>
      <c r="D73" s="32"/>
      <c r="E73" s="283"/>
      <c r="F73" s="265"/>
      <c r="G73" s="298" t="s">
        <v>96</v>
      </c>
      <c r="H73" s="65" t="n">
        <f aca="false">H67*H72</f>
        <v>187.02</v>
      </c>
      <c r="I73" s="280"/>
      <c r="J73" s="32"/>
      <c r="K73" s="283"/>
      <c r="L73" s="265"/>
      <c r="M73" s="298" t="s">
        <v>96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7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105</v>
      </c>
      <c r="H87" s="323" t="n">
        <f aca="false">SUM(J70:J86)</f>
        <v>5744.78</v>
      </c>
      <c r="I87" s="280"/>
      <c r="J87" s="280"/>
      <c r="K87" s="283"/>
      <c r="L87" s="265"/>
      <c r="M87" s="322" t="s">
        <v>105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343.641388888889</v>
      </c>
      <c r="C88" s="280"/>
      <c r="D88" s="280"/>
      <c r="E88" s="283"/>
      <c r="F88" s="265"/>
      <c r="G88" s="281" t="s">
        <v>106</v>
      </c>
      <c r="H88" s="33" t="n">
        <f aca="false">H87/H29</f>
        <v>478.731666666667</v>
      </c>
      <c r="I88" s="280"/>
      <c r="J88" s="280"/>
      <c r="K88" s="283"/>
      <c r="L88" s="265"/>
      <c r="M88" s="281" t="s">
        <v>106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200.583333333333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</f>
        <v>6530.69666666667</v>
      </c>
      <c r="C91" s="280"/>
      <c r="D91" s="280"/>
      <c r="E91" s="283"/>
      <c r="F91" s="265"/>
      <c r="G91" s="301" t="s">
        <v>117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117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118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2586.01922818341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215.501602348617</v>
      </c>
      <c r="C96" s="280" t="s">
        <v>4</v>
      </c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215.501602348617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215.501602348617</v>
      </c>
      <c r="B134" s="338" t="n">
        <f aca="false">IF(A111="YES", B95, 0)</f>
        <v>0</v>
      </c>
      <c r="C134" s="394"/>
      <c r="D134" s="338" t="n">
        <f aca="false">B97</f>
        <v>215.501602348617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1939.51442113756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1939.51442113756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215.501602348617</v>
      </c>
      <c r="B143" s="38" t="n">
        <f aca="false">IF(A111="YES", B95, 0)</f>
        <v>0</v>
      </c>
      <c r="C143" s="280"/>
      <c r="D143" s="38" t="n">
        <f aca="false">B97</f>
        <v>215.501602348617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215.501602348617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215.501602348617</v>
      </c>
      <c r="B177" s="367" t="n">
        <f aca="false">IF(A111="YES", B95, 0)</f>
        <v>0</v>
      </c>
      <c r="C177" s="395"/>
      <c r="D177" s="367" t="n">
        <f aca="false">B91</f>
        <v>6530.69666666667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1939.51442113756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1939.51442113756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215.501602348617</v>
      </c>
      <c r="B186" s="99" t="n">
        <f aca="false">IF(A111="YES", B95, 0)</f>
        <v>0</v>
      </c>
      <c r="C186" s="282"/>
      <c r="D186" s="99" t="n">
        <f aca="false">B97</f>
        <v>215.501602348617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2618.28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2584.23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2618.28</v>
      </c>
      <c r="C217" s="381" t="s">
        <v>221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2584.23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55.3225615167406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341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342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2602.5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216.875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8614.5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4687.47478822106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390.622899018421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468.622899018422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30</v>
      </c>
      <c r="C111" s="334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390.622899018421</v>
      </c>
      <c r="B134" s="338" t="n">
        <f aca="false">IF(A111="YES", B95, 0)</f>
        <v>78</v>
      </c>
      <c r="C134" s="394"/>
      <c r="D134" s="338" t="n">
        <f aca="false">B97</f>
        <v>468.622899018422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3515.60609116579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4217.60609116579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390.622899018421</v>
      </c>
      <c r="B143" s="38" t="n">
        <f aca="false">IF(A111="YES", B95, 0)</f>
        <v>78</v>
      </c>
      <c r="C143" s="280"/>
      <c r="D143" s="38" t="n">
        <f aca="false">B97</f>
        <v>468.622899018422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0</v>
      </c>
      <c r="C154" s="38"/>
      <c r="D154" s="38" t="n">
        <f aca="false">IF(A111="YES", (A41/100*B111)*B131, 0)*0.1</f>
        <v>21.6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495.63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468.622899018422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390.622899018421</v>
      </c>
      <c r="B177" s="367" t="n">
        <f aca="false">IF(A111="YES", B95, 0)</f>
        <v>78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3515.60609116579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4217.60609116579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390.622899018421</v>
      </c>
      <c r="B186" s="99" t="n">
        <f aca="false">IF(A111="YES", B95, 0)</f>
        <v>78</v>
      </c>
      <c r="C186" s="282"/>
      <c r="D186" s="99" t="n">
        <f aca="false">B97</f>
        <v>468.622899018422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495.63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315.99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1884.45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1884.45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3832.5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319.375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11813.4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83.3943122226704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658.066192685223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736.066192685223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658.066192685223</v>
      </c>
      <c r="B134" s="338" t="n">
        <f aca="false">IF(A111="YES", B95, 0)</f>
        <v>78</v>
      </c>
      <c r="C134" s="394"/>
      <c r="D134" s="338" t="n">
        <f aca="false">B97</f>
        <v>736.066192685223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5922.595734167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280"/>
      <c r="D143" s="38" t="n">
        <f aca="false">B97</f>
        <v>736.066192685223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658.066192685223</v>
      </c>
      <c r="B177" s="367" t="n">
        <f aca="false">IF(A111="YES", B95, 0)</f>
        <v>78</v>
      </c>
      <c r="C177" s="395"/>
      <c r="D177" s="367" t="n">
        <f aca="false">B97</f>
        <v>736.066192685223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5922.595734167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282"/>
      <c r="D186" s="99" t="n">
        <f aca="false">B97</f>
        <v>736.066192685223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519.991666666667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2088.45166666667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3165.83333333333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263.819444444445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77.7468737394111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437.965017256062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502.965017256062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437.965017256062</v>
      </c>
      <c r="B134" s="338" t="n">
        <f aca="false">IF(A111="YES", B95, 0)</f>
        <v>65</v>
      </c>
      <c r="C134" s="394"/>
      <c r="D134" s="338" t="n">
        <f aca="false">B97</f>
        <v>502.965017256062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3941.68515530456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280"/>
      <c r="D143" s="38" t="n">
        <f aca="false">B97</f>
        <v>502.965017256062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437.965017256062</v>
      </c>
      <c r="B177" s="367" t="n">
        <f aca="false">IF(A111="YES", B95, 0)</f>
        <v>65</v>
      </c>
      <c r="C177" s="395"/>
      <c r="D177" s="367" t="n">
        <f aca="false">B91</f>
        <v>9177.83333333333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3941.68515530456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282"/>
      <c r="D186" s="99" t="n">
        <f aca="false">B97</f>
        <v>502.965017256062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279.99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1848.45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2602.5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216.875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8614.5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723.956232351755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723.956232351755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131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19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723.956232351755</v>
      </c>
      <c r="B134" s="338" t="n">
        <f aca="false">IF(A111="YES", B95, 0)</f>
        <v>0</v>
      </c>
      <c r="C134" s="394"/>
      <c r="D134" s="338" t="n">
        <f aca="false">B97</f>
        <v>723.956232351755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723.956232351755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280"/>
      <c r="D143" s="38" t="n">
        <f aca="false">B97</f>
        <v>723.956232351755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723.956232351755</v>
      </c>
      <c r="B177" s="367" t="n">
        <f aca="false">IF(A111="YES", B95, 0)</f>
        <v>0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723.956232351755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282"/>
      <c r="D186" s="99" t="n">
        <f aca="false">B97</f>
        <v>723.956232351755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241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30.35</v>
      </c>
      <c r="I44" s="292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3447.91666666667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287.326388888889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11351.9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80.1364461476402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619.336370512303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666.682370512303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131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619.336370512303</v>
      </c>
      <c r="B134" s="338" t="n">
        <f aca="false">IF(A111="YES", B95, 0)</f>
        <v>47.346</v>
      </c>
      <c r="C134" s="394"/>
      <c r="D134" s="338" t="n">
        <f aca="false">B97</f>
        <v>666.682370512303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619.336370512303</v>
      </c>
      <c r="C137" s="280"/>
      <c r="D137" s="38" t="n">
        <f aca="false">IF(A111="YES", B95*B63, 0)</f>
        <v>47.346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280"/>
      <c r="D143" s="38" t="n">
        <f aca="false">B97</f>
        <v>666.682370512303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619.336370512303</v>
      </c>
      <c r="B177" s="367" t="n">
        <f aca="false">IF(A111="YES", B95, 0)</f>
        <v>47.346</v>
      </c>
      <c r="C177" s="395"/>
      <c r="D177" s="367" t="n">
        <f aca="false">B91</f>
        <v>11351.9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619.336370512303</v>
      </c>
      <c r="C180" s="282"/>
      <c r="D180" s="99" t="n">
        <f aca="false">IF(A111="YES", B95*B63, 0)</f>
        <v>47.346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282"/>
      <c r="D186" s="99" t="n">
        <f aca="false">B97</f>
        <v>666.682370512303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449.251666666667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2017.71166666667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109.26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2781.25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231.770833333333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8793.25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74.4890076643808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405.644917305365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405.644917305365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405.644917305365</v>
      </c>
      <c r="B134" s="338" t="n">
        <f aca="false">IF(A111="YES", B95, 0)</f>
        <v>0</v>
      </c>
      <c r="C134" s="394"/>
      <c r="D134" s="338" t="n">
        <f aca="false">B97</f>
        <v>405.644917305365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3650.80425574829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280"/>
      <c r="D143" s="38" t="n">
        <f aca="false">B97</f>
        <v>405.644917305365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405.644917305365</v>
      </c>
      <c r="B177" s="367" t="n">
        <f aca="false">IF(A111="YES", B95, 0)</f>
        <v>0</v>
      </c>
      <c r="C177" s="395"/>
      <c r="D177" s="367" t="n">
        <f aca="false">B91</f>
        <v>8793.25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3650.80425574829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282"/>
      <c r="D186" s="99" t="n">
        <f aca="false">B97</f>
        <v>405.644917305365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349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714.032865011724</v>
      </c>
      <c r="F33" s="228"/>
      <c r="G33" s="228"/>
      <c r="H33" s="47"/>
      <c r="I33" s="2"/>
      <c r="J33" s="34" t="s">
        <v>349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714.032865011724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25909.1715613066</v>
      </c>
      <c r="N39" s="1" t="n">
        <f aca="false">K39-L39</f>
        <v>-2784.17156130656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-2784.17156130656</v>
      </c>
      <c r="N40" s="1" t="n">
        <f aca="false">N38-N39</f>
        <v>5695.85156130656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714.032865011724</v>
      </c>
      <c r="L47" s="2" t="n">
        <f aca="false">L49-K42</f>
        <v>800</v>
      </c>
      <c r="M47" s="1" t="n">
        <f aca="false">K47-L47</f>
        <v>-85.9671349882763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714.032865011724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714.032865011724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8041.68929665607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714.032865011724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714.032865011724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714.032865011724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714.032865011724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19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str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str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str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349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13" colorId="64" zoomScale="75" zoomScaleNormal="75" zoomScalePageLayoutView="100" workbookViewId="0">
      <selection pane="topLeft" activeCell="B240" activeCellId="0" sqref="B2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349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2744.12058381038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11.3775176629575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2504.93972800316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30059.276736038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30059.276736038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29.7916666666667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2504.93972800316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2534.73139466983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2504.93972800316</v>
      </c>
      <c r="B167" s="174" t="n">
        <f aca="false">B94</f>
        <v>29.7916666666667</v>
      </c>
      <c r="C167" s="171"/>
      <c r="D167" s="171"/>
      <c r="E167" s="174" t="n">
        <f aca="false">B96</f>
        <v>2534.73139466983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1589.07240270463</v>
      </c>
      <c r="B182" s="99" t="str">
        <f aca="false">B114</f>
        <v>199.99</v>
      </c>
      <c r="C182" s="99"/>
      <c r="D182" s="23"/>
      <c r="E182" s="99" t="n">
        <f aca="false">E179+A182+B182+A185</f>
        <v>30299.0584027046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2544.73139466983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226.989983333333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2534.73139466983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2504.93972800316</v>
      </c>
      <c r="B212" s="174" t="n">
        <f aca="false">B167</f>
        <v>29.7916666666667</v>
      </c>
      <c r="C212" s="171"/>
      <c r="D212" s="171"/>
      <c r="E212" s="174" t="n">
        <f aca="false">E167</f>
        <v>2534.73139466983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1589.07240270463</v>
      </c>
      <c r="B224" s="99" t="str">
        <f aca="false">B182</f>
        <v>199.99</v>
      </c>
      <c r="C224" s="99"/>
      <c r="D224" s="109"/>
      <c r="E224" s="99" t="n">
        <f aca="false">E182</f>
        <v>30299.0584027046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2504.93972800316</v>
      </c>
      <c r="B230" s="99" t="n">
        <f aca="false">B167</f>
        <v>29.7916666666667</v>
      </c>
      <c r="C230" s="183"/>
      <c r="D230" s="183"/>
      <c r="E230" s="99" t="n">
        <f aca="false">E167</f>
        <v>2534.73139466983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2544.73139466983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2101.98998333333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</v>
      </c>
      <c r="C255" s="194"/>
      <c r="D255" s="195" t="s">
        <v>218</v>
      </c>
      <c r="E255" s="195"/>
      <c r="F255" s="196" t="n">
        <f aca="false">(B254-F254)+B255</f>
        <v>39.99002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27554.3370080348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39.99002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2618.35</v>
      </c>
      <c r="C64" s="211" t="n">
        <v>10000</v>
      </c>
      <c r="D64" s="277" t="n">
        <f aca="false">B64</f>
        <v>2618.35</v>
      </c>
      <c r="E64" s="212"/>
      <c r="F64" s="63"/>
      <c r="G64" s="310" t="s">
        <v>93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374.05</v>
      </c>
      <c r="C67" s="211"/>
      <c r="D67" s="277"/>
      <c r="E67" s="212"/>
      <c r="F67" s="63"/>
      <c r="G67" s="310" t="s">
        <v>96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 t="n">
        <f aca="false">IF(G18&gt;40000, 325, 0)</f>
        <v>0</v>
      </c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3945.01666666667</v>
      </c>
      <c r="C81" s="211"/>
      <c r="D81" s="211"/>
      <c r="E81" s="212"/>
      <c r="F81" s="63"/>
      <c r="G81" s="422" t="s">
        <v>105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328.751388888889</v>
      </c>
      <c r="C82" s="211"/>
      <c r="D82" s="211"/>
      <c r="E82" s="212"/>
      <c r="F82" s="63"/>
      <c r="G82" s="210" t="s">
        <v>106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669.397288221057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741.397288221057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 t="n">
        <v>0</v>
      </c>
      <c r="C108" s="213"/>
      <c r="D108" s="213" t="n">
        <v>0</v>
      </c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669.397288221057</v>
      </c>
      <c r="B128" s="338" t="n">
        <f aca="false">IF(A105="YES", B89, 0)</f>
        <v>72</v>
      </c>
      <c r="C128" s="394"/>
      <c r="D128" s="338" t="n">
        <f aca="false">B91</f>
        <v>741.397288221057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6024.57559398951</v>
      </c>
      <c r="C131" s="280"/>
      <c r="D131" s="38" t="n">
        <f aca="false">IF(A105="YES", B89*B57, 0)</f>
        <v>648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280"/>
      <c r="D137" s="38" t="n">
        <f aca="false">B91</f>
        <v>741.397288221057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669.397288221057</v>
      </c>
      <c r="B171" s="367" t="n">
        <f aca="false">IF(A105="YES", B89, 0)</f>
        <v>72</v>
      </c>
      <c r="C171" s="395"/>
      <c r="D171" s="367" t="n">
        <f aca="false">B91</f>
        <v>741.397288221057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6024.57559398951</v>
      </c>
      <c r="C174" s="282"/>
      <c r="D174" s="99" t="n">
        <f aca="false">IF(A105="YES", B89*B57, 0)</f>
        <v>648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282"/>
      <c r="D180" s="99" t="n">
        <f aca="false">B91</f>
        <v>741.397288221057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B209</f>
        <v>0.065</v>
      </c>
      <c r="C203" s="338" t="s">
        <v>215</v>
      </c>
      <c r="D203" s="377" t="n">
        <f aca="false">D64</f>
        <v>2618.35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374.05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2704.29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2618.35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2012.49972</v>
      </c>
      <c r="C64" s="211" t="n">
        <v>10000</v>
      </c>
      <c r="D64" s="277" t="n">
        <f aca="false">B64</f>
        <v>2012.49972</v>
      </c>
      <c r="E64" s="212"/>
      <c r="F64" s="63"/>
      <c r="G64" s="310" t="s">
        <v>93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374.05</v>
      </c>
      <c r="C67" s="211"/>
      <c r="D67" s="277"/>
      <c r="E67" s="212"/>
      <c r="F67" s="63"/>
      <c r="G67" s="310" t="s">
        <v>96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3339.16638666667</v>
      </c>
      <c r="C81" s="211"/>
      <c r="D81" s="211"/>
      <c r="E81" s="212"/>
      <c r="F81" s="63"/>
      <c r="G81" s="422" t="s">
        <v>105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278.263865555556</v>
      </c>
      <c r="C82" s="211"/>
      <c r="D82" s="211"/>
      <c r="E82" s="212"/>
      <c r="F82" s="63"/>
      <c r="G82" s="210" t="s">
        <v>106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452.53179933665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512.53179933665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 t="n">
        <v>0</v>
      </c>
      <c r="C108" s="213"/>
      <c r="D108" s="213" t="n">
        <v>0</v>
      </c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452.53179933665</v>
      </c>
      <c r="B128" s="338" t="n">
        <f aca="false">IF(A105="YES", B89, 0)</f>
        <v>60</v>
      </c>
      <c r="C128" s="394"/>
      <c r="D128" s="338" t="n">
        <f aca="false">B91</f>
        <v>512.53179933665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4072.78619402985</v>
      </c>
      <c r="C131" s="280"/>
      <c r="D131" s="38" t="n">
        <f aca="false">IF(A105="YES", B89*B57, 0)</f>
        <v>540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280"/>
      <c r="D137" s="38" t="n">
        <f aca="false">B91</f>
        <v>512.53179933665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452.53179933665</v>
      </c>
      <c r="B171" s="367" t="n">
        <f aca="false">IF(A105="YES", B89, 0)</f>
        <v>60</v>
      </c>
      <c r="C171" s="395"/>
      <c r="D171" s="367" t="n">
        <f aca="false">B91</f>
        <v>512.53179933665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4072.78619402985</v>
      </c>
      <c r="C174" s="282"/>
      <c r="D174" s="99" t="n">
        <f aca="false">IF(A105="YES", B89*B57, 0)</f>
        <v>540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282"/>
      <c r="D180" s="99" t="n">
        <f aca="false">B91</f>
        <v>512.53179933665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H29</f>
        <v>12</v>
      </c>
      <c r="C203" s="338" t="s">
        <v>215</v>
      </c>
      <c r="D203" s="377" t="n">
        <f aca="false">D64</f>
        <v>2012.49972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374.05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2098.43972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2012.49972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0</v>
      </c>
      <c r="C77" s="472"/>
      <c r="D77" s="277" t="n">
        <f aca="false">B77</f>
        <v>0</v>
      </c>
      <c r="E77" s="465" t="n">
        <f aca="false">D77/(B58+B57)</f>
        <v>0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0</v>
      </c>
      <c r="C78" s="472"/>
      <c r="D78" s="277" t="n">
        <f aca="false">B78</f>
        <v>0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4246.8225025</v>
      </c>
      <c r="C81" s="472"/>
      <c r="D81" s="473"/>
      <c r="E81" s="465"/>
      <c r="F81" s="63"/>
      <c r="G81" s="422" t="s">
        <v>105</v>
      </c>
      <c r="H81" s="423" t="n">
        <f aca="false">SUM(J64:J80)</f>
        <v>1047.5</v>
      </c>
      <c r="I81" s="211"/>
      <c r="J81" s="211"/>
      <c r="K81" s="212"/>
      <c r="L81" s="63"/>
      <c r="M81" s="422" t="s">
        <v>105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121.337785785714</v>
      </c>
      <c r="C82" s="472"/>
      <c r="D82" s="211"/>
      <c r="E82" s="465"/>
      <c r="F82" s="63"/>
      <c r="G82" s="210" t="s">
        <v>106</v>
      </c>
      <c r="H82" s="419" t="n">
        <f aca="false">H81/H29</f>
        <v>29.9285714285714</v>
      </c>
      <c r="I82" s="211"/>
      <c r="J82" s="211"/>
      <c r="K82" s="212"/>
      <c r="L82" s="63"/>
      <c r="M82" s="210" t="s">
        <v>106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753.306610758122</v>
      </c>
      <c r="C83" s="472"/>
      <c r="D83" s="211"/>
      <c r="E83" s="465" t="n">
        <f aca="false">B83+E80+E77+E64</f>
        <v>874.644396543837</v>
      </c>
      <c r="F83" s="63"/>
      <c r="G83" s="424" t="s">
        <v>107</v>
      </c>
      <c r="H83" s="425" t="n">
        <f aca="false">H47</f>
        <v>753.306610758122</v>
      </c>
      <c r="I83" s="211"/>
      <c r="J83" s="211"/>
      <c r="K83" s="212"/>
      <c r="L83" s="63"/>
      <c r="M83" s="424" t="s">
        <v>107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30612.5538790343</v>
      </c>
      <c r="C85" s="472"/>
      <c r="D85" s="472"/>
      <c r="E85" s="465" t="n">
        <f aca="false">B85/(B58+B57)</f>
        <v>874.644396543837</v>
      </c>
      <c r="F85" s="63"/>
      <c r="G85" s="404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259.323772270964</v>
      </c>
      <c r="C86" s="472" t="s">
        <v>230</v>
      </c>
      <c r="D86" s="211"/>
      <c r="E86" s="465" t="n">
        <f aca="false">B86/(B58+B57)</f>
        <v>7.40925063631326</v>
      </c>
      <c r="F86" s="63"/>
      <c r="G86" s="210" t="s">
        <v>118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30871.8776513052</v>
      </c>
      <c r="C87" s="472"/>
      <c r="D87" s="474"/>
      <c r="E87" s="465" t="n">
        <f aca="false">E86+E85</f>
        <v>882.05364718015</v>
      </c>
      <c r="F87" s="63"/>
      <c r="G87" s="310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882.05364718015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882.05364718015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</v>
      </c>
      <c r="C102" s="103"/>
      <c r="D102" s="103" t="n">
        <v>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882.05364718015</v>
      </c>
      <c r="B128" s="338" t="n">
        <f aca="false">IF(A105="YES", B89, 0)</f>
        <v>0</v>
      </c>
      <c r="C128" s="342"/>
      <c r="D128" s="338" t="n">
        <f aca="false">B91</f>
        <v>882.05364718015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882.05364718015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882.05364718015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882.05364718015</v>
      </c>
      <c r="B137" s="38" t="n">
        <f aca="false">IF(A105="YES", B89, 0)</f>
        <v>0</v>
      </c>
      <c r="C137" s="280"/>
      <c r="D137" s="38" t="n">
        <f aca="false">B91</f>
        <v>882.05364718015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882.05364718015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882.05364718015</v>
      </c>
      <c r="B177" s="367" t="n">
        <f aca="false">IF(A105="YES", B89, 0)</f>
        <v>0</v>
      </c>
      <c r="C177" s="369"/>
      <c r="D177" s="367" t="n">
        <f aca="false">B91</f>
        <v>882.05364718015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882.05364718015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882.05364718015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882.05364718015</v>
      </c>
      <c r="B186" s="99" t="n">
        <f aca="false">IF(A105="YES", B89, 0)</f>
        <v>0</v>
      </c>
      <c r="C186" s="282"/>
      <c r="D186" s="99" t="n">
        <f aca="false">B91</f>
        <v>882.05364718015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732.495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2344.3175025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2976.8225025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0</v>
      </c>
      <c r="C223" s="351" t="s">
        <v>218</v>
      </c>
      <c r="D223" s="280"/>
      <c r="E223" s="33" t="n">
        <f aca="false">(B217-B211+D211)</f>
        <v>2344.3175025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259.323772270964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12.6984126984127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4913.48916916667</v>
      </c>
      <c r="C81" s="472"/>
      <c r="D81" s="473"/>
      <c r="E81" s="465"/>
      <c r="F81" s="63"/>
      <c r="G81" s="422" t="s">
        <v>105</v>
      </c>
      <c r="H81" s="423" t="n">
        <f aca="false">SUM(J64:J80)</f>
        <v>1047.5</v>
      </c>
      <c r="I81" s="211"/>
      <c r="J81" s="211"/>
      <c r="K81" s="212"/>
      <c r="L81" s="63"/>
      <c r="M81" s="422" t="s">
        <v>105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140.385404833333</v>
      </c>
      <c r="C82" s="472"/>
      <c r="D82" s="211"/>
      <c r="E82" s="465"/>
      <c r="F82" s="63"/>
      <c r="G82" s="210" t="s">
        <v>106</v>
      </c>
      <c r="H82" s="419" t="n">
        <f aca="false">H81/H29</f>
        <v>29.9285714285714</v>
      </c>
      <c r="I82" s="211"/>
      <c r="J82" s="211"/>
      <c r="K82" s="212"/>
      <c r="L82" s="63"/>
      <c r="M82" s="210" t="s">
        <v>106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424" t="s">
        <v>107</v>
      </c>
      <c r="H83" s="425" t="n">
        <f aca="false">H47</f>
        <v>753.306610758122</v>
      </c>
      <c r="I83" s="211"/>
      <c r="J83" s="211"/>
      <c r="K83" s="212"/>
      <c r="L83" s="63"/>
      <c r="M83" s="424" t="s">
        <v>107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404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310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1080.0010247313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1080.0010247313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1287.988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1080.0010247313</v>
      </c>
      <c r="B128" s="338" t="n">
        <f aca="false">IF(A105="YES", B89, 0)</f>
        <v>0</v>
      </c>
      <c r="C128" s="342"/>
      <c r="D128" s="338" t="n">
        <f aca="false">B91</f>
        <v>1080.0010247313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1080.0010247313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280"/>
      <c r="D137" s="38" t="n">
        <f aca="false">B91</f>
        <v>1080.0010247313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1080.0010247313</v>
      </c>
      <c r="B177" s="367" t="n">
        <f aca="false">IF(A105="YES", B89, 0)</f>
        <v>0</v>
      </c>
      <c r="C177" s="369"/>
      <c r="D177" s="367" t="n">
        <f aca="false">B91</f>
        <v>1080.0010247313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1080.0010247313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282"/>
      <c r="D186" s="99" t="n">
        <f aca="false">B91</f>
        <v>1080.0010247313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732.495</v>
      </c>
      <c r="C211" s="337" t="s">
        <v>217</v>
      </c>
      <c r="D211" s="377" t="n">
        <f aca="false">B225+E221+B221+B223</f>
        <v>379.99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2624.3175025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2976.8225025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146</v>
      </c>
      <c r="C2" s="481" t="s">
        <v>147</v>
      </c>
      <c r="D2" s="481" t="s">
        <v>148</v>
      </c>
      <c r="E2" s="482" t="s">
        <v>149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152</v>
      </c>
      <c r="B3" s="483" t="n">
        <v>46854.17</v>
      </c>
      <c r="C3" s="483" t="n">
        <v>0.0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153</v>
      </c>
      <c r="B4" s="484" t="n">
        <v>0.0</v>
      </c>
      <c r="C4" s="484" t="n">
        <v>0.0</v>
      </c>
      <c r="D4" s="484" t="n">
        <v>0.0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154</v>
      </c>
      <c r="B5" s="483" t="n">
        <v>0.0</v>
      </c>
      <c r="C5" s="483" t="n">
        <v>0.0</v>
      </c>
      <c r="D5" s="483" t="n">
        <v>0.0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38" t="n">
        <v>550.0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38" t="n">
        <v>585.0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38" t="n">
        <v>55.0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38" t="n">
        <v>0.0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1" t="n">
        <v>0.0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398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394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402</v>
      </c>
      <c r="B41" s="100" t="s">
        <v>407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65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386</v>
      </c>
      <c r="B44" s="100" t="s">
        <v>403</v>
      </c>
      <c r="C44" s="100"/>
      <c r="D44" s="100" t="s">
        <v>403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-170.625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-167.958333333333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/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93</v>
      </c>
      <c r="B70" s="65" t="n">
        <f aca="false">B67*B69</f>
        <v>4051.95</v>
      </c>
      <c r="C70" s="280" t="n">
        <v>10000.0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93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93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94</v>
      </c>
      <c r="B71" s="307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95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96</v>
      </c>
      <c r="B73" s="65" t="n">
        <f aca="false">B67*B72</f>
        <v>578.85</v>
      </c>
      <c r="C73" s="280"/>
      <c r="D73" s="32"/>
      <c r="E73" s="283"/>
      <c r="F73" s="265"/>
      <c r="G73" s="298" t="s">
        <v>96</v>
      </c>
      <c r="H73" s="65" t="n">
        <f aca="false">H67*H72</f>
        <v>289.425</v>
      </c>
      <c r="I73" s="280"/>
      <c r="J73" s="32"/>
      <c r="K73" s="283"/>
      <c r="L73" s="265"/>
      <c r="M73" s="298" t="s">
        <v>96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200.0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5.0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165.0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355.0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200.0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200.0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5421.95</v>
      </c>
      <c r="C87" s="280"/>
      <c r="D87" s="280"/>
      <c r="E87" s="283"/>
      <c r="F87" s="265"/>
      <c r="G87" s="322" t="s">
        <v>105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105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451.829166666667</v>
      </c>
      <c r="C88" s="280"/>
      <c r="D88" s="280"/>
      <c r="E88" s="283"/>
      <c r="F88" s="265"/>
      <c r="G88" s="281" t="s">
        <v>106</v>
      </c>
      <c r="H88" s="33" t="n">
        <f aca="false">H87/H29</f>
        <v>600.461111111111</v>
      </c>
      <c r="I88" s="280"/>
      <c r="J88" s="280"/>
      <c r="K88" s="283"/>
      <c r="L88" s="265"/>
      <c r="M88" s="281" t="s">
        <v>106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-217.958333333333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((B89*H29)+B87)*1.2</f>
        <v>3367.74</v>
      </c>
      <c r="C91" s="280"/>
      <c r="D91" s="280"/>
      <c r="E91" s="283"/>
      <c r="F91" s="265"/>
      <c r="G91" s="301" t="s">
        <v>117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117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118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-608.486119402985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-50.7071766169154</v>
      </c>
      <c r="C96" s="280"/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27.2928233830846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1000.0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400.0</v>
      </c>
      <c r="C108" s="103"/>
      <c r="D108" s="103" t="n">
        <v>200.0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380</v>
      </c>
      <c r="B111" s="331" t="n">
        <v>30.0</v>
      </c>
      <c r="C111" s="331"/>
      <c r="D111" s="103" t="s">
        <v>391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380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10000.0</v>
      </c>
      <c r="E118" s="103" t="n">
        <v>6000.0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2000.0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0.0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-50.7071766169154</v>
      </c>
      <c r="B134" s="338" t="n">
        <f aca="false">IF(A111="YES", B95, 0)</f>
        <v>78</v>
      </c>
      <c r="C134" s="342"/>
      <c r="D134" s="338" t="n">
        <f aca="false">B97</f>
        <v>27.2928233830846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-456.364589552238</v>
      </c>
      <c r="C137" s="280"/>
      <c r="D137" s="38" t="n">
        <f aca="false">IF(A111="YES", B95*B63, 0)</f>
        <v>702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280"/>
      <c r="D143" s="38" t="n">
        <f aca="false">B97</f>
        <v>27.2928233830846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-50.7071766169154</v>
      </c>
      <c r="B177" s="367" t="n">
        <f aca="false">IF(A111="YES", B95, 0)</f>
        <v>78</v>
      </c>
      <c r="C177" s="369"/>
      <c r="D177" s="367" t="n">
        <f aca="false">A177+B177</f>
        <v>27.2928233830846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-456.364589552238</v>
      </c>
      <c r="C180" s="282"/>
      <c r="D180" s="99" t="n">
        <f aca="false">IF(A111="YES", B95*B63, 0)</f>
        <v>702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282"/>
      <c r="D186" s="99" t="n">
        <f aca="false">B97</f>
        <v>27.2928233830846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4051.95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23.7738805970149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146</v>
      </c>
      <c r="C2" s="481" t="s">
        <v>147</v>
      </c>
      <c r="D2" s="481" t="s">
        <v>148</v>
      </c>
      <c r="E2" s="482" t="s">
        <v>149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152</v>
      </c>
      <c r="B3" s="483" t="n">
        <v>46854.17</v>
      </c>
      <c r="C3" s="483" t="n">
        <v>0.0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153</v>
      </c>
      <c r="B4" s="484" t="n">
        <v>0.0</v>
      </c>
      <c r="C4" s="484" t="n">
        <v>0.0</v>
      </c>
      <c r="D4" s="484" t="n">
        <v>0.0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154</v>
      </c>
      <c r="B5" s="483" t="n">
        <v>0.0</v>
      </c>
      <c r="C5" s="483" t="n">
        <v>0.0</v>
      </c>
      <c r="D5" s="483" t="n">
        <v>0.0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38" t="n">
        <v>550.0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38" t="n">
        <v>585.0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38" t="n">
        <v>55.0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38" t="n">
        <v>0.0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1" t="n">
        <v>0.0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272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398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394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402</v>
      </c>
      <c r="B41" s="100" t="s">
        <v>407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4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0.0</v>
      </c>
      <c r="B44" s="100" t="s">
        <v>403</v>
      </c>
      <c r="C44" s="100"/>
      <c r="D44" s="100" t="n">
        <v>0.0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-220.625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-217.958333333333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93</v>
      </c>
      <c r="B70" s="65" t="n">
        <f aca="false">B67*B69</f>
        <v>4051.95</v>
      </c>
      <c r="C70" s="280" t="n">
        <v>10000.0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93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93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94</v>
      </c>
      <c r="B71" s="307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95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96</v>
      </c>
      <c r="B73" s="65" t="n">
        <f aca="false">B67*B72</f>
        <v>578.85</v>
      </c>
      <c r="C73" s="280"/>
      <c r="D73" s="32"/>
      <c r="E73" s="283"/>
      <c r="F73" s="265"/>
      <c r="G73" s="298" t="s">
        <v>96</v>
      </c>
      <c r="H73" s="65" t="n">
        <f aca="false">H67*H72</f>
        <v>289.425</v>
      </c>
      <c r="I73" s="280"/>
      <c r="J73" s="32"/>
      <c r="K73" s="283"/>
      <c r="L73" s="265"/>
      <c r="M73" s="298" t="s">
        <v>96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200.0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5.0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165.0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355.0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200.0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200.0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5421.95</v>
      </c>
      <c r="C87" s="280"/>
      <c r="D87" s="280"/>
      <c r="E87" s="283"/>
      <c r="F87" s="265"/>
      <c r="G87" s="322" t="s">
        <v>105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105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451.829166666667</v>
      </c>
      <c r="C88" s="280"/>
      <c r="D88" s="280"/>
      <c r="E88" s="283"/>
      <c r="F88" s="265"/>
      <c r="G88" s="281" t="s">
        <v>106</v>
      </c>
      <c r="H88" s="33" t="n">
        <f aca="false">H87/H29</f>
        <v>600.461111111111</v>
      </c>
      <c r="I88" s="280"/>
      <c r="J88" s="280"/>
      <c r="K88" s="283"/>
      <c r="L88" s="265"/>
      <c r="M88" s="281" t="s">
        <v>106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-217.958333333333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</f>
        <v>2806.45</v>
      </c>
      <c r="C91" s="280"/>
      <c r="D91" s="280"/>
      <c r="E91" s="283"/>
      <c r="F91" s="265"/>
      <c r="G91" s="301" t="s">
        <v>117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117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118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-1169.77611940298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-97.481343283582</v>
      </c>
      <c r="C96" s="280" t="s">
        <v>4</v>
      </c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-97.481343283582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1000.0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400.0</v>
      </c>
      <c r="C108" s="103"/>
      <c r="D108" s="103" t="n">
        <v>200.0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382</v>
      </c>
      <c r="B111" s="331" t="n">
        <v>0.0</v>
      </c>
      <c r="C111" s="331"/>
      <c r="D111" s="103" t="s">
        <v>391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380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10000.0</v>
      </c>
      <c r="E118" s="103" t="n">
        <v>6000.0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2000.0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0.0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-97.481343283582</v>
      </c>
      <c r="B134" s="338" t="n">
        <f aca="false">IF(A111="YES", B95, 0)</f>
        <v>0</v>
      </c>
      <c r="C134" s="394"/>
      <c r="D134" s="338" t="n">
        <f aca="false">B97</f>
        <v>-97.481343283582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-877.332089552238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280"/>
      <c r="D143" s="38" t="n">
        <f aca="false">B97</f>
        <v>-97.481343283582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-97.481343283582</v>
      </c>
      <c r="B177" s="367" t="n">
        <f aca="false">IF(A111="YES", B95, 0)</f>
        <v>0</v>
      </c>
      <c r="C177" s="395"/>
      <c r="D177" s="367" t="n">
        <f aca="false">B91</f>
        <v>2806.45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-877.332089552238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282"/>
      <c r="D186" s="99" t="n">
        <f aca="false">B97</f>
        <v>-97.481343283582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4051.95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23.7738805970149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38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38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399</v>
      </c>
      <c r="B34" s="32"/>
      <c r="C34" s="41" t="s">
        <v>400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398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32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402</v>
      </c>
      <c r="B43" s="32"/>
      <c r="C43" s="41" t="s">
        <v>407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52464.3332978415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0.137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0.0114166666666667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4125.32107917265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26.6800219733353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43752.1789208274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1639.88541555755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52476.3332978415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52476.3332978415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1639.88541555755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1639.88541555755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263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382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0.137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380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385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1639.88541555755</v>
      </c>
      <c r="B176" s="174" t="n">
        <f aca="false">B103</f>
        <v>0</v>
      </c>
      <c r="C176" s="171"/>
      <c r="D176" s="171"/>
      <c r="E176" s="174" t="n">
        <f aca="false">B105</f>
        <v>1639.88541555755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-48.666702158509</v>
      </c>
      <c r="B191" s="99" t="str">
        <f aca="false">B123</f>
        <v>199.99</v>
      </c>
      <c r="C191" s="99"/>
      <c r="D191" s="23"/>
      <c r="E191" s="99" t="n">
        <f aca="false">E188+A191+B191+A194</f>
        <v>58686.3232978415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1639.88541555755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1639.88541555755</v>
      </c>
      <c r="B221" s="174" t="n">
        <f aca="false">B176</f>
        <v>0</v>
      </c>
      <c r="C221" s="171"/>
      <c r="D221" s="171"/>
      <c r="E221" s="174" t="n">
        <f aca="false">E176</f>
        <v>1639.88541555755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-48.666702158509</v>
      </c>
      <c r="B233" s="99" t="str">
        <f aca="false">B191</f>
        <v>199.99</v>
      </c>
      <c r="C233" s="99"/>
      <c r="D233" s="109"/>
      <c r="E233" s="99" t="n">
        <f aca="false">E191</f>
        <v>58686.3232978415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1639.88541555755</v>
      </c>
      <c r="B239" s="99" t="n">
        <f aca="false">B176</f>
        <v>0</v>
      </c>
      <c r="C239" s="183"/>
      <c r="D239" s="183"/>
      <c r="E239" s="99" t="n">
        <f aca="false">E176</f>
        <v>1639.88541555755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0.137</v>
      </c>
      <c r="C269" s="43"/>
      <c r="D269" s="163" t="s">
        <v>215</v>
      </c>
      <c r="E269" s="163"/>
      <c r="F269" s="143" t="n">
        <f aca="false">(B98*B68)-(C98*B68)</f>
        <v>52476.3332978415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0.0</v>
      </c>
      <c r="C4" s="491"/>
      <c r="D4" s="492" t="n">
        <v>0.0</v>
      </c>
      <c r="E4" s="492"/>
      <c r="F4" s="492" t="n">
        <v>0.0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38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38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399</v>
      </c>
      <c r="B34" s="32"/>
      <c r="C34" s="41" t="s">
        <v>400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398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32</v>
      </c>
      <c r="D40" s="54"/>
      <c r="E40" s="32"/>
      <c r="F40" s="41" t="s">
        <v>394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402</v>
      </c>
      <c r="B43" s="32"/>
      <c r="C43" s="41" t="s">
        <v>407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10.0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0.0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0.0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0.0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0.0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382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380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387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1096.67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2094.93478535204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2067.51803535204</v>
      </c>
      <c r="B36" s="99" t="n">
        <f aca="false">IF(B26="YES", H42, "")</f>
        <v>27.41675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15905.4488975102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27.41675</v>
      </c>
      <c r="C40" s="103"/>
      <c r="D40" s="181" t="n">
        <f aca="false">I32</f>
        <v>1096.67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8052.8811024898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27.41675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2067.51803535204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2094.93478535204</v>
      </c>
      <c r="I48" s="234" t="n">
        <f aca="false">I49-H42</f>
        <v>1372.58325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2094.93478535204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2012.49972</v>
      </c>
      <c r="C64" s="464" t="n">
        <v>10000</v>
      </c>
      <c r="D64" s="277" t="n">
        <f aca="false">B64</f>
        <v>2012.49972</v>
      </c>
      <c r="E64" s="465" t="n">
        <f aca="false">D64/(B58+B57)</f>
        <v>167.70831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374.04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310" t="s">
        <v>102</v>
      </c>
      <c r="N73" s="129" t="n">
        <f aca="false">N72*H29</f>
        <v>54</v>
      </c>
      <c r="O73" s="211"/>
      <c r="P73" s="277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178.75</v>
      </c>
      <c r="C76" s="211"/>
      <c r="D76" s="277" t="n">
        <f aca="false">B76</f>
        <v>178.75</v>
      </c>
      <c r="E76" s="212"/>
      <c r="F76" s="63"/>
      <c r="G76" s="310" t="s">
        <v>280</v>
      </c>
      <c r="H76" s="129" t="n">
        <f aca="false">((H74+H75)/12)*(H29-11)</f>
        <v>13.75</v>
      </c>
      <c r="I76" s="211"/>
      <c r="J76" s="277" t="n">
        <f aca="false">H76</f>
        <v>13.75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37.037037037037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69.8958333333333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3517.91638666667</v>
      </c>
      <c r="C81" s="472"/>
      <c r="D81" s="473"/>
      <c r="E81" s="465"/>
      <c r="F81" s="63"/>
      <c r="G81" s="422" t="s">
        <v>105</v>
      </c>
      <c r="H81" s="423" t="n">
        <f aca="false">SUM(J64:J80)</f>
        <v>627.75</v>
      </c>
      <c r="I81" s="211"/>
      <c r="J81" s="211"/>
      <c r="K81" s="212"/>
      <c r="L81" s="63"/>
      <c r="M81" s="422" t="s">
        <v>105</v>
      </c>
      <c r="N81" s="42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293.159698888889</v>
      </c>
      <c r="C82" s="472"/>
      <c r="D82" s="211"/>
      <c r="E82" s="465"/>
      <c r="F82" s="63"/>
      <c r="G82" s="210" t="s">
        <v>106</v>
      </c>
      <c r="H82" s="419" t="n">
        <f aca="false">H81/H29</f>
        <v>52.3125</v>
      </c>
      <c r="I82" s="211"/>
      <c r="J82" s="211"/>
      <c r="K82" s="212"/>
      <c r="L82" s="63"/>
      <c r="M82" s="210" t="s">
        <v>106</v>
      </c>
      <c r="N82" s="41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2067.51803535204</v>
      </c>
      <c r="C83" s="472"/>
      <c r="D83" s="211"/>
      <c r="E83" s="465" t="n">
        <f aca="false">B83+E80+E77+E64</f>
        <v>2342.15921572241</v>
      </c>
      <c r="F83" s="63"/>
      <c r="G83" s="424" t="s">
        <v>107</v>
      </c>
      <c r="H83" s="425" t="n">
        <f aca="false">H47</f>
        <v>2067.51803535204</v>
      </c>
      <c r="I83" s="211"/>
      <c r="J83" s="211"/>
      <c r="K83" s="212"/>
      <c r="L83" s="63"/>
      <c r="M83" s="424" t="s">
        <v>107</v>
      </c>
      <c r="N83" s="425" t="n">
        <f aca="false">H47</f>
        <v>2067.51803535204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63"/>
      <c r="G85" s="404" t="s">
        <v>117</v>
      </c>
      <c r="H85" s="127" t="n">
        <f aca="false">((H83*H29)+H81)*1.2</f>
        <v>30525.5597090693</v>
      </c>
      <c r="I85" s="211"/>
      <c r="J85" s="211"/>
      <c r="K85" s="212"/>
      <c r="L85" s="63"/>
      <c r="M85" s="404" t="s">
        <v>117</v>
      </c>
      <c r="N85" s="127" t="n">
        <f aca="false">((N83*H29)+N81)</f>
        <v>25424.2164242244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239.972081092664</v>
      </c>
      <c r="C86" s="472" t="s">
        <v>230</v>
      </c>
      <c r="D86" s="211"/>
      <c r="E86" s="465" t="n">
        <f aca="false">B86/(B58+B57)</f>
        <v>19.9976734243886</v>
      </c>
      <c r="F86" s="63"/>
      <c r="G86" s="210" t="s">
        <v>118</v>
      </c>
      <c r="H86" s="419" t="n">
        <f aca="false">((((H83*H29)+H81))/(1-H70))*H70</f>
        <v>215.489025780038</v>
      </c>
      <c r="I86" s="211"/>
      <c r="J86" s="211"/>
      <c r="K86" s="212"/>
      <c r="L86" s="63"/>
      <c r="M86" s="210" t="s">
        <v>118</v>
      </c>
      <c r="N86" s="419" t="n">
        <f aca="false">(N85/(1-N70))*N70</f>
        <v>215.37254736132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63"/>
      <c r="G87" s="310" t="s">
        <v>119</v>
      </c>
      <c r="H87" s="129" t="n">
        <f aca="false">IF(H110="YES",((H85+H86)-K114),(H85+H86))</f>
        <v>30741.0487348493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25639.5889715857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35.641775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92.8944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77.412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2380.67540766531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1808.2969844029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1508.21111597563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2416.31718266531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1901.1913844029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1585.62311597563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0.3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1808.2969844029</v>
      </c>
      <c r="H127" s="174" t="n">
        <f aca="false">IF(G105="YES", H89*H57, 0)</f>
        <v>557.3664</v>
      </c>
      <c r="I127" s="174"/>
      <c r="J127" s="349" t="n">
        <f aca="false">H91</f>
        <v>1901.1913844029</v>
      </c>
      <c r="K127" s="212"/>
      <c r="L127" s="63"/>
      <c r="M127" s="348" t="n">
        <f aca="false">N90</f>
        <v>1508.21111597563</v>
      </c>
      <c r="N127" s="174" t="n">
        <f aca="false">IF(M105="YES", N89*N57, 0)</f>
        <v>464.472</v>
      </c>
      <c r="O127" s="174"/>
      <c r="P127" s="174" t="n">
        <f aca="false">N91</f>
        <v>1585.62311597563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2380.67540766531</v>
      </c>
      <c r="B128" s="338" t="n">
        <f aca="false">IF(A105="YES", B89, 0)</f>
        <v>35.641775</v>
      </c>
      <c r="C128" s="342"/>
      <c r="D128" s="338" t="n">
        <f aca="false">B91</f>
        <v>2416.31718266531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2380.67540766531</v>
      </c>
      <c r="C131" s="280"/>
      <c r="D131" s="38" t="n">
        <f aca="false">IF(A105="YES", B89*B57, 0)</f>
        <v>35.641775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10849.7819064174</v>
      </c>
      <c r="H133" s="99" t="n">
        <f aca="false">IF(G105="YES", H89*H57, 0)</f>
        <v>557.3664</v>
      </c>
      <c r="I133" s="217"/>
      <c r="J133" s="181" t="n">
        <f aca="false">H91*H57</f>
        <v>11407.1483064174</v>
      </c>
      <c r="K133" s="212"/>
      <c r="L133" s="63"/>
      <c r="M133" s="182" t="n">
        <f aca="false">N90*N57</f>
        <v>9049.26669585379</v>
      </c>
      <c r="N133" s="99" t="n">
        <f aca="false">IF(M105="YES", N89*N57, 0)</f>
        <v>464.472</v>
      </c>
      <c r="O133" s="217"/>
      <c r="P133" s="181" t="n">
        <f aca="false">N91*N57</f>
        <v>9513.73869585379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2416.31718266531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2380.67540766531</v>
      </c>
      <c r="B137" s="38" t="n">
        <f aca="false">IF(A105="YES", B89, 0)</f>
        <v>35.641775</v>
      </c>
      <c r="C137" s="280"/>
      <c r="D137" s="38" t="n">
        <f aca="false">B91</f>
        <v>2416.31718266531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6.58002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6.58002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374.04</v>
      </c>
      <c r="B148" s="99" t="n">
        <f aca="false">B102</f>
        <v>400</v>
      </c>
      <c r="C148" s="38"/>
      <c r="D148" s="38" t="n">
        <f aca="false">IF(A105="YES", (B40*B105)*B125, 0)*0.1</f>
        <v>9.87003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883.90003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1901.1913844029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1585.62311597563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2416.31718266531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12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2380.67540766531</v>
      </c>
      <c r="B177" s="367" t="n">
        <f aca="false">IF(A105="YES", B89, 0)</f>
        <v>35.641775</v>
      </c>
      <c r="C177" s="369"/>
      <c r="D177" s="367" t="n">
        <f aca="false">B91</f>
        <v>2416.31718266531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2380.67540766531</v>
      </c>
      <c r="C180" s="282"/>
      <c r="D180" s="99" t="n">
        <f aca="false">IF(A105="YES", B89*B57, 0)</f>
        <v>35.641775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2416.31718266531</v>
      </c>
      <c r="B183" s="99" t="n">
        <f aca="false">E114</f>
        <v>4000</v>
      </c>
      <c r="C183" s="282"/>
      <c r="D183" s="371" t="n">
        <f aca="false">B58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2380.67540766531</v>
      </c>
      <c r="B186" s="99" t="n">
        <f aca="false">IF(A105="YES", B89, 0)</f>
        <v>35.641775</v>
      </c>
      <c r="C186" s="282"/>
      <c r="D186" s="99" t="n">
        <f aca="false">B91</f>
        <v>2416.31718266531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374.04</v>
      </c>
      <c r="B197" s="99" t="n">
        <f aca="false">B102</f>
        <v>400</v>
      </c>
      <c r="C197" s="99"/>
      <c r="D197" s="99" t="n">
        <f aca="false">IF(A105="YES", (B40*B105)*B125, 0)*0.1</f>
        <v>9.87003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883.90003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2012.49972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438.6903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2077.15002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2012.49972</v>
      </c>
      <c r="C217" s="381" t="s">
        <v>221</v>
      </c>
      <c r="D217" s="280"/>
      <c r="E217" s="309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2077.15002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98.7003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239.972081092664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38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397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398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399</v>
      </c>
      <c r="C35" s="219"/>
      <c r="D35" s="219" t="s">
        <v>400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380</v>
      </c>
      <c r="C38" s="219"/>
      <c r="D38" s="100" t="s">
        <v>394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397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398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399</v>
      </c>
      <c r="C35" s="219"/>
      <c r="D35" s="219" t="s">
        <v>400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380</v>
      </c>
      <c r="C38" s="219"/>
      <c r="D38" s="100" t="s">
        <v>394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388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380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385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397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398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399</v>
      </c>
      <c r="C35" s="219"/>
      <c r="D35" s="219" t="s">
        <v>400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380</v>
      </c>
      <c r="C38" s="219"/>
      <c r="D38" s="100" t="s">
        <v>394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388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380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387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380</v>
      </c>
      <c r="C38" s="219"/>
      <c r="D38" s="100" t="s">
        <v>394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395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292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10000.0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200.0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5.0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0.0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0.0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200.0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200.0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448.218055555556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630.789698086146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1000.0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400.0</v>
      </c>
      <c r="C108" s="103"/>
      <c r="D108" s="103" t="n">
        <v>200.0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380</v>
      </c>
      <c r="B111" s="331" t="n">
        <v>30.0</v>
      </c>
      <c r="C111" s="331"/>
      <c r="D111" s="103" t="s">
        <v>391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380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10000.0</v>
      </c>
      <c r="E118" s="103" t="n">
        <v>6000.0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0.0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6.864</v>
      </c>
      <c r="C134" s="394"/>
      <c r="D134" s="338" t="n">
        <f aca="false">B97</f>
        <v>630.789698086146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61.776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280"/>
      <c r="D143" s="38" t="n">
        <f aca="false">B97</f>
        <v>630.789698086146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6.864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61.776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282"/>
      <c r="D186" s="99" t="n">
        <f aca="false">B97</f>
        <v>630.789698086146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358.998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3832.098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19.008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382</v>
      </c>
      <c r="C38" s="219"/>
      <c r="D38" s="100" t="s">
        <v>394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10000.0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200.0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5.0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165.0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355.0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200.0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200.0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818.133232822375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1000.0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400.0</v>
      </c>
      <c r="C108" s="103"/>
      <c r="D108" s="103" t="n">
        <v>200.0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382</v>
      </c>
      <c r="B111" s="331" t="n">
        <v>0.0</v>
      </c>
      <c r="C111" s="331"/>
      <c r="D111" s="103" t="s">
        <v>391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380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10000.0</v>
      </c>
      <c r="E118" s="103" t="n">
        <v>6000.0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0.0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0</v>
      </c>
      <c r="C134" s="394"/>
      <c r="D134" s="338" t="n">
        <f aca="false">B97</f>
        <v>818.133232822375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7363.19909540137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0</v>
      </c>
      <c r="C143" s="280"/>
      <c r="D143" s="38" t="n">
        <f aca="false">B97</f>
        <v>818.133232822375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818.133232822375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0</v>
      </c>
      <c r="C177" s="395"/>
      <c r="D177" s="367" t="n">
        <f aca="false">B91</f>
        <v>13720.74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7363.19909540137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0</v>
      </c>
      <c r="C186" s="282"/>
      <c r="D186" s="99" t="n">
        <f aca="false">B97</f>
        <v>818.133232822375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382</v>
      </c>
      <c r="C38" s="219"/>
      <c r="D38" s="100" t="s">
        <v>394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292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10000.0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200.0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5.0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0.0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0.0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200.0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200.0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11433.95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634.431399489041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1000.0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400.0</v>
      </c>
      <c r="C108" s="103"/>
      <c r="D108" s="103" t="n">
        <v>200.0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382</v>
      </c>
      <c r="B111" s="331" t="n">
        <v>0.0</v>
      </c>
      <c r="C111" s="331"/>
      <c r="D111" s="103" t="s">
        <v>391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380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10000.0</v>
      </c>
      <c r="E118" s="103" t="n">
        <v>6000.0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0.0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6.864</v>
      </c>
      <c r="C134" s="394"/>
      <c r="D134" s="338" t="n">
        <f aca="false">B97</f>
        <v>634.431399489041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61.776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5709.88259540137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6.864</v>
      </c>
      <c r="C143" s="280"/>
      <c r="D143" s="38" t="n">
        <f aca="false">B97</f>
        <v>634.431399489041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634.431399489041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6.864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61.776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5709.88259540137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6.864</v>
      </c>
      <c r="C186" s="282"/>
      <c r="D186" s="99" t="n">
        <f aca="false">B97</f>
        <v>634.431399489041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358.998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3832.098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19.008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262" t="s">
        <v>397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398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399</v>
      </c>
      <c r="C35" s="219"/>
      <c r="D35" s="219" t="s">
        <v>400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401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380</v>
      </c>
      <c r="C38" s="219"/>
      <c r="D38" s="100" t="s">
        <v>394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388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380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385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48237.5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380</v>
      </c>
      <c r="C38" s="219"/>
      <c r="D38" s="100" t="s">
        <v>394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560</v>
      </c>
      <c r="C41" s="237"/>
      <c r="D41" s="100" t="s">
        <v>402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403</v>
      </c>
      <c r="C44" s="100"/>
      <c r="D44" s="100" t="s">
        <v>405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404</v>
      </c>
      <c r="C47" s="396"/>
      <c r="D47" s="100" t="s">
        <v>404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10000.0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200.0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5.0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0.0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0.0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200.0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200.0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448.218055555556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701.925698086146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1000.0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400.0</v>
      </c>
      <c r="C108" s="103"/>
      <c r="D108" s="103" t="n">
        <v>200.0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380</v>
      </c>
      <c r="B111" s="334" t="n">
        <v>30.0</v>
      </c>
      <c r="C111" s="334"/>
      <c r="D111" s="103" t="s">
        <v>391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380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10000.0</v>
      </c>
      <c r="E118" s="103" t="n">
        <v>6000.0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0.0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78</v>
      </c>
      <c r="C134" s="394"/>
      <c r="D134" s="338" t="n">
        <f aca="false">B97</f>
        <v>701.925698086146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280"/>
      <c r="D143" s="38" t="n">
        <f aca="false">B97</f>
        <v>701.925698086146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78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282"/>
      <c r="D186" s="99" t="n">
        <f aca="false">B97</f>
        <v>701.925698086146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555.99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4029.09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380</v>
      </c>
      <c r="C38" s="219"/>
      <c r="D38" s="100" t="s">
        <v>394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386</v>
      </c>
      <c r="B41" s="237" t="n">
        <f aca="false">IF(B38="YES", D38+A41, D38)</f>
        <v>550</v>
      </c>
      <c r="C41" s="237"/>
      <c r="D41" s="100" t="s">
        <v>402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403</v>
      </c>
      <c r="C44" s="100"/>
      <c r="D44" s="100" t="s">
        <v>404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404</v>
      </c>
      <c r="C47" s="396"/>
      <c r="D47" s="100" t="s">
        <v>404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10000.0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200.0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5.0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165.0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355.0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200.0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200.0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72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890.133232822375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1000.0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400.0</v>
      </c>
      <c r="C108" s="103"/>
      <c r="D108" s="103" t="n">
        <v>200.0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380</v>
      </c>
      <c r="B111" s="331" t="n">
        <v>30.0</v>
      </c>
      <c r="C111" s="331"/>
      <c r="D111" s="103" t="s">
        <v>391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380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10000.0</v>
      </c>
      <c r="E118" s="103" t="n">
        <v>6000.0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0.0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72</v>
      </c>
      <c r="C134" s="394"/>
      <c r="D134" s="338" t="n">
        <f aca="false">B97</f>
        <v>890.133232822375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648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8011.19909540137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72</v>
      </c>
      <c r="C143" s="280"/>
      <c r="D143" s="38" t="n">
        <f aca="false">B97</f>
        <v>890.133232822375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1090.84166666667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890.133232822375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72</v>
      </c>
      <c r="C177" s="395"/>
      <c r="D177" s="367" t="n">
        <f aca="false">B97</f>
        <v>890.133232822375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648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8011.19909540137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72</v>
      </c>
      <c r="C186" s="282"/>
      <c r="D186" s="99" t="n">
        <f aca="false">B97</f>
        <v>890.133232822375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1090.84166666667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459.991666666667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3933.09166666667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3933.09166666667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120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380</v>
      </c>
      <c r="C38" s="219"/>
      <c r="D38" s="100" t="s">
        <v>394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386</v>
      </c>
      <c r="B41" s="237" t="n">
        <f aca="false">IF(B38="YES", D38+A41, D38)</f>
        <v>550</v>
      </c>
      <c r="C41" s="237"/>
      <c r="D41" s="100" t="s">
        <v>402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403</v>
      </c>
      <c r="C44" s="100"/>
      <c r="D44" s="100" t="s">
        <v>404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404</v>
      </c>
      <c r="C47" s="396"/>
      <c r="D47" s="100" t="s">
        <v>404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10000.0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200.0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5.0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165.0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355.0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200.0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200.0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11433.95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692.567399489041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1000.0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400.0</v>
      </c>
      <c r="C108" s="103"/>
      <c r="D108" s="103" t="n">
        <v>200.0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380</v>
      </c>
      <c r="B111" s="331" t="n">
        <v>30.0</v>
      </c>
      <c r="C111" s="331"/>
      <c r="D111" s="103" t="s">
        <v>391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380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10000.0</v>
      </c>
      <c r="E118" s="103" t="n">
        <v>6000.0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0.0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65</v>
      </c>
      <c r="C134" s="394"/>
      <c r="D134" s="338" t="n">
        <f aca="false">B97</f>
        <v>692.567399489041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6233.10659540137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65</v>
      </c>
      <c r="C143" s="280"/>
      <c r="D143" s="38" t="n">
        <f aca="false">B97</f>
        <v>692.567399489041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692.567399489041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65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6233.10659540137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65</v>
      </c>
      <c r="C186" s="282"/>
      <c r="D186" s="99" t="n">
        <f aca="false">B97</f>
        <v>692.567399489041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381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9000.0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502.1063622007</v>
      </c>
      <c r="F33" s="228"/>
      <c r="G33" s="228"/>
      <c r="H33" s="47"/>
      <c r="I33" s="2"/>
      <c r="J33" s="34" t="s">
        <v>349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str">
        <f aca="false">IF(B26="YES", K42, "0.00")</f>
        <v>0.00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17770</v>
      </c>
      <c r="L39" s="2" t="n">
        <f aca="false">(L47*K46)+K44</f>
        <v>27244.2751190162</v>
      </c>
      <c r="N39" s="1" t="n">
        <f aca="false">K39-L39</f>
        <v>-9474.27511901621</v>
      </c>
      <c r="P39" s="208"/>
    </row>
    <row r="40" customFormat="false" ht="17.35" hidden="false" customHeight="false" outlineLevel="0" collapsed="false">
      <c r="A40" s="103" t="n">
        <f aca="false">E36*A45/100</f>
        <v>27500.0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2187.5</v>
      </c>
      <c r="L40" s="2" t="n">
        <f aca="false">K39-L39</f>
        <v>-9474.27511901621</v>
      </c>
      <c r="N40" s="1" t="n">
        <f aca="false">N38-N39</f>
        <v>12385.9551190162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446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502.1063622007</v>
      </c>
      <c r="L47" s="2" t="n">
        <f aca="false">L49-K42</f>
        <v>800</v>
      </c>
      <c r="M47" s="1" t="n">
        <f aca="false">K47-L47</f>
        <v>-297.8936377993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502.1063622007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502.1063622007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7285.07384301576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990.968480743693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502.1063622007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502.1063622007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23009.6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17234.5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2625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1879.98018938747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21129.6198106125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15439.3868682187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731.141074118831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546.020328169653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24858.7965200403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18564.6911577682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24858.7965200403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18564.6911577682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731.141074118831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546.020328169653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731.141074118831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546.020328169653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546.020328169653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380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384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380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385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152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152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48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156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156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25509.6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21258</v>
      </c>
      <c r="Q141" s="154" t="n">
        <f aca="false">(Q135+Q136+Q139+Q140+Q137)-Q138</f>
        <v>35519.004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21258</v>
      </c>
      <c r="Z141" s="154" t="n">
        <f aca="false">(Z135+Z136+Z139+Z140+Z137)-Z138</f>
        <v>16234.5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21258</v>
      </c>
      <c r="Z147" s="161" t="n">
        <f aca="false">Z141-((Z144*1.2)+(Z145*1.2)+(Z146*1.2)+(Z142*1.2))</f>
        <v>16234.5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2952.5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17234.5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731.141074118831</v>
      </c>
      <c r="B167" s="174" t="str">
        <f aca="false">B94</f>
        <v>0</v>
      </c>
      <c r="C167" s="171"/>
      <c r="D167" s="171"/>
      <c r="E167" s="174" t="n">
        <f aca="false">B96</f>
        <v>731.141074118831</v>
      </c>
      <c r="F167" s="23"/>
      <c r="G167" s="23"/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546.020328169653</v>
      </c>
      <c r="T167" s="174" t="n">
        <f aca="false">T94</f>
        <v>0</v>
      </c>
      <c r="U167" s="171"/>
      <c r="V167" s="171"/>
      <c r="W167" s="174" t="n">
        <f aca="false">T96</f>
        <v>546.020328169653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0</v>
      </c>
      <c r="AD167" s="171"/>
      <c r="AE167" s="171"/>
      <c r="AF167" s="174" t="n">
        <f aca="false">AC96</f>
        <v>546.020328169653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16234.5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17234.5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4474.19652004026</v>
      </c>
      <c r="B182" s="99" t="str">
        <f aca="false">B114</f>
        <v>199.99</v>
      </c>
      <c r="C182" s="99"/>
      <c r="D182" s="23"/>
      <c r="E182" s="99" t="n">
        <f aca="false">E179+A182+B182+A185</f>
        <v>27693.7865200403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3955.19115776819</v>
      </c>
      <c r="T182" s="99" t="n">
        <f aca="false">T114</f>
        <v>199.99</v>
      </c>
      <c r="U182" s="99"/>
      <c r="V182" s="23"/>
      <c r="W182" s="99" t="n">
        <f aca="false">W179+S182+T182+S185</f>
        <v>21399.6811577682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187.751944444444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140.628732638889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287.741944444444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1240.61873263889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731.141074118831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546.020328169653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546.020328169653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731.141074118831</v>
      </c>
      <c r="B212" s="174" t="str">
        <f aca="false">B167</f>
        <v>0</v>
      </c>
      <c r="C212" s="171"/>
      <c r="D212" s="171"/>
      <c r="E212" s="174" t="n">
        <f aca="false">E167</f>
        <v>731.141074118831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4474.19652004026</v>
      </c>
      <c r="B224" s="99" t="str">
        <f aca="false">B182</f>
        <v>199.99</v>
      </c>
      <c r="C224" s="99"/>
      <c r="D224" s="109"/>
      <c r="E224" s="99" t="n">
        <f aca="false">E182</f>
        <v>27693.7865200403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731.141074118831</v>
      </c>
      <c r="B230" s="99" t="str">
        <f aca="false">B167</f>
        <v>0</v>
      </c>
      <c r="C230" s="183"/>
      <c r="D230" s="183"/>
      <c r="E230" s="99" t="n">
        <f aca="false">E167</f>
        <v>731.141074118831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3830.74194444444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-125.312333333333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24858.7965200403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-125.312333333333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381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7200.0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524.75616379318</v>
      </c>
      <c r="F33" s="228"/>
      <c r="G33" s="228"/>
      <c r="H33" s="47"/>
      <c r="I33" s="2"/>
      <c r="J33" s="34" t="s">
        <v>349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524.75616379318</v>
      </c>
      <c r="B36" s="228" t="str">
        <f aca="false">IF(B26="YES", K42, "0.00")</f>
        <v>0.00</v>
      </c>
      <c r="C36" s="228"/>
      <c r="D36" s="228"/>
      <c r="E36" s="228" t="n">
        <f aca="false">K31</f>
        <v>1575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17770</v>
      </c>
      <c r="L39" s="2" t="n">
        <f aca="false">(L47*K46)+K44</f>
        <v>26523.9158214374</v>
      </c>
      <c r="N39" s="1" t="n">
        <f aca="false">K39-L39</f>
        <v>-8753.91582143743</v>
      </c>
      <c r="P39" s="208"/>
    </row>
    <row r="40" customFormat="false" ht="17.35" hidden="false" customHeight="false" outlineLevel="0" collapsed="false">
      <c r="A40" s="103" t="n">
        <f aca="false">E36*A45/100</f>
        <v>27500.0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1312.5</v>
      </c>
      <c r="L40" s="2" t="n">
        <f aca="false">K39-L39</f>
        <v>-8753.91582143743</v>
      </c>
      <c r="N40" s="1" t="n">
        <f aca="false">N38-N39</f>
        <v>11665.5958214374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1080.53894636818</v>
      </c>
      <c r="L44" s="2"/>
      <c r="P44" s="208"/>
    </row>
    <row r="45" customFormat="false" ht="17.35" hidden="false" customHeight="false" outlineLevel="0" collapsed="false">
      <c r="A45" s="504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16689.4610536318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524.75616379318</v>
      </c>
      <c r="L47" s="2" t="n">
        <f aca="false">L49-K42</f>
        <v>800</v>
      </c>
      <c r="M47" s="1" t="n">
        <f aca="false">K47-L47</f>
        <v>-275.24383620682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524.75616379318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524.75616379318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7377.0423042598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31302.1227403972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7041.59414336831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1061.62035562745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524.75616379318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524.75616379318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524.75616379318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524.75616379318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23009.6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1575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1575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1127.98811363248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1077.06787906881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1077.06787906881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21881.6118863675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21130.6971209312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16157.4321209312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757.162001088856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747.295878709695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571.414296717317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25743.5080370211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25408.0598761296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19428.0860883888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25743.5080370211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25408.0598761296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19428.0860883888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757.162001088856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747.295878709695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571.414296717317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757.162001088856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747.295878709695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571.414296717317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380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384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380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387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152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152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48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156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156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25509.6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21258</v>
      </c>
      <c r="Q141" s="154" t="n">
        <f aca="false">(Q135+Q136+Q139+Q140+Q137)-Q138</f>
        <v>35519.004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21258</v>
      </c>
      <c r="Z141" s="154" t="n">
        <f aca="false">(Z135+Z136+Z139+Z140+Z137)-Z138</f>
        <v>21207.765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2952.5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757.162001088856</v>
      </c>
      <c r="B167" s="174" t="str">
        <f aca="false">B94</f>
        <v>0</v>
      </c>
      <c r="C167" s="171"/>
      <c r="D167" s="171"/>
      <c r="E167" s="174" t="n">
        <f aca="false">B96</f>
        <v>757.162001088856</v>
      </c>
      <c r="F167" s="23"/>
      <c r="G167" s="23"/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747.295878709695</v>
      </c>
      <c r="T167" s="174" t="n">
        <f aca="false">T94</f>
        <v>0</v>
      </c>
      <c r="U167" s="171"/>
      <c r="V167" s="171"/>
      <c r="W167" s="174" t="n">
        <f aca="false">T96</f>
        <v>747.295878709695</v>
      </c>
      <c r="X167" s="23"/>
      <c r="Y167" s="23"/>
      <c r="Z167" s="33"/>
      <c r="AB167" s="173" t="n">
        <f aca="false">AC95</f>
        <v>571.414296717317</v>
      </c>
      <c r="AC167" s="174" t="n">
        <f aca="false">AC94</f>
        <v>0</v>
      </c>
      <c r="AD167" s="171"/>
      <c r="AE167" s="171"/>
      <c r="AF167" s="174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1575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1575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1575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4308.90803702112</v>
      </c>
      <c r="B182" s="99" t="str">
        <f aca="false">B114</f>
        <v>239.99</v>
      </c>
      <c r="C182" s="99"/>
      <c r="D182" s="23"/>
      <c r="E182" s="99" t="n">
        <f aca="false">E179+A182+B182+A185</f>
        <v>27568.4980370211</v>
      </c>
      <c r="F182" s="23"/>
      <c r="G182" s="23"/>
      <c r="H182" s="101"/>
      <c r="J182" s="107" t="n">
        <f aca="false">(J167*K59)+N185-N179-J185</f>
        <v>14724.5844731586</v>
      </c>
      <c r="K182" s="99" t="n">
        <f aca="false">K114</f>
        <v>239.99</v>
      </c>
      <c r="L182" s="99"/>
      <c r="M182" s="23"/>
      <c r="N182" s="99" t="n">
        <f aca="false">N179+J182+K182+J185</f>
        <v>51503.5784731586</v>
      </c>
      <c r="O182" s="23"/>
      <c r="P182" s="23"/>
      <c r="Q182" s="101"/>
      <c r="S182" s="107" t="n">
        <f aca="false">(S167*T59)+W185-W179-S185</f>
        <v>4775.29487612963</v>
      </c>
      <c r="T182" s="99" t="n">
        <f aca="false">T114</f>
        <v>199.99</v>
      </c>
      <c r="U182" s="99"/>
      <c r="V182" s="23"/>
      <c r="W182" s="99" t="n">
        <f aca="false">W179+S182+T182+S185</f>
        <v>27193.0498761296</v>
      </c>
      <c r="X182" s="23"/>
      <c r="Y182" s="23"/>
      <c r="Z182" s="101"/>
      <c r="AB182" s="107" t="n">
        <f aca="false">(AB167*AC59)+AF185-AF179-AB185</f>
        <v>3768.58608838877</v>
      </c>
      <c r="AC182" s="99" t="n">
        <f aca="false">AC114</f>
        <v>239.99</v>
      </c>
      <c r="AD182" s="99"/>
      <c r="AE182" s="23"/>
      <c r="AF182" s="99" t="n">
        <f aca="false">AF179+AB182+AC182+AB185</f>
        <v>21253.0760883888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225.302333333333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325.294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1281.19919357639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757.162001088856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747.295878709695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757.162001088856</v>
      </c>
      <c r="B212" s="174" t="str">
        <f aca="false">B167</f>
        <v>0</v>
      </c>
      <c r="C212" s="171"/>
      <c r="D212" s="171"/>
      <c r="E212" s="174" t="n">
        <f aca="false">E167</f>
        <v>757.162001088856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4308.90803702112</v>
      </c>
      <c r="B224" s="99" t="str">
        <f aca="false">B182</f>
        <v>239.99</v>
      </c>
      <c r="C224" s="99"/>
      <c r="D224" s="109"/>
      <c r="E224" s="99" t="n">
        <f aca="false">E182</f>
        <v>27568.4980370211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757.162001088856</v>
      </c>
      <c r="B230" s="99" t="str">
        <f aca="false">B167</f>
        <v>0</v>
      </c>
      <c r="C230" s="183"/>
      <c r="D230" s="183"/>
      <c r="E230" s="99" t="n">
        <f aca="false">E167</f>
        <v>757.162001088856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1575</v>
      </c>
      <c r="B233" s="99" t="n">
        <f aca="false">E185</f>
        <v>1585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3830.74361111111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-125.310666666667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25743.5080370211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-125.310666666667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38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38" t="n">
        <v>585.0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382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381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5400.0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502.1063622007</v>
      </c>
      <c r="F33" s="228"/>
      <c r="G33" s="228"/>
      <c r="H33" s="47"/>
      <c r="I33" s="2"/>
      <c r="J33" s="34" t="s">
        <v>349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str">
        <f aca="false">IF(B26="YES", K42, "0.00")</f>
        <v>0.00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17770</v>
      </c>
      <c r="L39" s="2" t="n">
        <f aca="false">(L47*K46)+K44</f>
        <v>27244.2751190162</v>
      </c>
      <c r="N39" s="1" t="n">
        <f aca="false">K39-L39</f>
        <v>-9474.27511901621</v>
      </c>
      <c r="P39" s="208"/>
    </row>
    <row r="40" customFormat="false" ht="17.35" hidden="false" customHeight="false" outlineLevel="0" collapsed="false">
      <c r="A40" s="333" t="n">
        <f aca="false">E36*A45/100</f>
        <v>27500.0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2187.5</v>
      </c>
      <c r="L40" s="2" t="n">
        <f aca="false">K39-L39</f>
        <v>-9474.27511901621</v>
      </c>
      <c r="N40" s="1" t="n">
        <f aca="false">N38-N39</f>
        <v>12385.9551190162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502.1063622007</v>
      </c>
      <c r="L47" s="2" t="n">
        <f aca="false">L49-K42</f>
        <v>800</v>
      </c>
      <c r="M47" s="1" t="n">
        <f aca="false">K47-L47</f>
        <v>-297.8936377993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502.1063622007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502.1063622007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8180.55706913093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502.1063622007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502.1063622007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23009.6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2625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1764.31286730535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21245.2871326946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757.478816063395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25754.2797461554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25754.2797461554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757.478816063395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757.478816063395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721.901910162031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546.020328169653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382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388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380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387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152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152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48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156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156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25509.6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21258</v>
      </c>
      <c r="Q141" s="154" t="n">
        <f aca="false">(Q135+Q136+Q139+Q140+Q137)-Q138</f>
        <v>35519.004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21258</v>
      </c>
      <c r="Z141" s="154" t="n">
        <f aca="false">(Z135+Z136+Z139+Z140+Z137)-Z138</f>
        <v>21207.765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2952.5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757.478816063395</v>
      </c>
      <c r="B167" s="174" t="str">
        <f aca="false">B94</f>
        <v>0</v>
      </c>
      <c r="C167" s="171"/>
      <c r="D167" s="171"/>
      <c r="E167" s="174" t="n">
        <f aca="false">B96</f>
        <v>757.478816063395</v>
      </c>
      <c r="F167" s="23"/>
      <c r="G167" s="23"/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0</v>
      </c>
      <c r="U167" s="171"/>
      <c r="V167" s="171"/>
      <c r="W167" s="174" t="n">
        <f aca="false">T96</f>
        <v>721.901910162031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0</v>
      </c>
      <c r="AD167" s="171"/>
      <c r="AE167" s="171"/>
      <c r="AF167" s="174" t="n">
        <f aca="false">AC96</f>
        <v>546.020328169653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5369.67974615542</v>
      </c>
      <c r="B182" s="99" t="str">
        <f aca="false">B114</f>
        <v>239.99</v>
      </c>
      <c r="C182" s="99"/>
      <c r="D182" s="23"/>
      <c r="E182" s="99" t="n">
        <f aca="false">E179+A182+B182+A185</f>
        <v>28629.2697461554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187.751944444444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287.743611111111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1281.19919357639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757.478816063395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721.901910162031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546.020328169653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757.478816063395</v>
      </c>
      <c r="B212" s="174" t="str">
        <f aca="false">B167</f>
        <v>0</v>
      </c>
      <c r="C212" s="171"/>
      <c r="D212" s="171"/>
      <c r="E212" s="174" t="n">
        <f aca="false">E167</f>
        <v>757.478816063395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5369.67974615542</v>
      </c>
      <c r="B224" s="99" t="str">
        <f aca="false">B182</f>
        <v>239.99</v>
      </c>
      <c r="C224" s="99"/>
      <c r="D224" s="109"/>
      <c r="E224" s="99" t="n">
        <f aca="false">E182</f>
        <v>28629.2697461554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757.478816063395</v>
      </c>
      <c r="B230" s="99" t="str">
        <f aca="false">B167</f>
        <v>0</v>
      </c>
      <c r="C230" s="183"/>
      <c r="D230" s="183"/>
      <c r="E230" s="99" t="n">
        <f aca="false">E167</f>
        <v>757.478816063395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15.06816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3830.74361111111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-125.310666666667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25754.2797461554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-125.310666666667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16745</v>
      </c>
      <c r="F9" s="149"/>
      <c r="G9" s="133"/>
      <c r="H9" s="439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275.0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382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381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10800.0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502.1063622007</v>
      </c>
      <c r="F33" s="228"/>
      <c r="G33" s="228"/>
      <c r="H33" s="47"/>
      <c r="I33" s="2"/>
      <c r="J33" s="34" t="s">
        <v>349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str">
        <f aca="false">IF(B26="YES", K42, "0.00")</f>
        <v>0.00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17770</v>
      </c>
      <c r="L39" s="2" t="n">
        <f aca="false">(L47*K46)+K44</f>
        <v>27244.2751190162</v>
      </c>
      <c r="N39" s="1" t="n">
        <f aca="false">K39-L39</f>
        <v>-9474.27511901621</v>
      </c>
      <c r="P39" s="208"/>
    </row>
    <row r="40" customFormat="false" ht="17.35" hidden="false" customHeight="false" outlineLevel="0" collapsed="false">
      <c r="A40" s="333" t="n">
        <f aca="false">E36*A45/100</f>
        <v>27500.0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2187.5</v>
      </c>
      <c r="L40" s="2" t="n">
        <f aca="false">K39-L39</f>
        <v>-9474.27511901621</v>
      </c>
      <c r="N40" s="1" t="n">
        <f aca="false">N38-N39</f>
        <v>12385.9551190162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6" t="n">
        <v>100.0</v>
      </c>
      <c r="B45" s="130"/>
      <c r="C45" s="505" t="n">
        <v>100.0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502.1063622007</v>
      </c>
      <c r="L47" s="2" t="n">
        <f aca="false">L49-K42</f>
        <v>800</v>
      </c>
      <c r="M47" s="1" t="n">
        <f aca="false">K47-L47</f>
        <v>-297.8936377993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502.1063622007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502.1063622007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6057.20631742734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173.459375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502.1063622007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502.1063622007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21258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2625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1764.31286730535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19493.6871326947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695.02732336623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23630.9289944518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23630.9289944518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695.02732336623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695.02732336623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721.901910162031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546.020328169653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382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388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380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385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152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152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48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156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156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21258</v>
      </c>
      <c r="H141" s="154" t="n">
        <f aca="false">(H135+H136+H139+H140+H137)-H138</f>
        <v>21258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21258</v>
      </c>
      <c r="Q141" s="154" t="n">
        <f aca="false">(Q135+Q136+Q139+Q140+Q137)-Q138</f>
        <v>35519.004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21258</v>
      </c>
      <c r="Z141" s="154" t="n">
        <f aca="false">(Z135+Z136+Z139+Z140+Z137)-Z138</f>
        <v>21207.765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2000.0</v>
      </c>
      <c r="F152" s="103"/>
      <c r="G152" s="103" t="n">
        <v>1000.0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500.0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695.02732336623</v>
      </c>
      <c r="B167" s="174" t="str">
        <f aca="false">B94</f>
        <v>0</v>
      </c>
      <c r="C167" s="171"/>
      <c r="D167" s="171"/>
      <c r="E167" s="174" t="n">
        <f aca="false">B96</f>
        <v>695.02732336623</v>
      </c>
      <c r="F167" s="23"/>
      <c r="G167" s="23"/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0</v>
      </c>
      <c r="U167" s="171"/>
      <c r="V167" s="171"/>
      <c r="W167" s="174" t="n">
        <f aca="false">T96</f>
        <v>721.901910162031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0</v>
      </c>
      <c r="AD167" s="171"/>
      <c r="AE167" s="171"/>
      <c r="AF167" s="174" t="n">
        <f aca="false">AC96</f>
        <v>546.020328169653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4997.92899445183</v>
      </c>
      <c r="B182" s="99" t="str">
        <f aca="false">B114</f>
        <v>199.99</v>
      </c>
      <c r="C182" s="99"/>
      <c r="D182" s="23"/>
      <c r="E182" s="99" t="n">
        <f aca="false">E179+A182+B182+A185</f>
        <v>26465.9189944518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173.459375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273.449375</v>
      </c>
      <c r="C191" s="130"/>
      <c r="D191" s="130"/>
      <c r="E191" s="99" t="n">
        <f aca="false">H148</f>
        <v>0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1281.19919357639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695.02732336623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721.901910162031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546.020328169653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695.02732336623</v>
      </c>
      <c r="B212" s="174" t="str">
        <f aca="false">B167</f>
        <v>0</v>
      </c>
      <c r="C212" s="171"/>
      <c r="D212" s="171"/>
      <c r="E212" s="174" t="n">
        <f aca="false">E167</f>
        <v>695.02732336623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4997.92899445183</v>
      </c>
      <c r="B224" s="99" t="str">
        <f aca="false">B182</f>
        <v>199.99</v>
      </c>
      <c r="C224" s="99"/>
      <c r="D224" s="109"/>
      <c r="E224" s="99" t="n">
        <f aca="false">E182</f>
        <v>26465.9189944518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695.02732336623</v>
      </c>
      <c r="B230" s="99" t="str">
        <f aca="false">B167</f>
        <v>0</v>
      </c>
      <c r="C230" s="183"/>
      <c r="D230" s="183"/>
      <c r="E230" s="99" t="n">
        <f aca="false">E167</f>
        <v>695.02732336623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12.5568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B68</f>
        <v>173.459375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273.449375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208.15125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-108.16125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23630.9289944518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208.15125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-108.16125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tru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16745</v>
      </c>
      <c r="C7" s="277" t="n">
        <f aca="false">C3-C6</f>
        <v>0</v>
      </c>
      <c r="D7" s="277" t="n">
        <f aca="false">D3-D6</f>
        <v>0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16745</v>
      </c>
      <c r="F9" s="63"/>
      <c r="G9" s="453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 E9 + E10 ) * 0.2</f>
        <v>3488</v>
      </c>
      <c r="F11" s="63"/>
      <c r="G11" s="453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21258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21078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381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18000.0</v>
      </c>
      <c r="I31" s="234" t="n">
        <f aca="false">IF(C107="YES",H31,0)</f>
        <v>4365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4689.299999999999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696.451435770397</v>
      </c>
      <c r="E33" s="212"/>
      <c r="F33" s="63"/>
      <c r="G33" s="215" t="s">
        <v>349</v>
      </c>
      <c r="H33" s="459" t="n">
        <f aca="false">E21-E11+((E16*20%)+(E19*20%)+(E20*20%))</f>
        <v>17620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696.451435770397</v>
      </c>
      <c r="B36" s="99" t="str">
        <f aca="false">IF(B26="YES", H42, "")</f>
        <v/>
      </c>
      <c r="C36" s="217"/>
      <c r="D36" s="181" t="n">
        <f aca="false">I31</f>
        <v>4365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17620</v>
      </c>
      <c r="I39" s="234" t="n">
        <f aca="false">(I48*H46)+H44</f>
        <v>32174.3182318458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4365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3637.5</v>
      </c>
      <c r="I40" s="234" t="n">
        <f aca="false">H39-I39</f>
        <v>-14554.3182318458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3212.50015622193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369</v>
      </c>
      <c r="H45" s="234" t="n">
        <f aca="false">(H39-H44)</f>
        <v>14407.4998437781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696.451435770397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696.451435770397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696.451435770397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20928</v>
      </c>
      <c r="C61" s="211"/>
      <c r="D61" s="211"/>
      <c r="E61" s="212"/>
      <c r="F61" s="63"/>
      <c r="G61" s="210" t="s">
        <v>14</v>
      </c>
      <c r="H61" s="277" t="n">
        <f aca="false">G18</f>
        <v>20928</v>
      </c>
      <c r="I61" s="211"/>
      <c r="J61" s="211"/>
      <c r="K61" s="212"/>
      <c r="L61" s="63"/>
      <c r="M61" s="210" t="s">
        <v>14</v>
      </c>
      <c r="N61" s="277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1770.16</v>
      </c>
      <c r="C64" s="211" t="n">
        <v>10000.0</v>
      </c>
      <c r="D64" s="277" t="n">
        <f aca="false">B64-A143</f>
        <v>1770.16</v>
      </c>
      <c r="E64" s="212"/>
      <c r="F64" s="63"/>
      <c r="G64" s="310" t="s">
        <v>93</v>
      </c>
      <c r="H64" s="129" t="n">
        <f aca="false">H61*H63</f>
        <v>1770.16</v>
      </c>
      <c r="I64" s="211"/>
      <c r="J64" s="277" t="n">
        <f aca="false">H64-G145</f>
        <v>1770.16</v>
      </c>
      <c r="K64" s="212"/>
      <c r="L64" s="63"/>
      <c r="M64" s="310" t="s">
        <v>93</v>
      </c>
      <c r="N64" s="129" t="n">
        <f aca="false">N61*N63</f>
        <v>1770.16</v>
      </c>
      <c r="O64" s="211"/>
      <c r="P64" s="277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296.48</v>
      </c>
      <c r="C67" s="211"/>
      <c r="D67" s="277"/>
      <c r="E67" s="212"/>
      <c r="F67" s="63"/>
      <c r="G67" s="310" t="s">
        <v>96</v>
      </c>
      <c r="H67" s="129" t="n">
        <f aca="false">(H61*H66)/1.2</f>
        <v>247.066666666667</v>
      </c>
      <c r="I67" s="211"/>
      <c r="J67" s="277"/>
      <c r="K67" s="212"/>
      <c r="L67" s="63"/>
      <c r="M67" s="310" t="s">
        <v>96</v>
      </c>
      <c r="N67" s="129" t="n">
        <f aca="false">(N61*N66)/1.2</f>
        <v>247.066666666667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70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110</v>
      </c>
      <c r="C73" s="211"/>
      <c r="D73" s="277" t="n">
        <f aca="false">B73+B71</f>
        <v>310</v>
      </c>
      <c r="E73" s="212"/>
      <c r="F73" s="63"/>
      <c r="G73" s="310" t="s">
        <v>102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102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13" t="s">
        <v>278</v>
      </c>
      <c r="B74" s="414" t="n">
        <v>0.0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15" t="s">
        <v>279</v>
      </c>
      <c r="B75" s="416" t="n">
        <v>0.0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17" t="s">
        <v>280</v>
      </c>
      <c r="B76" s="418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3146.82666666667</v>
      </c>
      <c r="C81" s="211"/>
      <c r="D81" s="211"/>
      <c r="E81" s="212"/>
      <c r="F81" s="63"/>
      <c r="G81" s="422" t="s">
        <v>105</v>
      </c>
      <c r="H81" s="423" t="n">
        <f aca="false">SUM(J64:J80)</f>
        <v>2580.41</v>
      </c>
      <c r="I81" s="211"/>
      <c r="J81" s="211"/>
      <c r="K81" s="212"/>
      <c r="L81" s="63"/>
      <c r="M81" s="422" t="s">
        <v>105</v>
      </c>
      <c r="N81" s="42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143.037575757576</v>
      </c>
      <c r="C82" s="211"/>
      <c r="D82" s="211"/>
      <c r="E82" s="212"/>
      <c r="F82" s="63"/>
      <c r="G82" s="210" t="s">
        <v>106</v>
      </c>
      <c r="H82" s="419" t="n">
        <f aca="false">H81/H29</f>
        <v>117.291363636364</v>
      </c>
      <c r="I82" s="211"/>
      <c r="J82" s="211"/>
      <c r="K82" s="212"/>
      <c r="L82" s="63"/>
      <c r="M82" s="210" t="s">
        <v>106</v>
      </c>
      <c r="N82" s="41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696.451435770397</v>
      </c>
      <c r="C83" s="211"/>
      <c r="D83" s="211"/>
      <c r="E83" s="212"/>
      <c r="F83" s="63"/>
      <c r="G83" s="424" t="s">
        <v>107</v>
      </c>
      <c r="H83" s="425" t="n">
        <f aca="false">H47</f>
        <v>696.451435770397</v>
      </c>
      <c r="I83" s="211"/>
      <c r="J83" s="211"/>
      <c r="K83" s="212"/>
      <c r="L83" s="63"/>
      <c r="M83" s="424" t="s">
        <v>107</v>
      </c>
      <c r="N83" s="425" t="n">
        <f aca="false">H47</f>
        <v>696.451435770397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18468.7582536154</v>
      </c>
      <c r="C85" s="211"/>
      <c r="D85" s="211"/>
      <c r="E85" s="212"/>
      <c r="F85" s="63"/>
      <c r="G85" s="404" t="s">
        <v>117</v>
      </c>
      <c r="H85" s="127" t="n">
        <f aca="false">((H83*H29)+H81)*1.2</f>
        <v>21482.8099043385</v>
      </c>
      <c r="I85" s="211"/>
      <c r="J85" s="211"/>
      <c r="K85" s="212"/>
      <c r="L85" s="63"/>
      <c r="M85" s="404" t="s">
        <v>117</v>
      </c>
      <c r="N85" s="127" t="n">
        <f aca="false">((N83*H29)+N81)</f>
        <v>17751.0915869487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156.451764149223</v>
      </c>
      <c r="C86" s="211"/>
      <c r="D86" s="211"/>
      <c r="E86" s="212"/>
      <c r="F86" s="63"/>
      <c r="G86" s="210" t="s">
        <v>118</v>
      </c>
      <c r="H86" s="419" t="n">
        <f aca="false">((((H83*H29)+H81))/(1-H70))*H70</f>
        <v>151.653559227884</v>
      </c>
      <c r="I86" s="211"/>
      <c r="J86" s="211"/>
      <c r="K86" s="212"/>
      <c r="L86" s="63"/>
      <c r="M86" s="210" t="s">
        <v>118</v>
      </c>
      <c r="N86" s="419" t="n">
        <f aca="false">(N85/(1-N70))*N70</f>
        <v>150.372296621994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IF(B110="YES",((B85+B86)-E114),(B85+B86))</f>
        <v>18625.2100177646</v>
      </c>
      <c r="C87" s="211"/>
      <c r="D87" s="211"/>
      <c r="E87" s="212"/>
      <c r="F87" s="63"/>
      <c r="G87" s="310" t="s">
        <v>119</v>
      </c>
      <c r="H87" s="129" t="n">
        <f aca="false">IF(H110="YES",((H85+H86)-K114),(H85+H86))</f>
        <v>21634.4634635664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17901.4638835707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(D40+(D40*B105))/(B58), (D40+(D40*B105))/(B57+B58))*(C45/100)</f>
        <v>0</v>
      </c>
      <c r="C89" s="211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846.600455352938</v>
      </c>
      <c r="C90" s="211"/>
      <c r="D90" s="211"/>
      <c r="E90" s="212"/>
      <c r="F90" s="63"/>
      <c r="G90" s="427" t="s">
        <v>121</v>
      </c>
      <c r="H90" s="428" t="n">
        <f aca="false">IF(H99=Y98, (H87-J105)/(H58), H87/(H57+H58))</f>
        <v>801.276424576533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663.01718087299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846.600455352938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801.276424576533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663.01718087299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286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1000.0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400.0</v>
      </c>
      <c r="C102" s="103"/>
      <c r="D102" s="103" t="n">
        <v>200.0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380</v>
      </c>
      <c r="B105" s="334" t="n">
        <v>0.3</v>
      </c>
      <c r="C105" s="334"/>
      <c r="D105" s="103" t="n">
        <v>200.0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292</v>
      </c>
      <c r="C107" s="218" t="s">
        <v>380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382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801.276424576533</v>
      </c>
      <c r="H127" s="174" t="n">
        <f aca="false">IF(G105="YES", H89*H57, 0)</f>
        <v>0</v>
      </c>
      <c r="I127" s="174"/>
      <c r="J127" s="349" t="n">
        <f aca="false">H91</f>
        <v>801.276424576533</v>
      </c>
      <c r="K127" s="212"/>
      <c r="L127" s="63"/>
      <c r="M127" s="348" t="n">
        <f aca="false">N90</f>
        <v>663.01718087299</v>
      </c>
      <c r="N127" s="174" t="n">
        <f aca="false">IF(M105="YES", N89*N57, 0)</f>
        <v>0</v>
      </c>
      <c r="O127" s="174"/>
      <c r="P127" s="174" t="n">
        <f aca="false">N91</f>
        <v>663.01718087299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846.600455352938</v>
      </c>
      <c r="B128" s="338" t="n">
        <f aca="false">IF(A105="YES", B89, 0)</f>
        <v>0</v>
      </c>
      <c r="C128" s="342"/>
      <c r="D128" s="338" t="n">
        <f aca="false">B91</f>
        <v>846.600455352938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846.600455352938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4807.65854745919</v>
      </c>
      <c r="H133" s="99" t="n">
        <f aca="false">IF(G105="YES", H89*H57, 0)</f>
        <v>0</v>
      </c>
      <c r="I133" s="217"/>
      <c r="J133" s="181" t="n">
        <f aca="false">H91*H57</f>
        <v>4807.65854745919</v>
      </c>
      <c r="K133" s="212"/>
      <c r="L133" s="63"/>
      <c r="M133" s="182" t="n">
        <f aca="false">N90*N57</f>
        <v>3978.10308523794</v>
      </c>
      <c r="N133" s="99" t="n">
        <f aca="false">IF(M105="YES", N89*N57, 0)</f>
        <v>0</v>
      </c>
      <c r="O133" s="217"/>
      <c r="P133" s="181" t="n">
        <f aca="false">N91*N57</f>
        <v>3978.10308523794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846.600455352938</v>
      </c>
      <c r="B134" s="38" t="n">
        <f aca="false">E114</f>
        <v>4000</v>
      </c>
      <c r="C134" s="280"/>
      <c r="D134" s="352" t="n">
        <f aca="false">B58</f>
        <v>21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846.600455352938</v>
      </c>
      <c r="B137" s="38" t="n">
        <f aca="false">IF(A105="YES", B89, 0)</f>
        <v>0</v>
      </c>
      <c r="C137" s="280"/>
      <c r="D137" s="38" t="n">
        <f aca="false">B91</f>
        <v>846.600455352938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15.06816</v>
      </c>
      <c r="B140" s="358" t="n">
        <f aca="false">IF(A105="YES", G18*0.000002, 0)*1.2*100</f>
        <v>0</v>
      </c>
      <c r="C140" s="280"/>
      <c r="D140" s="358" t="n">
        <f aca="false">A140+B140</f>
        <v>15.06816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796.47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801.276424576533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663.01718087299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846.600455352938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846.600455352938</v>
      </c>
      <c r="B177" s="367" t="n">
        <f aca="false">IF(A105="YES", B89, 0)</f>
        <v>0</v>
      </c>
      <c r="C177" s="369"/>
      <c r="D177" s="367" t="n">
        <f aca="false">B91</f>
        <v>846.600455352938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846.600455352938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846.600455352938</v>
      </c>
      <c r="B183" s="99" t="n">
        <f aca="false">E114</f>
        <v>4000</v>
      </c>
      <c r="C183" s="282"/>
      <c r="D183" s="371" t="n">
        <f aca="false">B58</f>
        <v>21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846.600455352938</v>
      </c>
      <c r="B186" s="99" t="n">
        <f aca="false">IF(A105="YES", B89, 0)</f>
        <v>0</v>
      </c>
      <c r="C186" s="282"/>
      <c r="D186" s="99" t="n">
        <f aca="false">B91</f>
        <v>846.600455352938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15.06816</v>
      </c>
      <c r="B189" s="375" t="n">
        <f aca="false">IF(A105="YES", G18*0.000002, 0)*1.2*100</f>
        <v>0</v>
      </c>
      <c r="C189" s="282"/>
      <c r="D189" s="375" t="n">
        <f aca="false">A189+B189</f>
        <v>15.06816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296.48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796.47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1770.16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296.48</v>
      </c>
      <c r="C211" s="337" t="s">
        <v>217</v>
      </c>
      <c r="D211" s="377" t="n">
        <f aca="false">B225+E221+B221+B223</f>
        <v>339.99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1813.67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1770.16</v>
      </c>
      <c r="C217" s="381" t="s">
        <v>221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296.48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1813.67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156.451764149223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308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16745</v>
      </c>
      <c r="C7" s="277" t="n">
        <f aca="false">C3-C6</f>
        <v>0</v>
      </c>
      <c r="D7" s="277" t="n">
        <f aca="false">D3-D6</f>
        <v>0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16745</v>
      </c>
      <c r="F9" s="63"/>
      <c r="G9" s="453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 E9 + E10 ) * 0.2</f>
        <v>3488</v>
      </c>
      <c r="F11" s="63"/>
      <c r="G11" s="453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21258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382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381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28900.0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594.961688834781</v>
      </c>
      <c r="E33" s="212"/>
      <c r="F33" s="63"/>
      <c r="G33" s="215" t="s">
        <v>349</v>
      </c>
      <c r="H33" s="459" t="n">
        <f aca="false">E21-E11+((E16*20%)+(E19*20%)+(E20*20%))</f>
        <v>17770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548.411688834781</v>
      </c>
      <c r="B36" s="99" t="n">
        <f aca="false">IF(B26="YES", H42, "")</f>
        <v>46.55</v>
      </c>
      <c r="C36" s="217"/>
      <c r="D36" s="181" t="n">
        <f aca="false">H31</f>
        <v>8730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17770</v>
      </c>
      <c r="I39" s="234" t="n">
        <f aca="false">(I48*H46)+H44</f>
        <v>34423.8379370532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8730</v>
      </c>
      <c r="B40" s="103" t="n">
        <f aca="false">IF(B26="YES",H42,"0")</f>
        <v>46.55</v>
      </c>
      <c r="C40" s="103"/>
      <c r="D40" s="181" t="n">
        <f aca="false">I32</f>
        <v>1024.1</v>
      </c>
      <c r="E40" s="212"/>
      <c r="F40" s="63"/>
      <c r="G40" s="63" t="s">
        <v>109</v>
      </c>
      <c r="H40" s="234" t="n">
        <f aca="false">(A40)/1.2</f>
        <v>7275</v>
      </c>
      <c r="I40" s="234" t="n">
        <f aca="false">H39-I39</f>
        <v>-16653.8379370533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46.55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6425.00031244387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369</v>
      </c>
      <c r="H45" s="234" t="n">
        <f aca="false">(H39-H44)</f>
        <v>11344.9996875561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548.411688834781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594.961688834781</v>
      </c>
      <c r="I48" s="234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594.961688834781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20928</v>
      </c>
      <c r="C61" s="211"/>
      <c r="D61" s="211"/>
      <c r="E61" s="212"/>
      <c r="F61" s="63"/>
      <c r="G61" s="210" t="s">
        <v>14</v>
      </c>
      <c r="H61" s="277" t="n">
        <f aca="false">G18</f>
        <v>20928</v>
      </c>
      <c r="I61" s="211"/>
      <c r="J61" s="211"/>
      <c r="K61" s="212"/>
      <c r="L61" s="63"/>
      <c r="M61" s="210" t="s">
        <v>14</v>
      </c>
      <c r="N61" s="277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1770.16</v>
      </c>
      <c r="C64" s="211" t="n">
        <v>10000.0</v>
      </c>
      <c r="D64" s="277" t="n">
        <f aca="false">B64-A143</f>
        <v>1770.16</v>
      </c>
      <c r="E64" s="465" t="n">
        <f aca="false">D64/(B58+B57)</f>
        <v>80.4618181818182</v>
      </c>
      <c r="F64" s="63"/>
      <c r="G64" s="310" t="s">
        <v>93</v>
      </c>
      <c r="H64" s="129" t="n">
        <f aca="false">H61*H63</f>
        <v>1770.16</v>
      </c>
      <c r="I64" s="211"/>
      <c r="J64" s="277" t="n">
        <f aca="false">H64-G145</f>
        <v>1770.16</v>
      </c>
      <c r="K64" s="212"/>
      <c r="L64" s="63"/>
      <c r="M64" s="310" t="s">
        <v>93</v>
      </c>
      <c r="N64" s="129" t="n">
        <f aca="false">N61*N63</f>
        <v>1770.16</v>
      </c>
      <c r="O64" s="211"/>
      <c r="P64" s="277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296.48</v>
      </c>
      <c r="C67" s="211"/>
      <c r="D67" s="277"/>
      <c r="E67" s="212"/>
      <c r="F67" s="63"/>
      <c r="G67" s="310" t="s">
        <v>96</v>
      </c>
      <c r="H67" s="129" t="n">
        <f aca="false">(H61*H66)/1.2</f>
        <v>247.066666666667</v>
      </c>
      <c r="I67" s="211"/>
      <c r="J67" s="277"/>
      <c r="K67" s="212"/>
      <c r="L67" s="63"/>
      <c r="M67" s="310" t="s">
        <v>96</v>
      </c>
      <c r="N67" s="129" t="n">
        <f aca="false">(N61*N66)/1.2</f>
        <v>247.066666666667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110</v>
      </c>
      <c r="C73" s="211"/>
      <c r="D73" s="277" t="n">
        <f aca="false">B73+B71</f>
        <v>310</v>
      </c>
      <c r="E73" s="212"/>
      <c r="F73" s="63"/>
      <c r="G73" s="310" t="s">
        <v>102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102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165.0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355.0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465" t="n">
        <f aca="false">D77/(B58+B57)</f>
        <v>20.2020202020202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465" t="n">
        <f aca="false">(D73+D76+D79+D80)/(B58+B57)</f>
        <v>32.2727272727273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3146.82666666667</v>
      </c>
      <c r="C81" s="211"/>
      <c r="D81" s="211"/>
      <c r="E81" s="465"/>
      <c r="F81" s="63"/>
      <c r="G81" s="422" t="s">
        <v>105</v>
      </c>
      <c r="H81" s="423" t="n">
        <f aca="false">SUM(J64:J80)</f>
        <v>2580.41</v>
      </c>
      <c r="I81" s="211"/>
      <c r="J81" s="211"/>
      <c r="K81" s="212"/>
      <c r="L81" s="63"/>
      <c r="M81" s="422" t="s">
        <v>105</v>
      </c>
      <c r="N81" s="42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143.037575757576</v>
      </c>
      <c r="C82" s="211"/>
      <c r="D82" s="211"/>
      <c r="E82" s="465"/>
      <c r="F82" s="63"/>
      <c r="G82" s="210" t="s">
        <v>106</v>
      </c>
      <c r="H82" s="419" t="n">
        <f aca="false">H81/H29</f>
        <v>117.291363636364</v>
      </c>
      <c r="I82" s="211"/>
      <c r="J82" s="211"/>
      <c r="K82" s="212"/>
      <c r="L82" s="63"/>
      <c r="M82" s="210" t="s">
        <v>106</v>
      </c>
      <c r="N82" s="41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548.411688834781</v>
      </c>
      <c r="C83" s="211"/>
      <c r="D83" s="211"/>
      <c r="E83" s="465" t="n">
        <f aca="false">B83+E80+E77+E64</f>
        <v>681.348254491347</v>
      </c>
      <c r="F83" s="63"/>
      <c r="G83" s="424" t="s">
        <v>107</v>
      </c>
      <c r="H83" s="425" t="n">
        <f aca="false">H47</f>
        <v>548.411688834781</v>
      </c>
      <c r="I83" s="211"/>
      <c r="J83" s="211"/>
      <c r="K83" s="212"/>
      <c r="L83" s="63"/>
      <c r="M83" s="424" t="s">
        <v>107</v>
      </c>
      <c r="N83" s="425" t="n">
        <f aca="false">H47</f>
        <v>548.411688834781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((B83*H29)+B81)*1.2</f>
        <v>18254.2605852382</v>
      </c>
      <c r="C85" s="211"/>
      <c r="D85" s="211"/>
      <c r="E85" s="465" t="n">
        <f aca="false">B85/(B58+B57)</f>
        <v>829.739117510829</v>
      </c>
      <c r="F85" s="63"/>
      <c r="G85" s="404" t="s">
        <v>117</v>
      </c>
      <c r="H85" s="127" t="n">
        <f aca="false">((H83*H29)+H81)*1.2</f>
        <v>17574.5605852382</v>
      </c>
      <c r="I85" s="211"/>
      <c r="J85" s="211"/>
      <c r="K85" s="212"/>
      <c r="L85" s="63"/>
      <c r="M85" s="404" t="s">
        <v>117</v>
      </c>
      <c r="N85" s="127" t="n">
        <f aca="false">((N83*H29)+N81)</f>
        <v>14494.2171543652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((((B83*H29)+B81))/(1-B70))*B70</f>
        <v>128.862267140649</v>
      </c>
      <c r="C86" s="211"/>
      <c r="D86" s="211"/>
      <c r="E86" s="465" t="n">
        <f aca="false">B86/(B58+B57)</f>
        <v>5.85737577912041</v>
      </c>
      <c r="F86" s="63"/>
      <c r="G86" s="210" t="s">
        <v>118</v>
      </c>
      <c r="H86" s="419" t="n">
        <f aca="false">((((H83*H29)+H81))/(1-H70))*H70</f>
        <v>124.06406221931</v>
      </c>
      <c r="I86" s="211"/>
      <c r="J86" s="211"/>
      <c r="K86" s="212"/>
      <c r="L86" s="63"/>
      <c r="M86" s="210" t="s">
        <v>118</v>
      </c>
      <c r="N86" s="419" t="n">
        <f aca="false">(N85/(1-N70))*N70</f>
        <v>122.78279961342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IF(B110="YES",((B85+B86)-E114),(B85+B86))</f>
        <v>18383.1228523789</v>
      </c>
      <c r="C87" s="211"/>
      <c r="D87" s="211"/>
      <c r="E87" s="465" t="n">
        <f aca="false">E86+E85</f>
        <v>835.596493289949</v>
      </c>
      <c r="F87" s="63"/>
      <c r="G87" s="310" t="s">
        <v>119</v>
      </c>
      <c r="H87" s="129" t="n">
        <f aca="false">IF(H110="YES",((H85+H86)-K114),(H85+H86))</f>
        <v>17698.6246474575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14616.9999539786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(D40+(D40*B105))/(B58), (D40+(D40*B105))/(B57+B58))*1.2*(C45/100)</f>
        <v>72.618</v>
      </c>
      <c r="C89" s="211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54.6186666666667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45.5155555555556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835.596493289949</v>
      </c>
      <c r="C90" s="211"/>
      <c r="D90" s="211"/>
      <c r="E90" s="212"/>
      <c r="F90" s="63"/>
      <c r="G90" s="427" t="s">
        <v>121</v>
      </c>
      <c r="H90" s="428" t="n">
        <f aca="false">IF(H99=Y98, (H87-J105)/(H58), H87/(H57+H58))</f>
        <v>655.504616572501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541.370368665875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908.214493289949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710.123283239168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586.88592422143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1000.0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400.0</v>
      </c>
      <c r="C102" s="103"/>
      <c r="D102" s="103" t="n">
        <v>200.0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382</v>
      </c>
      <c r="B105" s="334" t="n">
        <v>0.0</v>
      </c>
      <c r="C105" s="334"/>
      <c r="D105" s="103" t="s">
        <v>391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382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((E118/1.2)+E117)-(D115-E113)</f>
        <v>-800.008333333333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655.504616572501</v>
      </c>
      <c r="H127" s="174" t="n">
        <f aca="false">IF(G105="YES", H89*H57, 0)</f>
        <v>327.712</v>
      </c>
      <c r="I127" s="174"/>
      <c r="J127" s="349" t="n">
        <f aca="false">H91</f>
        <v>710.123283239168</v>
      </c>
      <c r="K127" s="212"/>
      <c r="L127" s="63"/>
      <c r="M127" s="348" t="n">
        <f aca="false">N90</f>
        <v>541.370368665875</v>
      </c>
      <c r="N127" s="174" t="n">
        <f aca="false">IF(M105="YES", N89*N57, 0)</f>
        <v>273.093333333333</v>
      </c>
      <c r="O127" s="174"/>
      <c r="P127" s="174" t="n">
        <f aca="false">N91</f>
        <v>586.88592422143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835.596493289949</v>
      </c>
      <c r="B128" s="338" t="n">
        <f aca="false">IF(A105="YES", B89, 0)</f>
        <v>72.618</v>
      </c>
      <c r="C128" s="342"/>
      <c r="D128" s="338" t="n">
        <f aca="false">B91</f>
        <v>908.214493289949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7520.36843960954</v>
      </c>
      <c r="C131" s="280"/>
      <c r="D131" s="38" t="n">
        <f aca="false">IF(A105="YES", B89*B57, 0)</f>
        <v>653.562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3933.02769943501</v>
      </c>
      <c r="H133" s="99" t="n">
        <f aca="false">IF(G105="YES", H89*H57, 0)</f>
        <v>327.712</v>
      </c>
      <c r="I133" s="217"/>
      <c r="J133" s="181" t="n">
        <f aca="false">H91*H57</f>
        <v>4260.73969943501</v>
      </c>
      <c r="K133" s="212"/>
      <c r="L133" s="63"/>
      <c r="M133" s="182" t="n">
        <f aca="false">N90*N57</f>
        <v>3248.22221199525</v>
      </c>
      <c r="N133" s="99" t="n">
        <f aca="false">IF(M105="YES", N89*N57, 0)</f>
        <v>273.093333333333</v>
      </c>
      <c r="O133" s="217"/>
      <c r="P133" s="181" t="n">
        <f aca="false">N91*N57</f>
        <v>3521.31554532858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8173.93043960954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835.596493289949</v>
      </c>
      <c r="B137" s="38" t="n">
        <f aca="false">IF(A105="YES", B89, 0)</f>
        <v>72.618</v>
      </c>
      <c r="C137" s="280"/>
      <c r="D137" s="38" t="n">
        <f aca="false">B91</f>
        <v>908.214493289949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15.06816</v>
      </c>
      <c r="B140" s="358" t="n">
        <f aca="false">IF(A105="YES", G18*0.000002, 0)*1.2*100</f>
        <v>5.02272</v>
      </c>
      <c r="C140" s="280"/>
      <c r="D140" s="358" t="n">
        <f aca="false">A140+B140</f>
        <v>20.09088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20.482</v>
      </c>
      <c r="H142" s="99" t="n">
        <f aca="false">G102-100</f>
        <v>99.99</v>
      </c>
      <c r="I142" s="99"/>
      <c r="J142" s="99" t="n">
        <f aca="false">(H139+J139+G142+H142)-H145</f>
        <v>367.538666666667</v>
      </c>
      <c r="K142" s="101"/>
      <c r="L142" s="63"/>
      <c r="M142" s="107" t="n">
        <f aca="false">IF(M105="YES", ((B36*N105)*0.1)*(M130), 0)</f>
        <v>20.482</v>
      </c>
      <c r="N142" s="99" t="n">
        <f aca="false">M102-100</f>
        <v>99.99</v>
      </c>
      <c r="O142" s="99"/>
      <c r="P142" s="99" t="n">
        <f aca="false">(N139+P139+M142+N142)-N145</f>
        <v>367.538666666667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710.123283239168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586.88592422143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908.214493289949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835.596493289949</v>
      </c>
      <c r="B177" s="367" t="n">
        <f aca="false">IF(A105="YES", B89, 0)</f>
        <v>72.618</v>
      </c>
      <c r="C177" s="369"/>
      <c r="D177" s="367" t="n">
        <f aca="false">B91</f>
        <v>908.214493289949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Terminal pause with 9 down </v>
      </c>
      <c r="B180" s="99" t="n">
        <f aca="false">B90*B57</f>
        <v>7520.36843960954</v>
      </c>
      <c r="C180" s="282"/>
      <c r="D180" s="99" t="n">
        <f aca="false">IF(A105="YES", B89*B57, 0)</f>
        <v>653.562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8173.93043960954</v>
      </c>
      <c r="B183" s="99" t="n">
        <f aca="false">E114</f>
        <v>4000</v>
      </c>
      <c r="C183" s="282"/>
      <c r="D183" s="371" t="n">
        <f aca="false">B58</f>
        <v>13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835.596493289949</v>
      </c>
      <c r="B186" s="99" t="n">
        <f aca="false">IF(A105="YES", B89, 0)</f>
        <v>72.618</v>
      </c>
      <c r="C186" s="282"/>
      <c r="D186" s="99" t="n">
        <f aca="false">B91</f>
        <v>908.214493289949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15.06816</v>
      </c>
      <c r="B189" s="375" t="n">
        <f aca="false">IF(A105="YES", G18*0.000002, 0)*1.2*100</f>
        <v>5.02272</v>
      </c>
      <c r="C189" s="282"/>
      <c r="D189" s="375" t="n">
        <f aca="false">A189+B189</f>
        <v>20.09088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296.48</v>
      </c>
      <c r="B197" s="99" t="n">
        <f aca="false">B102</f>
        <v>400</v>
      </c>
      <c r="C197" s="99"/>
      <c r="D197" s="99" t="n">
        <f aca="false">IF(A105="YES", (B40*B105)*B125, 0)*0.1</f>
        <v>30.723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827.194666666667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1770.16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296.48</v>
      </c>
      <c r="C211" s="337" t="s">
        <v>217</v>
      </c>
      <c r="D211" s="377" t="n">
        <f aca="false">B225+E221+B221+B223</f>
        <v>647.221666666667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2120.90166666667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1770.16</v>
      </c>
      <c r="C217" s="381" t="s">
        <v>221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296.48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307.23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128.862267140649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16745.0</v>
      </c>
      <c r="C3" s="497" t="n">
        <v>0.0</v>
      </c>
      <c r="D3" s="262" t="n">
        <v>0.0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308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60000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695.0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1000</v>
      </c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275.0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58405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381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28900.0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831.5999999999999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919.855964273375</v>
      </c>
      <c r="E33" s="212"/>
      <c r="F33" s="63"/>
      <c r="G33" s="215" t="s">
        <v>349</v>
      </c>
      <c r="H33" s="459" t="n">
        <f aca="false">E21-E11+((E16*20%)+(E19*20%)+(E20*20%))</f>
        <v>48777.5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919.855964273375</v>
      </c>
      <c r="B36" s="99" t="str">
        <f aca="false">IF(B26="YES", H42, "")</f>
        <v/>
      </c>
      <c r="C36" s="217"/>
      <c r="D36" s="181" t="n">
        <f aca="false">H31</f>
        <v>27500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48777.5</v>
      </c>
      <c r="I39" s="234" t="n">
        <f aca="false">(I48*H46)+H44</f>
        <v>64443.3941780653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27500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22916.6666666667</v>
      </c>
      <c r="I40" s="234" t="n">
        <f aca="false">H39-I39</f>
        <v>-15665.8941780653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18764.9097705681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369</v>
      </c>
      <c r="H45" s="234" t="n">
        <f aca="false">(H39-H44)</f>
        <v>30012.5902294319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919.855964273375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919.855964273375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919.855964273375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0.105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0.105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6077.925</v>
      </c>
      <c r="C64" s="464" t="n">
        <v>10000.0</v>
      </c>
      <c r="D64" s="277" t="n">
        <f aca="false">B64</f>
        <v>6077.925</v>
      </c>
      <c r="E64" s="465" t="n">
        <f aca="false">D64/(B58+B57)</f>
        <v>168.83125</v>
      </c>
      <c r="F64" s="63"/>
      <c r="G64" s="310" t="s">
        <v>93</v>
      </c>
      <c r="H64" s="129" t="n">
        <f aca="false">H61*H63</f>
        <v>6077.925</v>
      </c>
      <c r="I64" s="211"/>
      <c r="J64" s="277" t="n">
        <f aca="false">H64-G145</f>
        <v>6077.925</v>
      </c>
      <c r="K64" s="212"/>
      <c r="L64" s="63"/>
      <c r="M64" s="310" t="s">
        <v>93</v>
      </c>
      <c r="N64" s="129" t="n">
        <f aca="false">N61*N63</f>
        <v>6077.925</v>
      </c>
      <c r="O64" s="211"/>
      <c r="P64" s="277" t="n">
        <f aca="false">N64-M145</f>
        <v>6077.925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0.02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1157.7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964.75</v>
      </c>
      <c r="I67" s="211"/>
      <c r="J67" s="277"/>
      <c r="K67" s="212"/>
      <c r="L67" s="63"/>
      <c r="M67" s="310" t="s">
        <v>96</v>
      </c>
      <c r="N67" s="129" t="n">
        <f aca="false">(N61*N66)/1.2</f>
        <v>964.75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227</v>
      </c>
      <c r="F73" s="63"/>
      <c r="G73" s="310" t="s">
        <v>102</v>
      </c>
      <c r="H73" s="129" t="n">
        <f aca="false">H72*H29</f>
        <v>162</v>
      </c>
      <c r="I73" s="211"/>
      <c r="J73" s="277" t="n">
        <f aca="false">H73+H71</f>
        <v>322</v>
      </c>
      <c r="K73" s="212"/>
      <c r="L73" s="63"/>
      <c r="M73" s="310" t="s">
        <v>102</v>
      </c>
      <c r="N73" s="129" t="n">
        <f aca="false">N72*H29</f>
        <v>162</v>
      </c>
      <c r="O73" s="211"/>
      <c r="P73" s="277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165.0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355.0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1083.33333333333</v>
      </c>
      <c r="C76" s="211"/>
      <c r="D76" s="277" t="n">
        <f aca="false">B76</f>
        <v>1083.33333333333</v>
      </c>
      <c r="E76" s="212"/>
      <c r="F76" s="63"/>
      <c r="G76" s="310" t="s">
        <v>280</v>
      </c>
      <c r="H76" s="129" t="n">
        <f aca="false">((H74+H75)/12)*(H29-11)</f>
        <v>343.75</v>
      </c>
      <c r="I76" s="211"/>
      <c r="J76" s="277" t="n">
        <f aca="false">H76</f>
        <v>343.75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0</v>
      </c>
      <c r="C77" s="472"/>
      <c r="D77" s="277" t="n">
        <f aca="false">B77</f>
        <v>0</v>
      </c>
      <c r="E77" s="465" t="n">
        <f aca="false">D77/(B58+B57)</f>
        <v>0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0</v>
      </c>
      <c r="C78" s="472"/>
      <c r="D78" s="277" t="n">
        <f aca="false">B78</f>
        <v>0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472"/>
      <c r="D80" s="277" t="n">
        <f aca="false">B80</f>
        <v>200</v>
      </c>
      <c r="E80" s="465" t="n">
        <f aca="false">(D73+D76+D79+D80)/(B58+B57)</f>
        <v>51.7592592592593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7941.25833333333</v>
      </c>
      <c r="C81" s="472"/>
      <c r="D81" s="473"/>
      <c r="E81" s="465"/>
      <c r="F81" s="63"/>
      <c r="G81" s="422" t="s">
        <v>105</v>
      </c>
      <c r="H81" s="423" t="n">
        <f aca="false">SUM(J64:J80)</f>
        <v>7143.675</v>
      </c>
      <c r="I81" s="211"/>
      <c r="J81" s="211"/>
      <c r="K81" s="212"/>
      <c r="L81" s="63"/>
      <c r="M81" s="422" t="s">
        <v>105</v>
      </c>
      <c r="N81" s="423" t="n">
        <f aca="false">SUM(P64:P80)</f>
        <v>6799.925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220.590509259259</v>
      </c>
      <c r="C82" s="472"/>
      <c r="D82" s="211"/>
      <c r="E82" s="465"/>
      <c r="F82" s="63"/>
      <c r="G82" s="210" t="s">
        <v>106</v>
      </c>
      <c r="H82" s="419" t="n">
        <f aca="false">H81/H29</f>
        <v>198.435416666667</v>
      </c>
      <c r="I82" s="211"/>
      <c r="J82" s="211"/>
      <c r="K82" s="212"/>
      <c r="L82" s="63"/>
      <c r="M82" s="210" t="s">
        <v>106</v>
      </c>
      <c r="N82" s="419" t="n">
        <f aca="false">N81/H29</f>
        <v>188.886805555556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919.855964273375</v>
      </c>
      <c r="C83" s="472"/>
      <c r="D83" s="211"/>
      <c r="E83" s="465" t="n">
        <f aca="false">B83+E80+E77+E64</f>
        <v>1140.44647353263</v>
      </c>
      <c r="F83" s="63"/>
      <c r="G83" s="424" t="s">
        <v>107</v>
      </c>
      <c r="H83" s="425" t="n">
        <f aca="false">H47</f>
        <v>919.855964273375</v>
      </c>
      <c r="I83" s="211"/>
      <c r="J83" s="211"/>
      <c r="K83" s="212"/>
      <c r="L83" s="63"/>
      <c r="M83" s="424" t="s">
        <v>107</v>
      </c>
      <c r="N83" s="425" t="n">
        <f aca="false">H47</f>
        <v>919.855964273375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41056.0730471748</v>
      </c>
      <c r="C85" s="472"/>
      <c r="D85" s="472"/>
      <c r="E85" s="465" t="n">
        <f aca="false">B85/(B58+B57)</f>
        <v>1140.44647353263</v>
      </c>
      <c r="F85" s="63"/>
      <c r="G85" s="404" t="s">
        <v>117</v>
      </c>
      <c r="H85" s="127" t="n">
        <f aca="false">((H83*H29)+H81)*1.2</f>
        <v>48310.1876566098</v>
      </c>
      <c r="I85" s="211"/>
      <c r="J85" s="211"/>
      <c r="K85" s="212"/>
      <c r="L85" s="63"/>
      <c r="M85" s="404" t="s">
        <v>117</v>
      </c>
      <c r="N85" s="127" t="n">
        <f aca="false">((N83*H29)+N81)</f>
        <v>39914.7397138415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347.792470347185</v>
      </c>
      <c r="C86" s="472" t="s">
        <v>230</v>
      </c>
      <c r="D86" s="211"/>
      <c r="E86" s="465" t="n">
        <f aca="false">B86/(B58+B57)</f>
        <v>9.66090195408847</v>
      </c>
      <c r="F86" s="63"/>
      <c r="G86" s="210" t="s">
        <v>118</v>
      </c>
      <c r="H86" s="419" t="n">
        <f aca="false">((((H83*H29)+H81))/(1-H70))*H70</f>
        <v>341.036016131775</v>
      </c>
      <c r="I86" s="211"/>
      <c r="J86" s="211"/>
      <c r="K86" s="212"/>
      <c r="L86" s="63"/>
      <c r="M86" s="210" t="s">
        <v>118</v>
      </c>
      <c r="N86" s="419" t="n">
        <f aca="false">(N85/(1-N70))*N70</f>
        <v>338.124055663845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41403.865517522</v>
      </c>
      <c r="C87" s="472"/>
      <c r="D87" s="474"/>
      <c r="E87" s="465" t="n">
        <f aca="false">E86+E85</f>
        <v>1150.10737548672</v>
      </c>
      <c r="F87" s="63"/>
      <c r="G87" s="310" t="s">
        <v>119</v>
      </c>
      <c r="H87" s="129" t="n">
        <f aca="false">IF(H110="YES",((H85+H86)-K114),(H85+H86))</f>
        <v>48651.2236727416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40252.8637695053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1150.10737548672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1186.61521153028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981.777165109886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1150.10737548672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1186.61521153028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981.777165109886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1000.0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0.0</v>
      </c>
      <c r="C102" s="103"/>
      <c r="D102" s="103" t="n">
        <v>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380</v>
      </c>
      <c r="B105" s="334" t="n">
        <v>0.3</v>
      </c>
      <c r="C105" s="334"/>
      <c r="D105" s="103" t="s">
        <v>391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382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36</v>
      </c>
      <c r="C125" s="342"/>
      <c r="D125" s="341" t="n">
        <f aca="false">B160</f>
        <v>10000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1186.61521153028</v>
      </c>
      <c r="H127" s="174" t="n">
        <f aca="false">IF(G105="YES", H89*H57, 0)</f>
        <v>0</v>
      </c>
      <c r="I127" s="174"/>
      <c r="J127" s="349" t="n">
        <f aca="false">H91</f>
        <v>1186.61521153028</v>
      </c>
      <c r="K127" s="212"/>
      <c r="L127" s="63"/>
      <c r="M127" s="348" t="n">
        <f aca="false">N90</f>
        <v>981.777165109886</v>
      </c>
      <c r="N127" s="174" t="n">
        <f aca="false">IF(M105="YES", N89*N57, 0)</f>
        <v>0</v>
      </c>
      <c r="O127" s="174"/>
      <c r="P127" s="174" t="n">
        <f aca="false">N91</f>
        <v>981.777165109886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1150.10737548672</v>
      </c>
      <c r="B128" s="338" t="n">
        <f aca="false">IF(A105="YES", B89, 0)</f>
        <v>0</v>
      </c>
      <c r="C128" s="342"/>
      <c r="D128" s="338" t="n">
        <f aca="false">B91</f>
        <v>1150.10737548672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1150.10737548672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7119.69126918169</v>
      </c>
      <c r="H133" s="99" t="n">
        <f aca="false">IF(G105="YES", H89*H57, 0)</f>
        <v>0</v>
      </c>
      <c r="I133" s="217"/>
      <c r="J133" s="181" t="n">
        <f aca="false">H91*H57</f>
        <v>7119.69126918169</v>
      </c>
      <c r="K133" s="212"/>
      <c r="L133" s="63"/>
      <c r="M133" s="182" t="n">
        <f aca="false">N90*N57</f>
        <v>5890.66299065932</v>
      </c>
      <c r="N133" s="99" t="n">
        <f aca="false">IF(M105="YES", N89*N57, 0)</f>
        <v>0</v>
      </c>
      <c r="O133" s="217"/>
      <c r="P133" s="181" t="n">
        <f aca="false">N91*N57</f>
        <v>5890.66299065932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1150.10737548672</v>
      </c>
      <c r="B134" s="38" t="n">
        <f aca="false">E114</f>
        <v>4000</v>
      </c>
      <c r="C134" s="280"/>
      <c r="D134" s="352" t="n">
        <f aca="false">B58</f>
        <v>35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1150.10737548672</v>
      </c>
      <c r="B137" s="38" t="n">
        <f aca="false">IF(A105="YES", B89, 0)</f>
        <v>0</v>
      </c>
      <c r="C137" s="280"/>
      <c r="D137" s="38" t="n">
        <f aca="false">B91</f>
        <v>1150.10737548672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964.75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964.75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0</v>
      </c>
      <c r="C140" s="280"/>
      <c r="D140" s="358" t="n">
        <f aca="false">A140+B140</f>
        <v>41.6772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1157.7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1257.69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36</v>
      </c>
      <c r="H152" s="74" t="n">
        <f aca="false">H91</f>
        <v>1186.61521153028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981.777165109886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1150.10737548672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36</v>
      </c>
      <c r="C174" s="369"/>
      <c r="D174" s="341" t="n">
        <f aca="false">D125</f>
        <v>10000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1150.10737548672</v>
      </c>
      <c r="B177" s="367" t="n">
        <f aca="false">IF(A105="YES", B89, 0)</f>
        <v>0</v>
      </c>
      <c r="C177" s="369"/>
      <c r="D177" s="367" t="n">
        <f aca="false">B91</f>
        <v>1150.10737548672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1150.10737548672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1150.10737548672</v>
      </c>
      <c r="B183" s="99" t="n">
        <f aca="false">E114</f>
        <v>4000</v>
      </c>
      <c r="C183" s="282"/>
      <c r="D183" s="371" t="n">
        <f aca="false">B58</f>
        <v>35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1150.10737548672</v>
      </c>
      <c r="B186" s="99" t="n">
        <f aca="false">IF(A105="YES", B89, 0)</f>
        <v>0</v>
      </c>
      <c r="C186" s="282"/>
      <c r="D186" s="99" t="n">
        <f aca="false">B91</f>
        <v>1150.10737548672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0</v>
      </c>
      <c r="C189" s="282"/>
      <c r="D189" s="375" t="n">
        <f aca="false">A189+B189</f>
        <v>41.6772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1157.7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1257.69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6077.925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1157.7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5020.215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6077.925</v>
      </c>
      <c r="C217" s="381" t="s">
        <v>221</v>
      </c>
      <c r="D217" s="280"/>
      <c r="E217" s="309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1157.7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0</v>
      </c>
      <c r="C223" s="351" t="s">
        <v>218</v>
      </c>
      <c r="D223" s="280"/>
      <c r="E223" s="33" t="n">
        <f aca="false">(B217-B211+D211)</f>
        <v>5020.215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347.792470347185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253</v>
      </c>
      <c r="H44" s="234" t="n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n">
        <v>0.01</v>
      </c>
      <c r="C47" s="396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379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365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84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/>
      <c r="D70" s="277" t="n">
        <f aca="false">B70-A151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4711.95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392.6625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10723.95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90.8442718838241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((H44*B35)+((H44*B35)*B111))/(B63+B64)</f>
        <v>31.304347826087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IF(B105=Y104, (B93-D111)/(B64), B93/(B63+B64))</f>
        <v>470.208446603645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501.512794429732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 t="s">
        <v>288</v>
      </c>
      <c r="B105" s="331" t="s">
        <v>264</v>
      </c>
      <c r="C105" s="331"/>
      <c r="D105" s="332" t="n">
        <v>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0.2</v>
      </c>
      <c r="C111" s="334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19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0</v>
      </c>
      <c r="E118" s="103" t="n">
        <v>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199.99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433" t="s">
        <v>302</v>
      </c>
      <c r="B135" s="434" t="s">
        <v>248</v>
      </c>
      <c r="C135" s="434"/>
      <c r="D135" s="434" t="s">
        <v>122</v>
      </c>
      <c r="E135" s="212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8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308</v>
      </c>
      <c r="B138" s="211" t="s">
        <v>239</v>
      </c>
      <c r="C138" s="211"/>
      <c r="D138" s="211" t="s">
        <v>242</v>
      </c>
      <c r="E138" s="212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250</v>
      </c>
      <c r="B141" s="211" t="s">
        <v>251</v>
      </c>
      <c r="C141" s="211"/>
      <c r="D141" s="211" t="s">
        <v>255</v>
      </c>
      <c r="E141" s="212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315</v>
      </c>
      <c r="C144" s="211"/>
      <c r="D144" s="211" t="s">
        <v>316</v>
      </c>
      <c r="E144" s="212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318</v>
      </c>
      <c r="B147" s="211" t="s">
        <v>319</v>
      </c>
      <c r="C147" s="211"/>
      <c r="D147" s="211" t="s">
        <v>320</v>
      </c>
      <c r="E147" s="212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322</v>
      </c>
      <c r="B150" s="211" t="s">
        <v>323</v>
      </c>
      <c r="C150" s="211"/>
      <c r="D150" s="211"/>
      <c r="E150" s="212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398" t="s">
        <v>330</v>
      </c>
      <c r="B154" s="211"/>
      <c r="C154" s="211"/>
      <c r="D154" s="399"/>
      <c r="E154" s="400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0"/>
      <c r="B163" s="402"/>
      <c r="C163" s="402"/>
      <c r="D163" s="402"/>
      <c r="E163" s="403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510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16745</v>
      </c>
      <c r="C7" s="277" t="n">
        <f aca="false">C3-C6</f>
        <v>0</v>
      </c>
      <c r="D7" s="277" t="n">
        <f aca="false">D3-D6</f>
        <v>0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21258</v>
      </c>
      <c r="F15" s="63"/>
      <c r="G15" s="274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382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20928</v>
      </c>
      <c r="C61" s="211"/>
      <c r="D61" s="211"/>
      <c r="E61" s="212"/>
      <c r="F61" s="63"/>
      <c r="G61" s="210" t="s">
        <v>14</v>
      </c>
      <c r="H61" s="277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1464.96</v>
      </c>
      <c r="C64" s="211" t="n">
        <v>10000.0</v>
      </c>
      <c r="D64" s="277" t="n">
        <f aca="false">B64</f>
        <v>1464.96</v>
      </c>
      <c r="E64" s="212"/>
      <c r="F64" s="63"/>
      <c r="G64" s="310" t="s">
        <v>93</v>
      </c>
      <c r="H64" s="129" t="n">
        <f aca="false">H61*H63</f>
        <v>1464.96</v>
      </c>
      <c r="I64" s="211"/>
      <c r="J64" s="277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209.28</v>
      </c>
      <c r="C67" s="211"/>
      <c r="D67" s="277"/>
      <c r="E67" s="212"/>
      <c r="F67" s="63"/>
      <c r="G67" s="310" t="s">
        <v>96</v>
      </c>
      <c r="H67" s="129" t="n">
        <f aca="false">H61*H66</f>
        <v>104.64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0.0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0.0</v>
      </c>
      <c r="C75" s="211" t="n">
        <f aca="false">IF(G18&gt;40000, 325, 0)</f>
        <v>0</v>
      </c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2791.62666666667</v>
      </c>
      <c r="C81" s="211"/>
      <c r="D81" s="211"/>
      <c r="E81" s="212"/>
      <c r="F81" s="63"/>
      <c r="G81" s="422" t="s">
        <v>105</v>
      </c>
      <c r="H81" s="42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232.635555555556</v>
      </c>
      <c r="C82" s="211"/>
      <c r="D82" s="211"/>
      <c r="E82" s="212"/>
      <c r="F82" s="63"/>
      <c r="G82" s="210" t="s">
        <v>106</v>
      </c>
      <c r="H82" s="41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((B83*(H29)+B81))*1.2</f>
        <v>10564.352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(((B83*(H29))+B81)/(1-B70))*B70</f>
        <v>74.5769100443727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6638.92891004437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553.244075837031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908.439903791851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625.244075837031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980.439903791851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1000.0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382</v>
      </c>
      <c r="B105" s="331" t="n">
        <v>0.0</v>
      </c>
      <c r="C105" s="331"/>
      <c r="D105" s="103" t="n">
        <v>200.0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380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553.244075837031</v>
      </c>
      <c r="B128" s="338" t="n">
        <f aca="false">IF(A105="YES", B89, 0)</f>
        <v>72</v>
      </c>
      <c r="C128" s="394"/>
      <c r="D128" s="338" t="n">
        <f aca="false">B91</f>
        <v>625.244075837031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908.439903791851</v>
      </c>
      <c r="H130" s="174" t="n">
        <f aca="false">IF(G105="YES", H89*H57, 0)</f>
        <v>72</v>
      </c>
      <c r="I130" s="174"/>
      <c r="J130" s="349" t="n">
        <f aca="false">H91</f>
        <v>980.439903791851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4979.19668253328</v>
      </c>
      <c r="C131" s="280"/>
      <c r="D131" s="38" t="n">
        <f aca="false">IF(A105="YES", B89*B57, 0)</f>
        <v>648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908.439903791851</v>
      </c>
      <c r="H133" s="99" t="n">
        <f aca="false">IF(G105="YES", H89*H57, 0)</f>
        <v>72</v>
      </c>
      <c r="I133" s="217"/>
      <c r="J133" s="181" t="n">
        <f aca="false">H91*H57</f>
        <v>980.439903791851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5627.19668253328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553.244075837031</v>
      </c>
      <c r="B137" s="38" t="n">
        <f aca="false">IF(A105="YES", B89, 0)</f>
        <v>72</v>
      </c>
      <c r="C137" s="280"/>
      <c r="D137" s="38" t="n">
        <f aca="false">B91</f>
        <v>625.244075837031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15.06816</v>
      </c>
      <c r="B140" s="358" t="n">
        <f aca="false">G18*0.000002 *1.2*100</f>
        <v>5.02272</v>
      </c>
      <c r="C140" s="280"/>
      <c r="D140" s="358" t="n">
        <f aca="false">A140+B140</f>
        <v>20.09088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1331.828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721.27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980.439903791851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625.244075837031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553.244075837031</v>
      </c>
      <c r="B171" s="367" t="n">
        <f aca="false">IF(A105="YES", B89, 0)</f>
        <v>72</v>
      </c>
      <c r="C171" s="395"/>
      <c r="D171" s="367" t="n">
        <f aca="false">B91</f>
        <v>625.244075837031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4979.19668253328</v>
      </c>
      <c r="C174" s="282"/>
      <c r="D174" s="99" t="n">
        <f aca="false">IF(A105="YES", B89*B57, 0)</f>
        <v>648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5627.19668253328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553.244075837031</v>
      </c>
      <c r="B180" s="99" t="n">
        <f aca="false">IF(A105="YES", B89, 0)</f>
        <v>72</v>
      </c>
      <c r="C180" s="282"/>
      <c r="D180" s="99" t="n">
        <f aca="false">B91</f>
        <v>625.244075837031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15.06816</v>
      </c>
      <c r="B183" s="375" t="n">
        <f aca="false">G18*0.000002 *1.2*100</f>
        <v>5.02272</v>
      </c>
      <c r="C183" s="282"/>
      <c r="D183" s="375" t="n">
        <f aca="false">A183+B183</f>
        <v>20.09088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721.27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B209</f>
        <v>0.065</v>
      </c>
      <c r="C203" s="338" t="s">
        <v>215</v>
      </c>
      <c r="D203" s="377" t="n">
        <f aca="false">D64</f>
        <v>1464.96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209.28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1715.67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1464.96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209.28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1715.67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382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4051.95</v>
      </c>
      <c r="C64" s="211" t="n">
        <v>10000.0</v>
      </c>
      <c r="D64" s="277" t="n">
        <f aca="false">B64</f>
        <v>4051.95</v>
      </c>
      <c r="E64" s="212"/>
      <c r="F64" s="63"/>
      <c r="G64" s="310" t="s">
        <v>93</v>
      </c>
      <c r="H64" s="129" t="n">
        <f aca="false">H61*H63</f>
        <v>4051.95</v>
      </c>
      <c r="I64" s="211"/>
      <c r="J64" s="277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578.85</v>
      </c>
      <c r="C67" s="211"/>
      <c r="D67" s="277"/>
      <c r="E67" s="212"/>
      <c r="F67" s="63"/>
      <c r="G67" s="310" t="s">
        <v>96</v>
      </c>
      <c r="H67" s="129" t="n">
        <f aca="false">H61*H66</f>
        <v>289.425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0.0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0.0</v>
      </c>
      <c r="C75" s="211"/>
      <c r="D75" s="211"/>
      <c r="E75" s="212"/>
      <c r="F75" s="63"/>
      <c r="G75" s="407" t="s">
        <v>279</v>
      </c>
      <c r="H75" s="411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39.5833333333333</v>
      </c>
      <c r="I76" s="211"/>
      <c r="J76" s="277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5378.61666666667</v>
      </c>
      <c r="C81" s="211"/>
      <c r="D81" s="211"/>
      <c r="E81" s="212"/>
      <c r="F81" s="63"/>
      <c r="G81" s="422" t="s">
        <v>105</v>
      </c>
      <c r="H81" s="42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448.218055555556</v>
      </c>
      <c r="C82" s="211"/>
      <c r="D82" s="211"/>
      <c r="E82" s="212"/>
      <c r="F82" s="63"/>
      <c r="G82" s="210" t="s">
        <v>106</v>
      </c>
      <c r="H82" s="41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623.925698086146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683.925698086146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1000.0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400.0</v>
      </c>
      <c r="C102" s="103"/>
      <c r="D102" s="103" t="n">
        <v>200.0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382</v>
      </c>
      <c r="B105" s="331" t="n">
        <v>0.0</v>
      </c>
      <c r="C105" s="331"/>
      <c r="D105" s="103" t="s">
        <v>391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380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623.925698086146</v>
      </c>
      <c r="B128" s="338" t="n">
        <f aca="false">IF(A105="YES", B89, 0)</f>
        <v>60</v>
      </c>
      <c r="C128" s="394"/>
      <c r="D128" s="338" t="n">
        <f aca="false">B91</f>
        <v>683.925698086146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1171.69258941778</v>
      </c>
      <c r="H130" s="174" t="n">
        <f aca="false">IF(G105="YES", H89*H57, 0)</f>
        <v>72</v>
      </c>
      <c r="I130" s="174"/>
      <c r="J130" s="349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5615.33128277531</v>
      </c>
      <c r="C131" s="280"/>
      <c r="D131" s="38" t="n">
        <f aca="false">IF(A105="YES", B89*B57, 0)</f>
        <v>540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6155.33128277531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60</v>
      </c>
      <c r="C137" s="280"/>
      <c r="D137" s="38" t="n">
        <f aca="false">B91</f>
        <v>683.925698086146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1090.84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683.925698086146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623.925698086146</v>
      </c>
      <c r="B171" s="367" t="n">
        <f aca="false">IF(A105="YES", B89, 0)</f>
        <v>60</v>
      </c>
      <c r="C171" s="395"/>
      <c r="D171" s="367" t="n">
        <f aca="false">B91</f>
        <v>683.925698086146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5615.33128277531</v>
      </c>
      <c r="C174" s="282"/>
      <c r="D174" s="99" t="n">
        <f aca="false">IF(A105="YES", B89*B57, 0)</f>
        <v>540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6155.33128277531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60</v>
      </c>
      <c r="C180" s="282"/>
      <c r="D180" s="99" t="n">
        <f aca="false">B91</f>
        <v>683.925698086146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1090.84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H29</f>
        <v>12</v>
      </c>
      <c r="C203" s="338" t="s">
        <v>215</v>
      </c>
      <c r="D203" s="377" t="n">
        <f aca="false">D64</f>
        <v>4051.95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578.85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3933.09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4051.95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3933.09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4411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2023-03-27T20:13:52Z</dcterms:modified>
  <cp:revision>725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