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CP (Formula 3) - PCH" sheetId="1" state="visible" r:id="rId2"/>
    <sheet name="CP (Formula 3) - BCH" sheetId="2" state="visible" r:id="rId3"/>
    <sheet name="Formula1-BCH" sheetId="3" state="visible" r:id="rId4"/>
    <sheet name="CP (Formula 2) - PCP" sheetId="4" state="visible" r:id="rId5"/>
    <sheet name="HPNR (Formula 3) - PCP" sheetId="5" state="visible" r:id="rId6"/>
    <sheet name="HPNR (Formula 3) - CP" sheetId="6" state="visible" r:id="rId7"/>
    <sheet name="HPNR (Formula 3) - HPR" sheetId="7" state="visible" r:id="rId8"/>
    <sheet name="HPNR (Formula 3) - FL" sheetId="8" state="visible" r:id="rId9"/>
    <sheet name="HPNR (Formula 3) - PCH" sheetId="9" state="visible" r:id="rId10"/>
    <sheet name="HPNR (Formula 3) - BCH" sheetId="10" state="visible" r:id="rId11"/>
    <sheet name="HPNR (Formula 3) - HPNR" sheetId="11" state="visible" r:id="rId12"/>
    <sheet name="FL (Formula 3) - FL" sheetId="12" state="visible" r:id="rId13"/>
    <sheet name="FL (Formula 3) - PCH" sheetId="13" state="visible" r:id="rId14"/>
    <sheet name="FL (Formula 3) - BCH" sheetId="14" state="visible" r:id="rId15"/>
    <sheet name="HirePurchaseNonRegulated" sheetId="15" state="visible" r:id="rId16"/>
    <sheet name="HirePurchaseRegulated" sheetId="16" state="visible" r:id="rId17"/>
    <sheet name="PersonalContractPurchase" sheetId="17" state="visible" r:id="rId18"/>
    <sheet name="ContractPurchase" sheetId="18" state="visible" r:id="rId19"/>
    <sheet name="Formula1-FL" sheetId="19" state="visible" r:id="rId20"/>
    <sheet name="Formula1-PCH" sheetId="20" state="visible" r:id="rId21"/>
    <sheet name="FL (Formula 3) - BCH, PCH, FL" sheetId="21" state="visible" r:id="rId22"/>
    <sheet name="BCH (Formula 3) - PCH" sheetId="22" state="visible" r:id="rId23"/>
    <sheet name="BCH (Formula 3) - BCH" sheetId="23" state="visible" r:id="rId24"/>
    <sheet name="CP (Formula 2) - CP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<sst xmlns="http://schemas.openxmlformats.org/spreadsheetml/2006/main" count="10409" uniqueCount="358">
  <si>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</si>
  <si>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</si>
  <si>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</si>
  <si>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</si>
  <si>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</si>
  <si>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</si>
  <si>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</si>
  <si>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</si>
  <si>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</si>
  <si>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</si>
  <si>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RFL &amp; FRF </t>
  </si>
  <si>
    <t xml:space="preserve">Subtotal after discounts         </t>
  </si>
  <si>
    <t xml:space="preserve">Manufacturer delivery charges           </t>
  </si>
  <si>
    <t xml:space="preserve">Cost price ex. VAT &amp; RFL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</si>
  <si>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</si>
  <si>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</si>
  <si>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</si>
  <si>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</si>
  <si>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</si>
  <si>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</si>
  <si>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</si>
  <si>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</si>
  <si>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</si>
  <si>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</si>
  <si>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</si>
  <si>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</si>
  <si>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</si>
  <si>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</si>
  <si>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</si>
  <si>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</si>
  <si>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</si>
  <si>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</si>
  <si>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</si>
  <si>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</si>
  <si>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</si>
  <si>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</si>
  <si>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</si>
  <si>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</si>
  <si>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</si>
  <si>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</si>
  <si>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</si>
  <si>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</si>
  <si>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</si>
  <si>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</si>
  <si>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</si>
  <si>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</si>
  <si>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Maintenance Cost (SMR) Annual Value</t>
  </si>
  <si>
    <t xml:space="preserve">12</t>
  </si>
  <si>
    <t xml:space="preserve">Cash deposit</t>
  </si>
  <si>
    <t xml:space="preserve">5000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</si>
  <si>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</si>
  <si>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</si>
  <si>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</si>
  <si>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</si>
  <si>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</si>
  <si>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</si>
  <si>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</si>
  <si>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</si>
  <si>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</si>
  <si>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</si>
  <si>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</si>
  <si>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</si>
  <si>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</si>
  <si>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</si>
  <si>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</si>
  <si>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</si>
  <si>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</si>
  <si>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</si>
  <si>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</si>
  <si>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</si>
  <si>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</si>
  <si>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</si>
  <si>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</si>
  <si>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</si>
  <si>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</si>
  <si>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</si>
  <si>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</si>
  <si>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</si>
  <si>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</si>
  <si>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</si>
  <si>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</si>
  <si>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Term (months)</t>
  </si>
  <si>
    <t xml:space="preserve">Mileage per annum</t>
  </si>
  <si>
    <t xml:space="preserve">without maintenance Holding cost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</si>
  <si>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</si>
  <si>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</si>
  <si>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</si>
  <si>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</si>
  <si>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</si>
  <si>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</si>
  <si>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</si>
  <si>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</si>
  <si>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</si>
  <si>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</si>
  <si>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</si>
  <si>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</si>
  <si>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</si>
  <si>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</si>
  <si>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</si>
  <si>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</si>
  <si>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</si>
  <si>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</si>
  <si>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</si>
  <si>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</si>
  <si>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</si>
  <si>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</si>
  <si>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</si>
  <si>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</si>
  <si>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</si>
  <si>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</si>
  <si>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</si>
  <si>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</si>
  <si>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</si>
  <si>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</si>
  <si>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</si>
  <si>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</si>
  <si>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</si>
  <si>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</si>
  <si>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</si>
  <si>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</si>
  <si>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</si>
  <si>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</si>
  <si>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</si>
  <si>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</si>
  <si>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</si>
  <si>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</si>
  <si>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</si>
  <si>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</si>
  <si>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</si>
  <si>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</si>
  <si>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</si>
  <si>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</si>
  <si>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</si>
  <si>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</si>
  <si>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</si>
  <si>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</si>
  <si>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</si>
  <si>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</si>
  <si>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</si>
  <si>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</si>
  <si>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</si>
  <si>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</si>
  <si>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</si>
  <si>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</si>
  <si>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</si>
  <si>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</si>
  <si>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</si>
  <si>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</si>
  <si>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</si>
  <si>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maint. rental</t>
  </si>
  <si>
    <t xml:space="preserve">Total monthly rental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</si>
  <si>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</si>
  <si>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</si>
  <si>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</si>
  <si>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Monthly finance rental (Ex. VAT)</t>
  </si>
  <si>
    <t xml:space="preserve">Monthly maintenance rental (Ex. VAT)</t>
  </si>
  <si>
    <t xml:space="preserve">Initial finance rental</t>
  </si>
  <si>
    <t xml:space="preserve">Initial maint. rental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</si>
  <si>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</si>
  <si>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</si>
  <si>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</si>
  <si>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</si>
  <si>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</si>
  <si>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</si>
  <si>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Total initial rental</t>
  </si>
  <si>
    <t xml:space="preserve">Part exchange value</t>
  </si>
  <si>
    <t xml:space="preserve">Followed by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</si>
  <si>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</si>
  <si>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</si>
  <si>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</si>
  <si>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</si>
  <si>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</si>
  <si>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</si>
  <si>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Document fee (In. VAT)</t>
  </si>
  <si>
    <t xml:space="preserve">Default commission (Ex. VAT)</t>
  </si>
  <si>
    <t xml:space="preserve">Upsell commission (Ex. VAT)</t>
  </si>
  <si>
    <t xml:space="preserve">Document fee (Ex. VAT)</t>
  </si>
  <si>
    <t xml:space="preserve">Pence per excess mile - main.</t>
  </si>
  <si>
    <t xml:space="preserve">Pence per excess mile - total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</si>
  <si>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</si>
  <si>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</si>
  <si>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</si>
  <si>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</si>
  <si>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Requested</t>
  </si>
  <si>
    <t xml:space="preserve">Subsidy Commission Deduction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</si>
  <si>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</si>
  <si>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</si>
  <si>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</si>
  <si>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</si>
  <si>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</si>
  <si>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</si>
  <si>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</si>
  <si>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Document fee comm.</t>
  </si>
  <si>
    <t xml:space="preserve">Referrer comm.</t>
  </si>
  <si>
    <t xml:space="preserve">        Configuration</t>
  </si>
  <si>
    <t xml:space="preserve">Base interest rate</t>
  </si>
  <si>
    <t xml:space="preserve">Finance margin</t>
  </si>
  <si>
    <t xml:space="preserve">Deductions</t>
  </si>
  <si>
    <t xml:space="preserve">Additional margin</t>
  </si>
  <si>
    <t xml:space="preserve">Total margin</t>
  </si>
  <si>
    <t xml:space="preserve">Default broker margin</t>
  </si>
  <si>
    <t xml:space="preserve">Broker upsell margin</t>
  </si>
  <si>
    <t xml:space="preserve">Document fee margin</t>
  </si>
  <si>
    <t xml:space="preserve">Referrer margin</t>
  </si>
  <si>
    <t xml:space="preserve">Maintnance Margin</t>
  </si>
  <si>
    <t xml:space="preserve">            Additional items</t>
  </si>
  <si>
    <t xml:space="preserve">Tracker cost</t>
  </si>
  <si>
    <t xml:space="preserve">Tracker subs per month</t>
  </si>
  <si>
    <t xml:space="preserve">Total tracker cost</t>
  </si>
  <si>
    <t xml:space="preserve">Contingency insurance multiplier</t>
  </si>
  <si>
    <t xml:space="preserve">Insurance tax</t>
  </si>
  <si>
    <t xml:space="preserve">Contingency insurance value</t>
  </si>
  <si>
    <t xml:space="preserve">Disposal cost</t>
  </si>
  <si>
    <t xml:space="preserve">Additional RFL per annum</t>
  </si>
  <si>
    <t xml:space="preserve">Delivery &amp; collection cost</t>
  </si>
  <si>
    <t xml:space="preserve">Additional RFL (List price over 40k) per annum</t>
  </si>
  <si>
    <t xml:space="preserve">50</t>
  </si>
  <si>
    <t xml:space="preserve">Holding cost - formula - 1</t>
  </si>
  <si>
    <t xml:space="preserve">       Summary</t>
  </si>
  <si>
    <t xml:space="preserve">0</t>
  </si>
  <si>
    <t xml:space="preserve">Total monthly holding cost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</si>
  <si>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</si>
  <si>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</si>
  <si>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</si>
  <si>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</si>
  <si>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</si>
  <si>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</si>
  <si>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</si>
  <si>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</si>
  <si>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</si>
  <si>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</si>
  <si>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</si>
  <si>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</si>
  <si>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</si>
  <si>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</si>
  <si>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</si>
  <si>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</si>
  <si>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</si>
  <si>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</si>
  <si>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</si>
  <si>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</si>
  <si>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</si>
  <si>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</si>
  <si>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Select Caste</t>
  </si>
  <si>
    <t xml:space="preserve">Referrer commission (Ex. VAT)</t>
  </si>
  <si>
    <t xml:space="preserve">           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</si>
  <si>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</si>
  <si>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</si>
  <si>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</si>
  <si>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</si>
  <si>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</si>
  <si>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</si>
  <si>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</si>
  <si>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</si>
  <si>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Optional final payment</t>
  </si>
  <si>
    <t xml:space="preserve">Monthly maint. Payment</t>
  </si>
  <si>
    <t xml:space="preserve">Pence per excess mile - maint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</si>
  <si>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</si>
  <si>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</si>
  <si>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</si>
  <si>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</si>
  <si>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</si>
  <si>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</si>
  <si>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</si>
  <si>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</si>
  <si>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</si>
  <si>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</si>
  <si>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</si>
  <si>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</si>
  <si>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</si>
  <si>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</si>
  <si>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</si>
  <si>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</si>
  <si>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</si>
  <si>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</si>
  <si>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</si>
  <si>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</si>
  <si>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</si>
  <si>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</si>
  <si>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</si>
  <si>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</si>
  <si>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</si>
  <si>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</si>
  <si>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</si>
  <si>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</si>
  <si>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</si>
  <si>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</si>
  <si>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</si>
  <si>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</si>
  <si>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</si>
  <si>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</si>
  <si>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</si>
  <si>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</si>
  <si>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</si>
  <si>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</si>
  <si>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</si>
  <si>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</si>
  <si>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</si>
  <si>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</si>
  <si>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</si>
  <si>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</si>
  <si>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</si>
  <si>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</si>
  <si>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</si>
  <si>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</si>
  <si>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</si>
  <si>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</si>
  <si>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</si>
  <si>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</si>
  <si>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</si>
  <si>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</si>
  <si>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</si>
  <si>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</si>
  <si>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</si>
  <si>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</si>
  <si>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</si>
  <si>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</si>
  <si>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Initial finance rental(Ex. VAT)</t>
  </si>
  <si>
    <t xml:space="preserve">Finance Rental Monthly</t>
  </si>
  <si>
    <t xml:space="preserve">Maintenance monthly</t>
  </si>
  <si>
    <t xml:space="preserve">TOTAL CASH PURCHASE</t>
  </si>
  <si>
    <t xml:space="preserve">48877.50</t>
  </si>
  <si>
    <t xml:space="preserve">Term (months) </t>
  </si>
  <si>
    <t xml:space="preserve">Document Fee</t>
  </si>
  <si>
    <t xml:space="preserve">CASH DEPOSIT</t>
  </si>
  <si>
    <t xml:space="preserve">Total Cap Maint. Value</t>
  </si>
  <si>
    <t xml:space="preserve">470.00</t>
  </si>
  <si>
    <t xml:space="preserve">BALANCE TO FINANCE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</si>
  <si>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</si>
  <si>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</si>
  <si>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</si>
  <si>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</si>
  <si>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</si>
  <si>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</si>
  <si>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</si>
  <si>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</si>
  <si>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</si>
  <si>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199.99</t>
  </si>
  <si>
    <t xml:space="preserve">Hire purchase – Regulated</t>
  </si>
  <si>
    <t xml:space="preserve">5.28</t>
  </si>
  <si>
    <t xml:space="preserve">60</t>
  </si>
  <si>
    <t xml:space="preserve">2</t>
  </si>
  <si>
    <t xml:space="preserve">1</t>
  </si>
  <si>
    <t xml:space="preserve">Customer Quote – Finance Lease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</si>
  <si>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</si>
  <si>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</si>
  <si>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</si>
  <si>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A1 Credit</t>
  </si>
  <si>
    <t xml:space="preserve">Hire Purchase Non-Regulated</t>
  </si>
  <si>
    <t xml:space="preserve">Final payment (inc. option to purchase fee)</t>
  </si>
  <si>
    <t xml:space="preserve">       Commission due</t>
  </si>
  <si>
    <t xml:space="preserve">Vehicle comm.</t>
  </si>
  <si>
    <t xml:space="preserve">239.99</t>
  </si>
  <si>
    <t xml:space="preserve">Contract Purchase</t>
  </si>
  <si>
    <t xml:space="preserve">Guaranteed future value</t>
  </si>
  <si>
    <t xml:space="preserve">RFL included?</t>
  </si>
  <si>
    <t xml:space="preserve">Upload document</t>
  </si>
  <si>
    <t xml:space="preserve">`</t>
  </si>
</sst>
</file>

<file path=xl/styles.xml><?xml version="1.0" encoding="utf-8"?>
<styleSheet xmlns="http://schemas.openxmlformats.org/spreadsheetml/2006/main">
  <numFmts count="24">
    <numFmt numFmtId="164" formatCode="General"/>
    <numFmt numFmtId="165" formatCode="\£#,##0.00"/>
    <numFmt numFmtId="166" formatCode="0.00%"/>
    <numFmt numFmtId="167" formatCode="General"/>
    <numFmt numFmtId="168" formatCode="[$-409]m/d/yyyy"/>
    <numFmt numFmtId="169" formatCode="0%"/>
    <numFmt numFmtId="170" formatCode="0.00"/>
    <numFmt numFmtId="171" formatCode="#,##0.00"/>
    <numFmt numFmtId="172" formatCode="#,##0.0000000"/>
    <numFmt numFmtId="173" formatCode="_(* #,##0.00_);_(* \(#,##0.00\);_(* \-??_);_(@_)"/>
    <numFmt numFmtId="174" formatCode="_(* #,##0_);_(* \(#,##0\);_(* \-??_);_(@_)"/>
    <numFmt numFmtId="175" formatCode="\£#,##0.00000"/>
    <numFmt numFmtId="176" formatCode="\£#,##0.0000"/>
    <numFmt numFmtId="177" formatCode="0.0000%"/>
    <numFmt numFmtId="178" formatCode="&quot;TRUE&quot;;&quot;TRUE&quot;;&quot;FALSE&quot;"/>
    <numFmt numFmtId="179" formatCode="#,##0.000000000"/>
    <numFmt numFmtId="180" formatCode="#,##0.0"/>
    <numFmt numFmtId="181" formatCode="0.0000000000000"/>
    <numFmt numFmtId="182" formatCode="0.0000"/>
    <numFmt numFmtId="183" formatCode="0.000%"/>
    <numFmt numFmtId="184" formatCode="#,##0.00000"/>
    <numFmt numFmtId="185" formatCode="#,##0.000"/>
    <numFmt numFmtId="186" formatCode="#,##0.0000000000"/>
    <numFmt numFmtId="187" formatCode="#,##0.0000"/>
  </numFmts>
  <fonts count="3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9"/>
      <color rgb="FF000000"/>
      <name val="Arial"/>
      <family val="0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4"/>
      <color rgb="FFC9211E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2"/>
      <color rgb="FF000000"/>
      <name val="Arial"/>
      <family val="0"/>
      <charset val="1"/>
    </font>
    <font>
      <sz val="14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D0CECE"/>
      </patternFill>
    </fill>
    <fill>
      <patternFill patternType="solid">
        <fgColor rgb="FFFFFFFF"/>
        <bgColor rgb="FFFFEBEB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70AD47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FFEBEB"/>
        <bgColor rgb="FFE7E6E6"/>
      </patternFill>
    </fill>
    <fill>
      <patternFill patternType="solid">
        <fgColor rgb="FFD0CECE"/>
        <bgColor rgb="FFD8D8D8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2A6099"/>
        <bgColor rgb="FF666699"/>
      </patternFill>
    </fill>
    <fill>
      <patternFill patternType="solid">
        <fgColor rgb="FFAFD095"/>
        <bgColor rgb="FFA9D18E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9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6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3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3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4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EBEB"/>
      <rgbColor rgb="FFE7E6E6"/>
      <rgbColor rgb="FF660066"/>
      <rgbColor rgb="FFFF8080"/>
      <rgbColor rgb="FF2A6099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D9D9D9"/>
      <rgbColor rgb="FFA8D08D"/>
      <rgbColor rgb="FFAFD095"/>
      <rgbColor rgb="FFFF99CC"/>
      <rgbColor rgb="FFCC99FF"/>
      <rgbColor rgb="FFD8D8D8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B73" activeCellId="0" sqref="B73"/>
    </sheetView>
  </sheetViews>
  <sheetFormatPr defaultColWidth="10.83984375" defaultRowHeight="13.8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44952</v>
      </c>
      <c r="E29" s="41"/>
      <c r="F29" s="2"/>
      <c r="G29" s="33" t="s">
        <v>40</v>
      </c>
      <c r="H29" s="42" t="n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47</v>
      </c>
      <c r="B34" s="51" t="s">
        <v>48</v>
      </c>
      <c r="C34" s="48" t="s">
        <v>49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51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51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57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n">
        <f aca="false">IF(D41="Yes",A44, 0)</f>
        <v>0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65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n">
        <v>0</v>
      </c>
      <c r="B44" s="45" t="s">
        <v>71</v>
      </c>
      <c r="C44" s="45"/>
      <c r="D44" s="45" t="n">
        <v>0</v>
      </c>
      <c r="E44" s="45"/>
      <c r="F44" s="2"/>
      <c r="G44" s="53" t="s">
        <v>72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73</v>
      </c>
      <c r="H45" s="53" t="n">
        <f aca="false">(H39-H44)+H41</f>
        <v>-220.625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74</v>
      </c>
      <c r="B46" s="48" t="s">
        <v>75</v>
      </c>
      <c r="C46" s="48" t="s">
        <v>76</v>
      </c>
      <c r="D46" s="48"/>
      <c r="E46" s="64"/>
      <c r="F46" s="2" t="n">
        <v>0</v>
      </c>
      <c r="G46" s="53" t="s">
        <v>77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74</v>
      </c>
      <c r="B47" s="48"/>
      <c r="C47" s="48"/>
      <c r="D47" s="48"/>
      <c r="E47" s="64"/>
      <c r="F47" s="2"/>
      <c r="G47" s="53" t="s">
        <v>78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79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80</v>
      </c>
      <c r="H49" s="53" t="n">
        <f aca="false">H45+H48+H47</f>
        <v>-217.958333333333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48"/>
      <c r="E50" s="64"/>
      <c r="F50" s="2"/>
      <c r="G50" s="53" t="s">
        <v>83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H49</f>
        <v>-217.958333333333</v>
      </c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74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-217.958333333333</v>
      </c>
      <c r="C58" s="71"/>
      <c r="D58" s="31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84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84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84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85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85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85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86</v>
      </c>
      <c r="B68" s="84" t="n">
        <v>0.07</v>
      </c>
      <c r="C68" s="13"/>
      <c r="D68" s="13"/>
      <c r="E68" s="14"/>
      <c r="F68" s="2"/>
      <c r="G68" s="83" t="s">
        <v>86</v>
      </c>
      <c r="H68" s="84" t="n">
        <v>0.07</v>
      </c>
      <c r="I68" s="13"/>
      <c r="J68" s="13"/>
      <c r="K68" s="14"/>
      <c r="L68" s="2"/>
      <c r="M68" s="83" t="s">
        <v>86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87</v>
      </c>
      <c r="B69" s="10" t="n">
        <f aca="false">B68+(B68*0.25*(H29/12-1))</f>
        <v>0.07</v>
      </c>
      <c r="C69" s="13"/>
      <c r="D69" s="13"/>
      <c r="E69" s="14"/>
      <c r="F69" s="2"/>
      <c r="G69" s="6" t="s">
        <v>87</v>
      </c>
      <c r="H69" s="10" t="n">
        <f aca="false">H68+(H68*0.25*(H29/12-1))</f>
        <v>0.07</v>
      </c>
      <c r="I69" s="13"/>
      <c r="J69" s="13"/>
      <c r="K69" s="14"/>
      <c r="L69" s="2"/>
      <c r="M69" s="6" t="s">
        <v>87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88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88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88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89</v>
      </c>
      <c r="B71" s="84" t="n">
        <v>0.01</v>
      </c>
      <c r="C71" s="13"/>
      <c r="D71" s="13"/>
      <c r="E71" s="14"/>
      <c r="F71" s="2"/>
      <c r="G71" s="83" t="s">
        <v>89</v>
      </c>
      <c r="H71" s="84" t="n">
        <v>0.005</v>
      </c>
      <c r="I71" s="13"/>
      <c r="J71" s="13"/>
      <c r="K71" s="14"/>
      <c r="L71" s="2"/>
      <c r="M71" s="83" t="s">
        <v>89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90</v>
      </c>
      <c r="B72" s="10" t="n">
        <f aca="false">B71+(B71*0.5*(H29/12-1))</f>
        <v>0.01</v>
      </c>
      <c r="C72" s="13"/>
      <c r="D72" s="13"/>
      <c r="E72" s="14"/>
      <c r="F72" s="2"/>
      <c r="G72" s="6" t="s">
        <v>90</v>
      </c>
      <c r="H72" s="10" t="n">
        <f aca="false">H71+(H71*0.5*(H29/12-1))</f>
        <v>0.005</v>
      </c>
      <c r="I72" s="13"/>
      <c r="J72" s="13"/>
      <c r="K72" s="14"/>
      <c r="L72" s="2"/>
      <c r="M72" s="6" t="s">
        <v>90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91</v>
      </c>
      <c r="B73" s="85" t="n">
        <f aca="false">B67*B72</f>
        <v>578.85</v>
      </c>
      <c r="C73" s="13"/>
      <c r="D73" s="12"/>
      <c r="E73" s="14"/>
      <c r="F73" s="2"/>
      <c r="G73" s="77" t="s">
        <v>91</v>
      </c>
      <c r="H73" s="85" t="n">
        <f aca="false">H67*H72</f>
        <v>289.425</v>
      </c>
      <c r="I73" s="13"/>
      <c r="J73" s="12"/>
      <c r="K73" s="14"/>
      <c r="L73" s="2"/>
      <c r="M73" s="77" t="s">
        <v>91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92</v>
      </c>
      <c r="B74" s="84" t="n">
        <v>0.0075</v>
      </c>
      <c r="C74" s="13"/>
      <c r="D74" s="13"/>
      <c r="E74" s="14"/>
      <c r="F74" s="2"/>
      <c r="G74" s="83" t="s">
        <v>92</v>
      </c>
      <c r="H74" s="84" t="n">
        <v>0.0075</v>
      </c>
      <c r="I74" s="13"/>
      <c r="J74" s="13"/>
      <c r="K74" s="14"/>
      <c r="L74" s="2"/>
      <c r="M74" s="83" t="s">
        <v>92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93</v>
      </c>
      <c r="B75" s="86" t="n">
        <v>0.12</v>
      </c>
      <c r="C75" s="13"/>
      <c r="D75" s="13"/>
      <c r="E75" s="14"/>
      <c r="F75" s="2"/>
      <c r="G75" s="3" t="s">
        <v>93</v>
      </c>
      <c r="H75" s="86" t="n">
        <v>0.12</v>
      </c>
      <c r="I75" s="13"/>
      <c r="J75" s="13"/>
      <c r="K75" s="14"/>
      <c r="L75" s="2"/>
      <c r="M75" s="3" t="s">
        <v>93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94</v>
      </c>
      <c r="B76" s="87" t="n">
        <f aca="false">B74*(1+B75)</f>
        <v>0.0084</v>
      </c>
      <c r="C76" s="13"/>
      <c r="D76" s="13"/>
      <c r="E76" s="14"/>
      <c r="F76" s="2"/>
      <c r="G76" s="77" t="s">
        <v>94</v>
      </c>
      <c r="H76" s="87" t="n">
        <f aca="false">H74*(1+H75)</f>
        <v>0.0084</v>
      </c>
      <c r="I76" s="13"/>
      <c r="J76" s="13"/>
      <c r="K76" s="14"/>
      <c r="L76" s="2"/>
      <c r="M76" s="77" t="s">
        <v>94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95</v>
      </c>
      <c r="B77" s="88" t="n">
        <v>200</v>
      </c>
      <c r="C77" s="13"/>
      <c r="D77" s="13"/>
      <c r="E77" s="14"/>
      <c r="F77" s="2"/>
      <c r="G77" s="83" t="s">
        <v>95</v>
      </c>
      <c r="H77" s="88" t="n">
        <v>160</v>
      </c>
      <c r="I77" s="13"/>
      <c r="J77" s="13"/>
      <c r="K77" s="14"/>
      <c r="L77" s="2"/>
      <c r="M77" s="83" t="s">
        <v>95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96</v>
      </c>
      <c r="B78" s="89" t="n">
        <v>5</v>
      </c>
      <c r="C78" s="13"/>
      <c r="D78" s="13"/>
      <c r="E78" s="14"/>
      <c r="F78" s="2"/>
      <c r="G78" s="3" t="s">
        <v>96</v>
      </c>
      <c r="H78" s="89" t="n">
        <v>4.5</v>
      </c>
      <c r="I78" s="13"/>
      <c r="J78" s="13"/>
      <c r="K78" s="14"/>
      <c r="L78" s="2"/>
      <c r="M78" s="3" t="s">
        <v>96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97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97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97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98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98</v>
      </c>
      <c r="H80" s="88" t="n">
        <v>150</v>
      </c>
      <c r="I80" s="13"/>
      <c r="J80" s="13"/>
      <c r="K80" s="14"/>
      <c r="L80" s="2"/>
      <c r="M80" s="91" t="s">
        <v>98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99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99</v>
      </c>
      <c r="H81" s="89" t="n">
        <f aca="false">IF(G18&gt;40000, 325, 0)</f>
        <v>325</v>
      </c>
      <c r="I81" s="13"/>
      <c r="J81" s="13"/>
      <c r="K81" s="14"/>
      <c r="L81" s="2"/>
      <c r="M81" s="93" t="s">
        <v>99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100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100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100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101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101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101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102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103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103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104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104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104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105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105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105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106</v>
      </c>
      <c r="B87" s="100" t="n">
        <f aca="false">SUM(D70:D86)</f>
        <v>4755.28333333333</v>
      </c>
      <c r="C87" s="13"/>
      <c r="D87" s="13"/>
      <c r="E87" s="14"/>
      <c r="F87" s="2"/>
      <c r="G87" s="99" t="s">
        <v>106</v>
      </c>
      <c r="H87" s="100" t="n">
        <f aca="false">SUM(J70:J86)</f>
        <v>7205.53333333333</v>
      </c>
      <c r="I87" s="13"/>
      <c r="J87" s="13"/>
      <c r="K87" s="14"/>
      <c r="L87" s="2"/>
      <c r="M87" s="99" t="s">
        <v>106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107</v>
      </c>
      <c r="B88" s="11" t="n">
        <f aca="false">B87/H29</f>
        <v>396.273611111111</v>
      </c>
      <c r="C88" s="13"/>
      <c r="D88" s="13"/>
      <c r="E88" s="14"/>
      <c r="F88" s="2"/>
      <c r="G88" s="6" t="s">
        <v>107</v>
      </c>
      <c r="H88" s="11" t="n">
        <f aca="false">H87/H29</f>
        <v>600.461111111111</v>
      </c>
      <c r="I88" s="13"/>
      <c r="J88" s="13"/>
      <c r="K88" s="14"/>
      <c r="L88" s="2"/>
      <c r="M88" s="6" t="s">
        <v>107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108</v>
      </c>
      <c r="B89" s="102" t="n">
        <f aca="false">H50</f>
        <v>-217.958333333333</v>
      </c>
      <c r="C89" s="13"/>
      <c r="D89" s="13"/>
      <c r="E89" s="14"/>
      <c r="F89" s="2"/>
      <c r="G89" s="101" t="s">
        <v>108</v>
      </c>
      <c r="H89" s="102" t="n">
        <f aca="false">H46</f>
        <v>0</v>
      </c>
      <c r="I89" s="13"/>
      <c r="J89" s="13"/>
      <c r="K89" s="14"/>
      <c r="L89" s="2"/>
      <c r="M89" s="101" t="s">
        <v>108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109</v>
      </c>
      <c r="B91" s="103" t="n">
        <f aca="false">((B89*H29)+B87)*1.2</f>
        <v>2567.74</v>
      </c>
      <c r="C91" s="13"/>
      <c r="D91" s="13"/>
      <c r="E91" s="14"/>
      <c r="F91" s="2"/>
      <c r="G91" s="80" t="s">
        <v>109</v>
      </c>
      <c r="H91" s="103" t="n">
        <f aca="false">((H89*H29)+H87)*1.2</f>
        <v>8646.64</v>
      </c>
      <c r="I91" s="13"/>
      <c r="J91" s="13"/>
      <c r="K91" s="14"/>
      <c r="L91" s="2"/>
      <c r="M91" s="80" t="s">
        <v>109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110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110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110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111</v>
      </c>
      <c r="B93" s="85" t="n">
        <f aca="false">IF(B116="YES",((B91+B92)-E120),(B91+B92))</f>
        <v>-1414.13355788624</v>
      </c>
      <c r="C93" s="13"/>
      <c r="D93" s="13"/>
      <c r="E93" s="14"/>
      <c r="F93" s="2"/>
      <c r="G93" s="77" t="s">
        <v>111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111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IF(B105=Z104,(((H41*A32)+(H41*A32)*(B111/100))/(B64)),(((H41*A32)+(H41*A32)*(B111/100))/(B63+B64)))*1.2</f>
        <v>0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112</v>
      </c>
      <c r="B96" s="106" t="n">
        <f aca="false">IF(B105=Z104, (B93-D111)/(B64), B93/(B63+B64))</f>
        <v>-117.844463157187</v>
      </c>
      <c r="C96" s="13"/>
      <c r="D96" s="13"/>
      <c r="E96" s="14"/>
      <c r="F96" s="2"/>
      <c r="G96" s="105" t="s">
        <v>112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112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113</v>
      </c>
      <c r="B97" s="108" t="n">
        <f aca="false">IF(A111="YES", B96+B95, B96)</f>
        <v>-117.844463157187</v>
      </c>
      <c r="C97" s="13"/>
      <c r="D97" s="109"/>
      <c r="E97" s="14"/>
      <c r="F97" s="2"/>
      <c r="G97" s="107" t="s">
        <v>113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113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2"/>
      <c r="G100" s="30" t="s">
        <v>115</v>
      </c>
      <c r="H100" s="30"/>
      <c r="I100" s="30"/>
      <c r="J100" s="30"/>
      <c r="K100" s="30"/>
      <c r="L100" s="2"/>
      <c r="M100" s="30" t="s">
        <v>116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2"/>
      <c r="G102" s="32" t="s">
        <v>117</v>
      </c>
      <c r="H102" s="32"/>
      <c r="I102" s="32"/>
      <c r="J102" s="32"/>
      <c r="K102" s="32"/>
      <c r="L102" s="2"/>
      <c r="M102" s="32" t="s">
        <v>117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118</v>
      </c>
    </row>
    <row r="104" customFormat="false" ht="18.75" hidden="false" customHeight="true" outlineLevel="0" collapsed="false">
      <c r="A104" s="6" t="s">
        <v>119</v>
      </c>
      <c r="B104" s="13" t="s">
        <v>32</v>
      </c>
      <c r="C104" s="13"/>
      <c r="D104" s="13" t="s">
        <v>120</v>
      </c>
      <c r="E104" s="14"/>
      <c r="F104" s="2"/>
      <c r="G104" s="6" t="s">
        <v>119</v>
      </c>
      <c r="H104" s="13" t="s">
        <v>32</v>
      </c>
      <c r="I104" s="13"/>
      <c r="J104" s="13" t="s">
        <v>120</v>
      </c>
      <c r="K104" s="14"/>
      <c r="L104" s="2"/>
      <c r="M104" s="6" t="s">
        <v>119</v>
      </c>
      <c r="N104" s="13" t="s">
        <v>32</v>
      </c>
      <c r="O104" s="13"/>
      <c r="P104" s="13" t="s">
        <v>120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121</v>
      </c>
    </row>
    <row r="105" customFormat="false" ht="18.75" hidden="false" customHeight="true" outlineLevel="0" collapsed="false">
      <c r="A105" s="37"/>
      <c r="B105" s="110" t="s">
        <v>122</v>
      </c>
      <c r="C105" s="110"/>
      <c r="D105" s="111" t="n">
        <v>1000</v>
      </c>
      <c r="E105" s="111"/>
      <c r="F105" s="2"/>
      <c r="G105" s="37" t="s">
        <v>123</v>
      </c>
      <c r="H105" s="110" t="s">
        <v>124</v>
      </c>
      <c r="I105" s="110"/>
      <c r="J105" s="111" t="n">
        <v>5000</v>
      </c>
      <c r="K105" s="111"/>
      <c r="L105" s="2"/>
      <c r="M105" s="37" t="s">
        <v>123</v>
      </c>
      <c r="N105" s="110" t="s">
        <v>125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127</v>
      </c>
    </row>
    <row r="107" customFormat="false" ht="18.75" hidden="false" customHeight="true" outlineLevel="0" collapsed="false">
      <c r="A107" s="6" t="s">
        <v>128</v>
      </c>
      <c r="B107" s="13" t="s">
        <v>129</v>
      </c>
      <c r="C107" s="13"/>
      <c r="D107" s="13" t="s">
        <v>130</v>
      </c>
      <c r="E107" s="14"/>
      <c r="F107" s="2"/>
      <c r="G107" s="6" t="s">
        <v>128</v>
      </c>
      <c r="H107" s="13" t="s">
        <v>129</v>
      </c>
      <c r="I107" s="13"/>
      <c r="J107" s="13" t="s">
        <v>130</v>
      </c>
      <c r="K107" s="14"/>
      <c r="L107" s="2"/>
      <c r="M107" s="6" t="s">
        <v>128</v>
      </c>
      <c r="N107" s="13" t="s">
        <v>129</v>
      </c>
      <c r="O107" s="13"/>
      <c r="P107" s="13" t="s">
        <v>130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124</v>
      </c>
    </row>
    <row r="110" customFormat="false" ht="18.75" hidden="false" customHeight="true" outlineLevel="0" collapsed="false">
      <c r="A110" s="37" t="s">
        <v>132</v>
      </c>
      <c r="B110" s="2" t="s">
        <v>133</v>
      </c>
      <c r="C110" s="13"/>
      <c r="D110" s="13" t="s">
        <v>134</v>
      </c>
      <c r="E110" s="14"/>
      <c r="F110" s="2"/>
      <c r="G110" s="37" t="s">
        <v>132</v>
      </c>
      <c r="H110" s="2" t="s">
        <v>133</v>
      </c>
      <c r="I110" s="13"/>
      <c r="J110" s="13" t="s">
        <v>134</v>
      </c>
      <c r="K110" s="14"/>
      <c r="L110" s="2"/>
      <c r="M110" s="37" t="s">
        <v>132</v>
      </c>
      <c r="N110" s="2" t="s">
        <v>133</v>
      </c>
      <c r="O110" s="13"/>
      <c r="P110" s="13" t="s">
        <v>134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135</v>
      </c>
    </row>
    <row r="111" customFormat="false" ht="18.75" hidden="false" customHeight="true" outlineLevel="0" collapsed="false">
      <c r="A111" s="39" t="s">
        <v>28</v>
      </c>
      <c r="B111" s="110" t="n">
        <v>0</v>
      </c>
      <c r="C111" s="110"/>
      <c r="D111" s="113" t="s">
        <v>136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137</v>
      </c>
    </row>
    <row r="112" customFormat="false" ht="18.75" hidden="false" customHeight="true" outlineLevel="0" collapsed="false">
      <c r="A112" s="6"/>
      <c r="B112" s="13"/>
      <c r="C112" s="13"/>
      <c r="D112" s="13" t="s">
        <v>76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138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2"/>
      <c r="G114" s="32" t="s">
        <v>139</v>
      </c>
      <c r="H114" s="32"/>
      <c r="I114" s="32"/>
      <c r="J114" s="32"/>
      <c r="K114" s="32"/>
      <c r="L114" s="2"/>
      <c r="M114" s="32" t="s">
        <v>139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140</v>
      </c>
      <c r="B116" s="39" t="s">
        <v>27</v>
      </c>
      <c r="C116" s="13"/>
      <c r="D116" s="13"/>
      <c r="E116" s="14"/>
      <c r="F116" s="2"/>
      <c r="G116" s="6" t="s">
        <v>140</v>
      </c>
      <c r="H116" s="39" t="s">
        <v>27</v>
      </c>
      <c r="I116" s="13"/>
      <c r="J116" s="13"/>
      <c r="K116" s="14"/>
      <c r="L116" s="2"/>
      <c r="M116" s="6" t="s">
        <v>140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141</v>
      </c>
      <c r="B118" s="13"/>
      <c r="C118" s="13"/>
      <c r="D118" s="112" t="n">
        <v>10000</v>
      </c>
      <c r="E118" s="113" t="n">
        <v>6000</v>
      </c>
      <c r="F118" s="2"/>
      <c r="G118" s="6" t="s">
        <v>141</v>
      </c>
      <c r="H118" s="13"/>
      <c r="I118" s="13"/>
      <c r="J118" s="112" t="n">
        <v>10000</v>
      </c>
      <c r="K118" s="113" t="n">
        <v>5000</v>
      </c>
      <c r="L118" s="2"/>
      <c r="M118" s="6" t="s">
        <v>141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142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142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142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143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143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143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144</v>
      </c>
      <c r="B121" s="13"/>
      <c r="C121" s="13"/>
      <c r="D121" s="115" t="n">
        <f aca="false">D120-E120</f>
        <v>4000</v>
      </c>
      <c r="E121" s="14"/>
      <c r="F121" s="2"/>
      <c r="G121" s="6" t="s">
        <v>144</v>
      </c>
      <c r="H121" s="13"/>
      <c r="I121" s="13"/>
      <c r="J121" s="115" t="n">
        <f aca="false">J120-K120</f>
        <v>5000</v>
      </c>
      <c r="K121" s="14"/>
      <c r="L121" s="2"/>
      <c r="M121" s="6" t="s">
        <v>144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145</v>
      </c>
      <c r="B123" s="81"/>
      <c r="C123" s="81"/>
      <c r="D123" s="81"/>
      <c r="E123" s="103" t="n">
        <f aca="false">D105</f>
        <v>1000</v>
      </c>
      <c r="F123" s="2"/>
      <c r="G123" s="80" t="s">
        <v>145</v>
      </c>
      <c r="H123" s="81"/>
      <c r="I123" s="81"/>
      <c r="J123" s="81"/>
      <c r="K123" s="103" t="n">
        <f aca="false">J105</f>
        <v>5000</v>
      </c>
      <c r="L123" s="2"/>
      <c r="M123" s="80" t="s">
        <v>145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239.99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146</v>
      </c>
      <c r="B125" s="78"/>
      <c r="C125" s="78"/>
      <c r="D125" s="78"/>
      <c r="E125" s="85" t="n">
        <f aca="false">(E124+E123)-E120</f>
        <v>-2760.01</v>
      </c>
      <c r="F125" s="2"/>
      <c r="G125" s="117" t="s">
        <v>146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146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2"/>
      <c r="G128" s="32" t="s">
        <v>147</v>
      </c>
      <c r="H128" s="32"/>
      <c r="I128" s="32"/>
      <c r="J128" s="32"/>
      <c r="K128" s="32"/>
      <c r="L128" s="2"/>
      <c r="M128" s="32" t="s">
        <v>147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2"/>
      <c r="G130" s="6" t="s">
        <v>148</v>
      </c>
      <c r="H130" s="122" t="n">
        <v>0</v>
      </c>
      <c r="I130" s="122"/>
      <c r="J130" s="13"/>
      <c r="K130" s="14"/>
      <c r="L130" s="2"/>
      <c r="M130" s="6" t="s">
        <v>148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81</v>
      </c>
      <c r="H132" s="13" t="s">
        <v>82</v>
      </c>
      <c r="I132" s="13"/>
      <c r="J132" s="13" t="s">
        <v>85</v>
      </c>
      <c r="K132" s="14"/>
      <c r="L132" s="2"/>
      <c r="M132" s="6" t="s">
        <v>81</v>
      </c>
      <c r="N132" s="13" t="s">
        <v>82</v>
      </c>
      <c r="O132" s="13"/>
      <c r="P132" s="13" t="s">
        <v>85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-117.844463157187</v>
      </c>
      <c r="B134" s="120" t="n">
        <f aca="false">IF(A111="YES", B95, 0)</f>
        <v>0</v>
      </c>
      <c r="C134" s="125"/>
      <c r="D134" s="120" t="n">
        <f aca="false">B97</f>
        <v>-117.844463157187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151</v>
      </c>
      <c r="H135" s="129" t="s">
        <v>152</v>
      </c>
      <c r="I135" s="129"/>
      <c r="J135" s="129" t="s">
        <v>153</v>
      </c>
      <c r="K135" s="14"/>
      <c r="L135" s="2"/>
      <c r="M135" s="128" t="s">
        <v>154</v>
      </c>
      <c r="N135" s="129" t="s">
        <v>155</v>
      </c>
      <c r="O135" s="129"/>
      <c r="P135" s="129" t="s">
        <v>113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-1060.60016841468</v>
      </c>
      <c r="C137" s="13"/>
      <c r="D137" s="136" t="n">
        <f aca="false">IF(A111="YES", B95*B63, 0)</f>
        <v>0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158</v>
      </c>
      <c r="H138" s="13" t="s">
        <v>159</v>
      </c>
      <c r="I138" s="13"/>
      <c r="J138" s="13" t="s">
        <v>160</v>
      </c>
      <c r="K138" s="14"/>
      <c r="L138" s="2"/>
      <c r="M138" s="6" t="s">
        <v>161</v>
      </c>
      <c r="N138" s="13" t="s">
        <v>162</v>
      </c>
      <c r="O138" s="13"/>
      <c r="P138" s="13" t="s">
        <v>163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-1060.60016841468</v>
      </c>
      <c r="B140" s="136" t="n">
        <f aca="false">E120</f>
        <v>4000</v>
      </c>
      <c r="C140" s="13"/>
      <c r="D140" s="142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167</v>
      </c>
      <c r="H141" s="13" t="s">
        <v>168</v>
      </c>
      <c r="I141" s="13"/>
      <c r="J141" s="13" t="s">
        <v>169</v>
      </c>
      <c r="K141" s="14"/>
      <c r="L141" s="2"/>
      <c r="M141" s="6" t="s">
        <v>170</v>
      </c>
      <c r="N141" s="13" t="s">
        <v>171</v>
      </c>
      <c r="O141" s="13"/>
      <c r="P141" s="13" t="s">
        <v>172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-117.844463157187</v>
      </c>
      <c r="B143" s="136" t="n">
        <f aca="false">IF(A111="YES", B95, 0)</f>
        <v>0</v>
      </c>
      <c r="C143" s="13"/>
      <c r="D143" s="136" t="n">
        <f aca="false">B97</f>
        <v>-117.844463157187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173</v>
      </c>
      <c r="H144" s="13" t="s">
        <v>174</v>
      </c>
      <c r="I144" s="13"/>
      <c r="J144" s="13" t="s">
        <v>175</v>
      </c>
      <c r="K144" s="14"/>
      <c r="L144" s="2"/>
      <c r="M144" s="6" t="s">
        <v>176</v>
      </c>
      <c r="N144" s="13" t="s">
        <v>174</v>
      </c>
      <c r="O144" s="13"/>
      <c r="P144" s="13" t="s">
        <v>175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179</v>
      </c>
      <c r="H147" s="13" t="s">
        <v>180</v>
      </c>
      <c r="I147" s="13"/>
      <c r="J147" s="13" t="s">
        <v>181</v>
      </c>
      <c r="K147" s="14"/>
      <c r="L147" s="2"/>
      <c r="M147" s="6" t="s">
        <v>179</v>
      </c>
      <c r="N147" s="13" t="s">
        <v>180</v>
      </c>
      <c r="O147" s="13"/>
      <c r="P147" s="13" t="s">
        <v>181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183</v>
      </c>
      <c r="H150" s="13" t="s">
        <v>184</v>
      </c>
      <c r="I150" s="13"/>
      <c r="J150" s="13"/>
      <c r="K150" s="14"/>
      <c r="L150" s="2"/>
      <c r="M150" s="6" t="s">
        <v>183</v>
      </c>
      <c r="N150" s="13" t="s">
        <v>184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2"/>
      <c r="G153" s="6"/>
      <c r="H153" s="13"/>
      <c r="I153" s="13"/>
      <c r="J153" s="13"/>
      <c r="K153" s="14"/>
      <c r="L153" s="2"/>
      <c r="M153" s="144" t="s">
        <v>189</v>
      </c>
      <c r="N153" s="115" t="s">
        <v>190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0</v>
      </c>
      <c r="E154" s="146"/>
      <c r="F154" s="2"/>
      <c r="G154" s="72" t="s">
        <v>191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2"/>
      <c r="G156" s="67" t="s">
        <v>81</v>
      </c>
      <c r="H156" s="68" t="s">
        <v>82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E124-100</f>
        <v>139.99</v>
      </c>
      <c r="B157" s="136" t="n">
        <f aca="false">(A154+B154+D154+A157)*(A149/B70)</f>
        <v>0</v>
      </c>
      <c r="C157" s="136"/>
      <c r="D157" s="136" t="n">
        <f aca="false">(A154+B154+D154+A157)-B157</f>
        <v>718.84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191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81</v>
      </c>
      <c r="N159" s="68" t="s">
        <v>82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-117.844463157187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-117.844463157187</v>
      </c>
      <c r="B177" s="160" t="n">
        <f aca="false">IF(A111="YES", B95, 0)</f>
        <v>0</v>
      </c>
      <c r="C177" s="162"/>
      <c r="D177" s="160" t="n">
        <f aca="false">A177+B177</f>
        <v>-117.844463157187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-1060.60016841468</v>
      </c>
      <c r="C180" s="31"/>
      <c r="D180" s="164" t="n">
        <f aca="false">IF(A111="YES", B95*B63, 0)</f>
        <v>0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-1060.60016841468</v>
      </c>
      <c r="B183" s="164" t="n">
        <f aca="false">E120</f>
        <v>4000</v>
      </c>
      <c r="C183" s="31"/>
      <c r="D183" s="166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-117.844463157187</v>
      </c>
      <c r="B186" s="164" t="n">
        <f aca="false">IF(A111="YES", B95, 0)</f>
        <v>0</v>
      </c>
      <c r="C186" s="31"/>
      <c r="D186" s="164" t="n">
        <f aca="false">B97</f>
        <v>-117.844463157187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718.84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D70</f>
        <v>4051.95</v>
      </c>
      <c r="E209" s="1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197</v>
      </c>
      <c r="B211" s="120" t="n">
        <f aca="false">B219</f>
        <v>694.62</v>
      </c>
      <c r="C211" s="119" t="s">
        <v>198</v>
      </c>
      <c r="D211" s="173" t="n">
        <f aca="false">B225+E221+B221+B223</f>
        <v>99.9916666666667</v>
      </c>
      <c r="E211" s="1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199</v>
      </c>
      <c r="B213" s="120" t="n">
        <f aca="false">E223</f>
        <v>3457.32166666667</v>
      </c>
      <c r="C213" s="125"/>
      <c r="D213" s="120"/>
      <c r="E213" s="1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200</v>
      </c>
      <c r="B219" s="45" t="n">
        <f aca="false">B73*1.2</f>
        <v>694.62</v>
      </c>
      <c r="C219" s="137" t="s">
        <v>201</v>
      </c>
      <c r="D219" s="177"/>
      <c r="E219" s="178" t="n">
        <v>0.001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3457.32166666667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18.1264421137556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0:A51"/>
    <mergeCell ref="B50:C50"/>
    <mergeCell ref="B51:C51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8" activeCellId="0" sqref="I8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44952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10767.2833333333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6858.49468871857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0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571.541224059881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571.541224059881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28</v>
      </c>
      <c r="B111" s="110" t="n">
        <v>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0</v>
      </c>
      <c r="C134" s="191"/>
      <c r="D134" s="120" t="n">
        <f aca="false">B97</f>
        <v>571.541224059881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5143.87101653893</v>
      </c>
      <c r="C137" s="13"/>
      <c r="D137" s="136" t="n">
        <f aca="false">IF(A111="YES", B95*B63, 0)</f>
        <v>0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5143.87101653893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0</v>
      </c>
      <c r="C143" s="13"/>
      <c r="D143" s="136" t="n">
        <f aca="false">B97</f>
        <v>571.541224059881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0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571.541224059881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0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5143.87101653893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5143.87101653893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0</v>
      </c>
      <c r="C186" s="31"/>
      <c r="D186" s="164" t="n">
        <f aca="false">B97</f>
        <v>571.541224059881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3573.09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3573.09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F124" activeCellId="0" sqref="F124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6" min="2" style="288" width="18.88"/>
    <col collapsed="false" customWidth="true" hidden="false" outlineLevel="0" max="7" min="7" style="288" width="23.13"/>
    <col collapsed="false" customWidth="true" hidden="false" outlineLevel="0" max="9" min="8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44952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55466.9696823396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IF(A111="YES", 0,0)</f>
        <v>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33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0</v>
      </c>
      <c r="C86" s="402" t="n">
        <f aca="false">(B82/((1+B84)^(B85+1)))</f>
        <v>0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27.3675754865307</v>
      </c>
      <c r="C87" s="402" t="n">
        <f aca="false">((1-(1/((1+B84)^B85)))/B84)</f>
        <v>27.3675754865307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47877.5</v>
      </c>
      <c r="C88" s="402" t="n">
        <f aca="false">B81-B86</f>
        <v>47877.5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1749.42424196705</v>
      </c>
      <c r="C89" s="402" t="n">
        <f aca="false">(B88/B87)</f>
        <v>1749.42424196705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57730.9999849127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57730.9999849127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IF(B38="YES",((H36/B85)*(1+A108)),"0")</f>
        <v>17.0909090909091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1749.42424196705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1766.51515105796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270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28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1749.42424196705</v>
      </c>
      <c r="B167" s="286" t="n">
        <f aca="false">B94</f>
        <v>17.0909090909091</v>
      </c>
      <c r="C167" s="439"/>
      <c r="D167" s="439"/>
      <c r="E167" s="286" t="n">
        <f aca="false">B96</f>
        <v>1766.51515105796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n">
        <f aca="false">IF(A111="YES", A40, 0)</f>
        <v>0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v>500</v>
      </c>
      <c r="B182" s="164" t="str">
        <f aca="false">B114</f>
        <v>199.99</v>
      </c>
      <c r="C182" s="164"/>
      <c r="D182" s="308"/>
      <c r="E182" s="164" t="n">
        <f aca="false">E179+A182+B182+A185</f>
        <v>58234.994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 t="n">
        <v>3</v>
      </c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199.99</v>
      </c>
      <c r="C185" s="164"/>
      <c r="D185" s="308"/>
      <c r="E185" s="164" t="n">
        <f aca="false">E170+A185</f>
        <v>10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</f>
        <v>143.81251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B185-100</f>
        <v>99.99</v>
      </c>
      <c r="B191" s="164" t="n">
        <f aca="false">B188+E188+A191</f>
        <v>243.80251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1766.51515105796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A157" activeCellId="0" sqref="A157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44952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60</v>
      </c>
      <c r="E32" s="407"/>
      <c r="F32" s="171"/>
      <c r="G32" s="408" t="s">
        <v>319</v>
      </c>
      <c r="H32" s="406" t="str">
        <f aca="false">A41</f>
        <v>60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560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340</v>
      </c>
      <c r="B41" s="58" t="n">
        <f aca="false">IF(B38="YES", D38+A41, D38)</f>
        <v>560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341</v>
      </c>
      <c r="E44" s="45"/>
      <c r="F44" s="171"/>
      <c r="G44" s="171" t="s">
        <v>332</v>
      </c>
      <c r="H44" s="226" t="str">
        <f aca="false">H32</f>
        <v>60</v>
      </c>
      <c r="I44" s="65" t="n">
        <f aca="false">((A41*(B35-1))+D32)/B35</f>
        <v>60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561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8" t="s">
        <v>342</v>
      </c>
      <c r="C47" s="448"/>
      <c r="D47" s="45" t="s">
        <v>342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561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 t="s">
        <v>75</v>
      </c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1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11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58" t="s">
        <v>98</v>
      </c>
      <c r="B80" s="259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0" t="s">
        <v>99</v>
      </c>
      <c r="B81" s="261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6814.79427188382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78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567.899522656985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645.899522656985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343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118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4" t="n">
        <v>30</v>
      </c>
      <c r="C111" s="114"/>
      <c r="D111" s="113" t="n">
        <v>200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78</v>
      </c>
      <c r="C134" s="191"/>
      <c r="D134" s="120" t="n">
        <f aca="false">B97</f>
        <v>645.899522656985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Monthly in advance </v>
      </c>
      <c r="B137" s="136" t="n">
        <f aca="false">B96*B63</f>
        <v>567.899522656985</v>
      </c>
      <c r="C137" s="13"/>
      <c r="D137" s="136" t="n">
        <f aca="false">IF(A111="YES", B95*B63, 0)</f>
        <v>78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645.899522656985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78</v>
      </c>
      <c r="C143" s="13"/>
      <c r="D143" s="136" t="n">
        <f aca="false">B97</f>
        <v>645.899522656985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14.4</v>
      </c>
      <c r="H148" s="164" t="n">
        <f aca="false">G108-100</f>
        <v>139.988</v>
      </c>
      <c r="I148" s="164"/>
      <c r="J148" s="164" t="n">
        <f aca="false">(H145+J145+G148+H148)-H151</f>
        <v>1475.5755</v>
      </c>
      <c r="K148" s="146"/>
      <c r="L148" s="171"/>
      <c r="M148" s="141" t="n">
        <f aca="false">IF(M111="YES", ((A41*N111)*0.1)*(M133), 0)</f>
        <v>14.4</v>
      </c>
      <c r="N148" s="164" t="n">
        <f aca="false">M108-100</f>
        <v>99.99</v>
      </c>
      <c r="O148" s="164"/>
      <c r="P148" s="164" t="n">
        <f aca="false">(N145+P145+M148+N148)-N151</f>
        <v>1435.5775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43.2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722.04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645.899522656985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78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Monthly in advance </v>
      </c>
      <c r="B180" s="164" t="n">
        <f aca="false">B96*B63</f>
        <v>567.899522656985</v>
      </c>
      <c r="C180" s="31"/>
      <c r="D180" s="164" t="n">
        <f aca="false">IF(A111="YES", B95*B63, 0)</f>
        <v>78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645.899522656985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78</v>
      </c>
      <c r="C186" s="31"/>
      <c r="D186" s="164" t="n">
        <f aca="false">B97</f>
        <v>645.899522656985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722.04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3" colorId="64" zoomScale="75" zoomScaleNormal="75" zoomScalePageLayoutView="100" workbookViewId="0">
      <selection pane="topLeft" activeCell="A200" activeCellId="0" sqref="A200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44952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216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342</v>
      </c>
      <c r="E44" s="45"/>
      <c r="F44" s="171"/>
      <c r="G44" s="171" t="s">
        <v>332</v>
      </c>
      <c r="H44" s="22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8" t="s">
        <v>342</v>
      </c>
      <c r="C47" s="448"/>
      <c r="D47" s="45" t="s">
        <v>342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 t="s">
        <v>76</v>
      </c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((B89*H29)+B87)*1.2</f>
        <v>12920.74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9011.95135538524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IF(B105=Z104,(((H44*B35)+(H44*B35)*(B111/100))/(B64)),(((H44*B35)+(H44*B35)*(B111/100))/(B63+B64)))*1.2</f>
        <v>78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750.995946282103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828.995946282103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30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239.99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-2760.01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78</v>
      </c>
      <c r="C134" s="191"/>
      <c r="D134" s="120" t="n">
        <f aca="false">B97</f>
        <v>828.995946282103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6758.96351653893</v>
      </c>
      <c r="C137" s="13"/>
      <c r="D137" s="136" t="n">
        <f aca="false">IF(A111="YES", B95*B63, 0)</f>
        <v>702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7460.96351653893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78</v>
      </c>
      <c r="C143" s="13"/>
      <c r="D143" s="136" t="n">
        <f aca="false">B97</f>
        <v>828.995946282103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0)*0.1</f>
        <v>4.32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683.161666666667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828.995946282103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78</v>
      </c>
      <c r="C177" s="192"/>
      <c r="D177" s="160" t="n">
        <f aca="false">B97</f>
        <v>828.995946282103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6758.96351653893</v>
      </c>
      <c r="C180" s="31"/>
      <c r="D180" s="164" t="n">
        <f aca="false">IF(A111="YES", B95*B63, 0)</f>
        <v>702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7460.96351653893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78</v>
      </c>
      <c r="C186" s="31"/>
      <c r="D186" s="164" t="n">
        <f aca="false">B97</f>
        <v>828.995946282103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683.161666666667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143.191666666667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8" activeCellId="0" sqref="I8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44952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216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342</v>
      </c>
      <c r="E44" s="45"/>
      <c r="F44" s="171"/>
      <c r="G44" s="171" t="s">
        <v>332</v>
      </c>
      <c r="H44" s="22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8" t="s">
        <v>342</v>
      </c>
      <c r="C47" s="448"/>
      <c r="D47" s="45" t="s">
        <v>342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10767.2833333333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6858.49468871857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65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571.541224059881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636.541224059881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30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65</v>
      </c>
      <c r="C134" s="191"/>
      <c r="D134" s="120" t="n">
        <f aca="false">B97</f>
        <v>636.541224059881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5143.87101653893</v>
      </c>
      <c r="C137" s="13"/>
      <c r="D137" s="136" t="n">
        <f aca="false">IF(A111="YES", B95*B63, 0)</f>
        <v>585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5728.87101653893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65</v>
      </c>
      <c r="C143" s="13"/>
      <c r="D143" s="136" t="n">
        <f aca="false">B97</f>
        <v>636.541224059881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43.2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722.04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636.541224059881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65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5143.87101653893</v>
      </c>
      <c r="C180" s="31"/>
      <c r="D180" s="164" t="n">
        <f aca="false">IF(A111="YES", B95*B63, 0)</f>
        <v>585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5728.87101653893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65</v>
      </c>
      <c r="C186" s="31"/>
      <c r="D186" s="164" t="n">
        <f aca="false">B97</f>
        <v>636.541224059881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722.04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false" showOutlineSymbols="true" defaultGridColor="true" view="normal" topLeftCell="A208" colorId="64" zoomScale="75" zoomScaleNormal="75" zoomScalePageLayoutView="100" workbookViewId="0">
      <selection pane="topLeft" activeCell="B240" activeCellId="0" sqref="B240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  <c r="L7" s="0"/>
      <c r="M7" s="0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  <c r="K9" s="288" t="s">
        <v>27</v>
      </c>
      <c r="L9" s="16"/>
      <c r="M9" s="16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  <c r="K10" s="288" t="s">
        <v>28</v>
      </c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  <c r="L12" s="0"/>
      <c r="M12" s="0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  <c r="L13" s="0"/>
      <c r="M13" s="0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28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49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/>
      <c r="J32" s="33" t="s">
        <v>46</v>
      </c>
      <c r="K32" s="218" t="n">
        <v>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922.920864561026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str">
        <f aca="false">IF(B26="YES", K42, "0.00")</f>
        <v>0.00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44866.9008605665</v>
      </c>
      <c r="N39" s="288" t="n">
        <f aca="false">K39-L39</f>
        <v>4010.59913943349</v>
      </c>
      <c r="P39" s="404"/>
    </row>
    <row r="40" customFormat="false" ht="17.35" hidden="false" customHeight="false" outlineLevel="0" collapsed="false">
      <c r="A40" s="113" t="n">
        <f aca="false">E36*A45/100</f>
        <v>27500</v>
      </c>
      <c r="B40" s="113" t="str">
        <f aca="false">IF(B26="YES",K42,"0")</f>
        <v>0</v>
      </c>
      <c r="C40" s="113"/>
      <c r="D40" s="113"/>
      <c r="E40" s="63" t="n">
        <f aca="false">K32</f>
        <v>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4010.59913943349</v>
      </c>
      <c r="N40" s="288" t="n">
        <f aca="false">N38-N39</f>
        <v>-1098.91913943349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(K32/K36)*C45/100</f>
        <v>0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344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50" t="s">
        <v>236</v>
      </c>
      <c r="B45" s="402"/>
      <c r="C45" s="325" t="s">
        <v>236</v>
      </c>
      <c r="D45" s="325"/>
      <c r="E45" s="325"/>
      <c r="F45" s="402"/>
      <c r="G45" s="402"/>
      <c r="H45" s="11"/>
      <c r="J45" s="53" t="s">
        <v>345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346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800</v>
      </c>
      <c r="M47" s="288" t="n">
        <f aca="false">K47-L47</f>
        <v>122.920864561025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922.920864561026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922.920864561026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57225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57225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57225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0.024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7950.71665374631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-756.0974340266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0.01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(G158*B67)</f>
        <v>572.25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4291.875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572.25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B73*K29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02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B77/K29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922.920864561026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922.920864561026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45468.749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IF(A111 = "Yes", A40, 0)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0.089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0.00741666666666667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21076.7652577131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30.7264493562845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36148.2347422869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26865.8831902377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1176.45336508409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927.687248290581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41175.8677779432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32469.0536901703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41175.8677779432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32469.0536901703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429" t="str">
        <f aca="false">IF(B26="YES",((E40/B85)*(1+A108)),"0")</f>
        <v>0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0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0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0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1176.45336508409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927.687248290581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B94+B95</f>
        <v>1176.45336508409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1477.31306457009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927.687248290581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927.687248290581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270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1" t="s">
        <v>28</v>
      </c>
      <c r="F105" s="451"/>
      <c r="G105" s="451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347</v>
      </c>
      <c r="C108" s="113"/>
      <c r="D108" s="113"/>
      <c r="E108" s="354" t="n">
        <f aca="false">B83</f>
        <v>0.089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(U121*U122)+U123</f>
        <v>11713.5425</v>
      </c>
      <c r="V124" s="435" t="n">
        <f aca="false">(V121*V122)+V123</f>
        <v>0</v>
      </c>
      <c r="W124" s="264" t="n">
        <f aca="false">(W121*W122)+W123</f>
        <v>0</v>
      </c>
      <c r="X124" s="435" t="n">
        <f aca="false">(X121*X122)+X123</f>
        <v>0</v>
      </c>
      <c r="Y124" s="264" t="n">
        <f aca="false">(Y121*Y122)+Y123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35140.6275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35973.9575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7304.7915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44468.749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44468.749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1000</v>
      </c>
      <c r="I148" s="288" t="n">
        <f aca="false">(H148-G81)/1.2</f>
        <v>833.333333333333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-14056.251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45468.749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1176.45336508409</v>
      </c>
      <c r="B167" s="286" t="str">
        <f aca="false">B94</f>
        <v>0</v>
      </c>
      <c r="C167" s="439"/>
      <c r="D167" s="439"/>
      <c r="E167" s="286" t="n">
        <f aca="false">B96</f>
        <v>1176.45336508409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0</v>
      </c>
      <c r="L167" s="439"/>
      <c r="M167" s="439"/>
      <c r="N167" s="286" t="n">
        <f aca="false">K96</f>
        <v>1477.31306457009</v>
      </c>
      <c r="O167" s="308"/>
      <c r="P167" s="308"/>
      <c r="Q167" s="11"/>
      <c r="S167" s="393" t="n">
        <f aca="false">T95</f>
        <v>927.687248290581</v>
      </c>
      <c r="T167" s="286" t="n">
        <f aca="false">T94</f>
        <v>0</v>
      </c>
      <c r="U167" s="439"/>
      <c r="V167" s="439"/>
      <c r="W167" s="286" t="n">
        <f aca="false">T96</f>
        <v>927.687248290581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0</v>
      </c>
      <c r="AD167" s="439"/>
      <c r="AE167" s="439"/>
      <c r="AF167" s="286" t="n">
        <f aca="false">AC96</f>
        <v>927.687248290581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K29</f>
        <v>36</v>
      </c>
      <c r="B170" s="126" t="n">
        <f aca="false">K30</f>
        <v>10000</v>
      </c>
      <c r="C170" s="440"/>
      <c r="D170" s="308"/>
      <c r="E170" s="63" t="n">
        <f aca="false">IF(A111="YES", 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36523.9575</v>
      </c>
      <c r="T173" s="164" t="n">
        <f aca="false">Z137</f>
        <v>7304.7915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H147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44468.749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45468.749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11450.8677779432</v>
      </c>
      <c r="B182" s="164" t="str">
        <f aca="false">B114</f>
        <v>199.99</v>
      </c>
      <c r="C182" s="164"/>
      <c r="D182" s="308"/>
      <c r="E182" s="164" t="n">
        <f aca="false">E179+A182+B182+A185</f>
        <v>68885.8577779432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14500.3046901703</v>
      </c>
      <c r="T182" s="164" t="n">
        <f aca="false">T114</f>
        <v>199.99</v>
      </c>
      <c r="U182" s="164"/>
      <c r="V182" s="308"/>
      <c r="W182" s="164" t="n">
        <f aca="false">W179+S182+T182+S185</f>
        <v>60179.0436901703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A179+(B182*1.2)</f>
        <v>2239.988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0)*100</f>
        <v>0</v>
      </c>
      <c r="B188" s="164" t="n">
        <f aca="false">(G158*B67)/1.2</f>
        <v>476.875</v>
      </c>
      <c r="C188" s="402"/>
      <c r="D188" s="402"/>
      <c r="E188" s="164" t="n">
        <f aca="false">(E40*A108)*0.1</f>
        <v>0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0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378.906241666667</v>
      </c>
      <c r="U188" s="402"/>
      <c r="V188" s="402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576.865</v>
      </c>
      <c r="C191" s="402"/>
      <c r="D191" s="402"/>
      <c r="E191" s="164" t="n">
        <f aca="false">H148</f>
        <v>1000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3493.4275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1478.89624166667</v>
      </c>
      <c r="U191" s="402"/>
      <c r="V191" s="402"/>
      <c r="W191" s="164" t="n">
        <f aca="false">Z148</f>
        <v>-14056.251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1518.89624166667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K30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K29</f>
        <v>36</v>
      </c>
      <c r="B197" s="71" t="n">
        <f aca="false">B96</f>
        <v>1176.45336508409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1477.31306457009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927.687248290581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927.687248290581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  <row r="206" customFormat="false" ht="22.05" hidden="false" customHeight="false" outlineLevel="0" collapsed="false">
      <c r="A206" s="452" t="s">
        <v>218</v>
      </c>
      <c r="B206" s="452"/>
      <c r="C206" s="452"/>
      <c r="D206" s="452"/>
      <c r="E206" s="452"/>
      <c r="F206" s="452"/>
      <c r="G206" s="452"/>
      <c r="H206" s="45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53" t="s">
        <v>119</v>
      </c>
      <c r="B208" s="454" t="s">
        <v>42</v>
      </c>
      <c r="C208" s="454"/>
      <c r="D208" s="454"/>
      <c r="E208" s="454" t="s">
        <v>43</v>
      </c>
      <c r="F208" s="455"/>
      <c r="G208" s="421"/>
      <c r="H208" s="11"/>
    </row>
    <row r="209" customFormat="false" ht="17.35" hidden="false" customHeight="false" outlineLevel="0" collapsed="false">
      <c r="A209" s="391" t="s">
        <v>348</v>
      </c>
      <c r="B209" s="439" t="n">
        <f aca="false">A197</f>
        <v>36</v>
      </c>
      <c r="C209" s="439"/>
      <c r="D209" s="439"/>
      <c r="E209" s="439" t="n">
        <f aca="false">B196</f>
        <v>10000</v>
      </c>
      <c r="F209" s="45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53" t="s">
        <v>297</v>
      </c>
      <c r="B211" s="454" t="s">
        <v>298</v>
      </c>
      <c r="C211" s="454"/>
      <c r="D211" s="454"/>
      <c r="E211" s="45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1176.45336508409</v>
      </c>
      <c r="B212" s="286" t="str">
        <f aca="false">B167</f>
        <v>0</v>
      </c>
      <c r="C212" s="439"/>
      <c r="D212" s="439"/>
      <c r="E212" s="286" t="n">
        <f aca="false">E167</f>
        <v>1176.45336508409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421"/>
      <c r="E218" s="164" t="n">
        <f aca="false">E176</f>
        <v>1000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421"/>
      <c r="E221" s="164" t="n">
        <f aca="false">E179</f>
        <v>57225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n">
        <f aca="false">A182</f>
        <v>11450.8677779432</v>
      </c>
      <c r="B224" s="164" t="str">
        <f aca="false">B182</f>
        <v>199.99</v>
      </c>
      <c r="C224" s="164"/>
      <c r="D224" s="421"/>
      <c r="E224" s="164" t="n">
        <f aca="false">E182</f>
        <v>68885.8577779432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2239.988</v>
      </c>
      <c r="C227" s="164"/>
      <c r="D227" s="421"/>
      <c r="E227" s="164" t="n">
        <f aca="false">B59</f>
        <v>35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1176.45336508409</v>
      </c>
      <c r="B230" s="164" t="str">
        <f aca="false">B167</f>
        <v>0</v>
      </c>
      <c r="C230" s="441"/>
      <c r="D230" s="441"/>
      <c r="E230" s="164" t="n">
        <f aca="false">E167</f>
        <v>1176.45336508409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300</v>
      </c>
      <c r="B232" s="402" t="s">
        <v>349</v>
      </c>
      <c r="C232" s="402"/>
      <c r="D232" s="402"/>
      <c r="E232" s="402" t="s">
        <v>69</v>
      </c>
      <c r="F232" s="421"/>
      <c r="G232" s="421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402"/>
      <c r="D233" s="402"/>
      <c r="E233" s="164" t="n">
        <f aca="false">A188</f>
        <v>0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275</v>
      </c>
      <c r="B235" s="164"/>
      <c r="C235" s="402"/>
      <c r="D235" s="402"/>
      <c r="E235" s="164"/>
      <c r="F235" s="421"/>
      <c r="G235" s="421"/>
      <c r="H235" s="11"/>
    </row>
    <row r="236" customFormat="false" ht="17.35" hidden="false" customHeight="false" outlineLevel="0" collapsed="false">
      <c r="A236" s="141"/>
      <c r="B236" s="164"/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56" t="s">
        <v>350</v>
      </c>
      <c r="B238" s="456"/>
      <c r="C238" s="456"/>
      <c r="D238" s="456"/>
      <c r="E238" s="456"/>
      <c r="F238" s="456"/>
      <c r="G238" s="456"/>
      <c r="H238" s="456"/>
    </row>
    <row r="239" customFormat="false" ht="17.35" hidden="false" customHeight="false" outlineLevel="0" collapsed="false">
      <c r="A239" s="293" t="s">
        <v>351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B68/1.2</f>
        <v>476.875</v>
      </c>
      <c r="C240" s="402"/>
      <c r="D240" s="402"/>
      <c r="E240" s="164" t="n">
        <f aca="false">E188</f>
        <v>0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1576.865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7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J111 S111 AB111" type="list">
      <formula1>#ref!</formula1>
      <formula2>0</formula2>
    </dataValidation>
    <dataValidation allowBlank="true" errorStyle="stop" operator="between" showDropDown="false" showErrorMessage="true" showInputMessage="true" sqref="B26 E105 A111" type="list">
      <formula1>HirePurchaseNonRegulated!$K$9:$K$10</formula1>
      <formula2>0</formula2>
    </dataValidation>
    <dataValidation allowBlank="true" errorStyle="stop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45"/>
  <sheetViews>
    <sheetView showFormulas="false" showGridLines="true" showRowColHeaders="true" showZeros="true" rightToLeft="false" tabSelected="false" showOutlineSymbols="true" defaultGridColor="true" view="normal" topLeftCell="A168" colorId="64" zoomScale="75" zoomScaleNormal="75" zoomScalePageLayoutView="100" workbookViewId="0">
      <selection pane="topLeft" activeCell="A191" activeCellId="0" sqref="A191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28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49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922.920864561026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f aca="false">6.5/100</f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str">
        <f aca="false">IF(B26="YES", K42, "0.00")</f>
        <v>0.00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44866.9008605665</v>
      </c>
      <c r="N39" s="288" t="n">
        <f aca="false">K39-L39</f>
        <v>4010.59913943349</v>
      </c>
      <c r="P39" s="404"/>
    </row>
    <row r="40" customFormat="false" ht="17.35" hidden="false" customHeight="false" outlineLevel="0" collapsed="false">
      <c r="A40" s="113" t="n">
        <f aca="false">E36*A45/100</f>
        <v>27500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4010.59913943349</v>
      </c>
      <c r="N40" s="288" t="n">
        <f aca="false">N38-N39</f>
        <v>-1098.91913943349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0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344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57" t="s">
        <v>236</v>
      </c>
      <c r="B45" s="402"/>
      <c r="C45" s="458" t="s">
        <v>236</v>
      </c>
      <c r="D45" s="458"/>
      <c r="E45" s="458"/>
      <c r="F45" s="402"/>
      <c r="G45" s="402"/>
      <c r="H45" s="11"/>
      <c r="J45" s="53" t="s">
        <v>345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346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800</v>
      </c>
      <c r="M47" s="288" t="n">
        <f aca="false">K47-L47</f>
        <v>122.920864561025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922.920864561026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922.920864561026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57225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57225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57225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14243.0544834899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16061.8583918841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B66+(B66*0.25*(B29/12-1))</f>
        <v>0.00375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B61*B67</f>
        <v>214.59375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4291.875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572.25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B77/H29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922.920864561026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922.920864561026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IF(A111 = "YES", A40, 0)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0.137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18274.642159497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28.719487222345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38950.357840503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1356.23444593391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47468.2056076868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47468.2056076868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str">
        <f aca="false">IF(B26="YES",((E40/B85)*(1+A108)*1.2),"0")</f>
        <v>0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0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0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0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1356.23444593391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1356.23444593391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1477.31306457009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1408.20027188803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927.687248290581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271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352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f aca="false">D122</f>
        <v>0</v>
      </c>
      <c r="F122" s="433" t="n">
        <f aca="false">F4</f>
        <v>0</v>
      </c>
      <c r="G122" s="434" t="n">
        <f aca="false">F122</f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f aca="false">D123</f>
        <v>0</v>
      </c>
      <c r="F123" s="435" t="n">
        <f aca="false">F5</f>
        <v>0</v>
      </c>
      <c r="G123" s="432" t="n">
        <f aca="false">F123</f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1000</v>
      </c>
      <c r="I148" s="288" t="n">
        <f aca="false">(H148-G81)/1.2</f>
        <v>833.333333333333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239.99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1356.23444593391</v>
      </c>
      <c r="B167" s="286" t="str">
        <f aca="false">B94</f>
        <v>0</v>
      </c>
      <c r="C167" s="439"/>
      <c r="D167" s="439"/>
      <c r="E167" s="286" t="n">
        <f aca="false">B96</f>
        <v>1356.23444593391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0</v>
      </c>
      <c r="L167" s="439"/>
      <c r="M167" s="439"/>
      <c r="N167" s="286" t="n">
        <f aca="false">K96</f>
        <v>1477.31306457009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0</v>
      </c>
      <c r="U167" s="439"/>
      <c r="V167" s="439"/>
      <c r="W167" s="286" t="n">
        <f aca="false">T96</f>
        <v>1408.20027188803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0</v>
      </c>
      <c r="AD167" s="439"/>
      <c r="AE167" s="439"/>
      <c r="AF167" s="286" t="n">
        <f aca="false">AC96</f>
        <v>927.687248290581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K29</f>
        <v>36</v>
      </c>
      <c r="B170" s="126" t="n">
        <f aca="false">K30</f>
        <v>10000</v>
      </c>
      <c r="C170" s="440"/>
      <c r="D170" s="308"/>
      <c r="E170" s="63" t="n">
        <f aca="false">IF(A111="YES", 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H147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17743.2056076868</v>
      </c>
      <c r="B182" s="164" t="str">
        <f aca="false">B114</f>
        <v>239.99</v>
      </c>
      <c r="C182" s="164"/>
      <c r="D182" s="308"/>
      <c r="E182" s="164" t="n">
        <f aca="false">E179+A182+B182+A185</f>
        <v>75218.1956076868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308"/>
      <c r="W182" s="164" t="n">
        <f aca="false">W179+S182+T182+S185</f>
        <v>76996.9995160811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A179+(B182)</f>
        <v>2239.99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0)*100</f>
        <v>0</v>
      </c>
      <c r="B188" s="164" t="n">
        <f aca="false">(G158*B67)</f>
        <v>214.59375</v>
      </c>
      <c r="C188" s="402"/>
      <c r="D188" s="402"/>
      <c r="E188" s="164" t="n">
        <f aca="false">(E40*A108)*0.1</f>
        <v>0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0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B182/1.2-100</f>
        <v>99.9916666666667</v>
      </c>
      <c r="B191" s="164" t="n">
        <f aca="false">B188+E188+A191</f>
        <v>314.585416666667</v>
      </c>
      <c r="C191" s="402"/>
      <c r="D191" s="402"/>
      <c r="E191" s="164" t="n">
        <f aca="false">H148</f>
        <v>1000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3493.4275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1594.86031241667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1518.89624166667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K30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K29</f>
        <v>36</v>
      </c>
      <c r="B197" s="71" t="n">
        <f aca="false">B96</f>
        <v>1356.23444593391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1477.31306457009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1408.20027188803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927.687248290581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  <row r="206" customFormat="false" ht="22.05" hidden="false" customHeight="false" outlineLevel="0" collapsed="false">
      <c r="A206" s="452" t="s">
        <v>218</v>
      </c>
      <c r="B206" s="452"/>
      <c r="C206" s="452"/>
      <c r="D206" s="452"/>
      <c r="E206" s="452"/>
      <c r="F206" s="452"/>
      <c r="G206" s="452"/>
      <c r="H206" s="45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53" t="s">
        <v>119</v>
      </c>
      <c r="B208" s="454" t="s">
        <v>42</v>
      </c>
      <c r="C208" s="454"/>
      <c r="D208" s="454"/>
      <c r="E208" s="454" t="s">
        <v>43</v>
      </c>
      <c r="F208" s="455"/>
      <c r="G208" s="421"/>
      <c r="H208" s="11"/>
    </row>
    <row r="209" customFormat="false" ht="17.35" hidden="false" customHeight="false" outlineLevel="0" collapsed="false">
      <c r="A209" s="391" t="s">
        <v>348</v>
      </c>
      <c r="B209" s="439" t="n">
        <f aca="false">A197</f>
        <v>36</v>
      </c>
      <c r="C209" s="439"/>
      <c r="D209" s="439"/>
      <c r="E209" s="439" t="n">
        <f aca="false">B196</f>
        <v>10000</v>
      </c>
      <c r="F209" s="45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53" t="s">
        <v>297</v>
      </c>
      <c r="B211" s="454" t="s">
        <v>298</v>
      </c>
      <c r="C211" s="454"/>
      <c r="D211" s="454"/>
      <c r="E211" s="45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1356.23444593391</v>
      </c>
      <c r="B212" s="286" t="str">
        <f aca="false">B167</f>
        <v>0</v>
      </c>
      <c r="C212" s="439"/>
      <c r="D212" s="439"/>
      <c r="E212" s="286" t="n">
        <f aca="false">E167</f>
        <v>1356.23444593391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421"/>
      <c r="E218" s="164" t="n">
        <f aca="false">E176</f>
        <v>1000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421"/>
      <c r="E221" s="164" t="n">
        <f aca="false">E179</f>
        <v>57225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n">
        <f aca="false">A182</f>
        <v>17743.2056076868</v>
      </c>
      <c r="B224" s="164" t="str">
        <f aca="false">B182</f>
        <v>239.99</v>
      </c>
      <c r="C224" s="164"/>
      <c r="D224" s="421"/>
      <c r="E224" s="164" t="n">
        <f aca="false">E182</f>
        <v>75218.1956076868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2239.99</v>
      </c>
      <c r="C227" s="164"/>
      <c r="D227" s="421"/>
      <c r="E227" s="164" t="n">
        <f aca="false">B59</f>
        <v>35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1356.23444593391</v>
      </c>
      <c r="B230" s="164" t="str">
        <f aca="false">B167</f>
        <v>0</v>
      </c>
      <c r="C230" s="441"/>
      <c r="D230" s="441"/>
      <c r="E230" s="164" t="n">
        <f aca="false">E167</f>
        <v>1356.23444593391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300</v>
      </c>
      <c r="B232" s="402" t="s">
        <v>349</v>
      </c>
      <c r="C232" s="402"/>
      <c r="D232" s="402"/>
      <c r="E232" s="402" t="s">
        <v>69</v>
      </c>
      <c r="F232" s="421"/>
      <c r="G232" s="421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402"/>
      <c r="D233" s="402"/>
      <c r="E233" s="164" t="n">
        <f aca="false">A188</f>
        <v>0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275</v>
      </c>
      <c r="B235" s="164"/>
      <c r="C235" s="402"/>
      <c r="D235" s="402"/>
      <c r="E235" s="164"/>
      <c r="F235" s="421"/>
      <c r="G235" s="421"/>
      <c r="H235" s="11"/>
    </row>
    <row r="236" customFormat="false" ht="17.35" hidden="false" customHeight="false" outlineLevel="0" collapsed="false">
      <c r="A236" s="141"/>
      <c r="B236" s="164"/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56" t="s">
        <v>350</v>
      </c>
      <c r="B238" s="456"/>
      <c r="C238" s="456"/>
      <c r="D238" s="456"/>
      <c r="E238" s="456"/>
      <c r="F238" s="456"/>
      <c r="G238" s="456"/>
      <c r="H238" s="456"/>
    </row>
    <row r="239" customFormat="false" ht="17.35" hidden="false" customHeight="false" outlineLevel="0" collapsed="false">
      <c r="A239" s="293" t="s">
        <v>351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214.59375</v>
      </c>
      <c r="C240" s="402"/>
      <c r="D240" s="402"/>
      <c r="E240" s="164" t="n">
        <f aca="false">E188</f>
        <v>0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99.9916666666667</v>
      </c>
      <c r="B243" s="164" t="n">
        <f aca="false">B240+E240+A243+A240</f>
        <v>1314.58541666667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</sheetData>
  <mergeCells count="27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45"/>
  <sheetViews>
    <sheetView showFormulas="false" showGridLines="true" showRowColHeaders="true" showZeros="true" rightToLeft="false" tabSelected="false" showOutlineSymbols="true" defaultGridColor="true" view="normal" topLeftCell="A190" colorId="64" zoomScale="75" zoomScaleNormal="75" zoomScalePageLayoutView="100" workbookViewId="0">
      <selection pane="topLeft" activeCell="A192" activeCellId="0" sqref="A192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550</v>
      </c>
      <c r="F10" s="301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555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28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49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922.920864561026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f aca="false">6.5/100</f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str">
        <f aca="false">IF(B26="YES", K42, "0.00")</f>
        <v>0.00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44866.9008605665</v>
      </c>
      <c r="N39" s="288" t="n">
        <f aca="false">K39-L39</f>
        <v>4010.59913943349</v>
      </c>
      <c r="P39" s="404"/>
    </row>
    <row r="40" customFormat="false" ht="17.35" hidden="false" customHeight="false" outlineLevel="0" collapsed="false">
      <c r="A40" s="112" t="n">
        <f aca="false">E36*A45/100</f>
        <v>27500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4010.59913943349</v>
      </c>
      <c r="N40" s="288" t="n">
        <f aca="false">N38-N39</f>
        <v>-1098.91913943349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0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344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59" t="s">
        <v>236</v>
      </c>
      <c r="B45" s="402"/>
      <c r="C45" s="458" t="s">
        <v>236</v>
      </c>
      <c r="D45" s="458"/>
      <c r="E45" s="458"/>
      <c r="F45" s="402"/>
      <c r="G45" s="402"/>
      <c r="H45" s="11"/>
      <c r="J45" s="53" t="s">
        <v>345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346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800</v>
      </c>
      <c r="M47" s="288" t="n">
        <f aca="false">K47-L47</f>
        <v>122.920864561025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922.920864561026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922.920864561026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57225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57225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57225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14243.0544834899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16061.8583918841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B66+(B66*0.25*(B29/12-1))</f>
        <v>0.00375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B61*B67</f>
        <v>214.59375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4291.875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572.25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B77/K29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922.920864561026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922.920864561026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A40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0.137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18274.642159497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28.719487222345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38950.357840503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1356.23444593391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47468.2056076868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47468.2056076868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str">
        <f aca="false">IF(B26="YES",((E40/B85)*(1+A108)*1.2),"0")</f>
        <v>0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0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0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0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1356.23444593391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1356.23444593391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1477.31306457009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1408.20027188803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927.687248290581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273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352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f aca="false">D122</f>
        <v>0</v>
      </c>
      <c r="F122" s="433" t="n">
        <f aca="false">F4</f>
        <v>0</v>
      </c>
      <c r="G122" s="434" t="n">
        <f aca="false">F122</f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f aca="false">D123</f>
        <v>0</v>
      </c>
      <c r="F123" s="435" t="n">
        <f aca="false">F5</f>
        <v>0</v>
      </c>
      <c r="G123" s="432" t="n">
        <f aca="false">F123</f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1000</v>
      </c>
      <c r="I148" s="288" t="n">
        <f aca="false">(H148-G81)/1.2</f>
        <v>833.333333333333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239.99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1356.23444593391</v>
      </c>
      <c r="B167" s="286" t="str">
        <f aca="false">B94</f>
        <v>0</v>
      </c>
      <c r="C167" s="439"/>
      <c r="D167" s="439"/>
      <c r="E167" s="286" t="n">
        <f aca="false">B96</f>
        <v>1356.23444593391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0</v>
      </c>
      <c r="L167" s="439"/>
      <c r="M167" s="439"/>
      <c r="N167" s="286" t="n">
        <f aca="false">K96</f>
        <v>1477.31306457009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0</v>
      </c>
      <c r="U167" s="439"/>
      <c r="V167" s="439"/>
      <c r="W167" s="286" t="n">
        <f aca="false">T96</f>
        <v>1408.20027188803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0</v>
      </c>
      <c r="AD167" s="439"/>
      <c r="AE167" s="439"/>
      <c r="AF167" s="286" t="n">
        <f aca="false">AC96</f>
        <v>927.687248290581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B29</f>
        <v>0</v>
      </c>
      <c r="B170" s="396" t="str">
        <f aca="false">B30</f>
        <v>0</v>
      </c>
      <c r="C170" s="440"/>
      <c r="D170" s="308"/>
      <c r="E170" s="63" t="n">
        <f aca="false">IF(A111="YES",A40,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H141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17743.2056076868</v>
      </c>
      <c r="B182" s="164" t="str">
        <f aca="false">B114</f>
        <v>239.99</v>
      </c>
      <c r="C182" s="164"/>
      <c r="D182" s="308"/>
      <c r="E182" s="164" t="n">
        <f aca="false">E179+A182+B182+A185</f>
        <v>75218.1956076868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308"/>
      <c r="W182" s="164" t="n">
        <f aca="false">W179+S182+T182+S185</f>
        <v>76996.9995160811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2239.99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(G158*B67)/1.2</f>
        <v>178.828125</v>
      </c>
      <c r="C188" s="402"/>
      <c r="D188" s="402"/>
      <c r="E188" s="164" t="n">
        <f aca="false">(E40*A108)*0.1</f>
        <v>0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0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139.99</v>
      </c>
      <c r="B191" s="164" t="n">
        <f aca="false">B188+E188+A191</f>
        <v>318.818125</v>
      </c>
      <c r="C191" s="402"/>
      <c r="D191" s="402"/>
      <c r="E191" s="164" t="n">
        <f aca="false">H148</f>
        <v>1000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3493.4275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1594.86031241667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1518.89624166667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H30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H29</f>
        <v>36</v>
      </c>
      <c r="B197" s="71" t="n">
        <f aca="false">B96</f>
        <v>1356.23444593391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1477.31306457009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1408.20027188803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927.687248290581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  <row r="206" customFormat="false" ht="22.05" hidden="false" customHeight="false" outlineLevel="0" collapsed="false">
      <c r="A206" s="452" t="s">
        <v>218</v>
      </c>
      <c r="B206" s="452"/>
      <c r="C206" s="452"/>
      <c r="D206" s="452"/>
      <c r="E206" s="452"/>
      <c r="F206" s="452"/>
      <c r="G206" s="452"/>
      <c r="H206" s="45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53" t="s">
        <v>119</v>
      </c>
      <c r="B208" s="454" t="s">
        <v>42</v>
      </c>
      <c r="C208" s="454"/>
      <c r="D208" s="454"/>
      <c r="E208" s="454" t="s">
        <v>43</v>
      </c>
      <c r="F208" s="455"/>
      <c r="G208" s="421"/>
      <c r="H208" s="11"/>
    </row>
    <row r="209" customFormat="false" ht="17.35" hidden="false" customHeight="false" outlineLevel="0" collapsed="false">
      <c r="A209" s="460" t="s">
        <v>353</v>
      </c>
      <c r="B209" s="439" t="n">
        <f aca="false">A197</f>
        <v>36</v>
      </c>
      <c r="C209" s="439"/>
      <c r="D209" s="439"/>
      <c r="E209" s="439" t="n">
        <f aca="false">B196</f>
        <v>10000</v>
      </c>
      <c r="F209" s="45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53" t="s">
        <v>297</v>
      </c>
      <c r="B211" s="454" t="s">
        <v>298</v>
      </c>
      <c r="C211" s="454"/>
      <c r="D211" s="454"/>
      <c r="E211" s="45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1356.23444593391</v>
      </c>
      <c r="B212" s="286" t="str">
        <f aca="false">B167</f>
        <v>0</v>
      </c>
      <c r="C212" s="439"/>
      <c r="D212" s="439"/>
      <c r="E212" s="286" t="n">
        <f aca="false">E167</f>
        <v>1356.23444593391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421"/>
      <c r="E218" s="164" t="n">
        <f aca="false">E176</f>
        <v>1000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421"/>
      <c r="E221" s="164" t="n">
        <f aca="false">E179</f>
        <v>57225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n">
        <f aca="false">A182</f>
        <v>17743.2056076868</v>
      </c>
      <c r="B224" s="164" t="str">
        <f aca="false">B182</f>
        <v>239.99</v>
      </c>
      <c r="C224" s="164"/>
      <c r="D224" s="421"/>
      <c r="E224" s="164" t="n">
        <f aca="false">E182</f>
        <v>75218.1956076868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2239.99</v>
      </c>
      <c r="C227" s="164"/>
      <c r="D227" s="421"/>
      <c r="E227" s="164" t="n">
        <f aca="false">B59</f>
        <v>35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1356.23444593391</v>
      </c>
      <c r="B230" s="164" t="str">
        <f aca="false">B167</f>
        <v>0</v>
      </c>
      <c r="C230" s="441"/>
      <c r="D230" s="441"/>
      <c r="E230" s="164" t="n">
        <f aca="false">E167</f>
        <v>1356.23444593391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354</v>
      </c>
      <c r="B232" s="402" t="s">
        <v>349</v>
      </c>
      <c r="C232" s="402"/>
      <c r="D232" s="402"/>
      <c r="E232" s="402" t="s">
        <v>68</v>
      </c>
      <c r="F232" s="421"/>
      <c r="G232" s="421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402"/>
      <c r="D233" s="402"/>
      <c r="E233" s="164" t="n">
        <f aca="false">IF(E105="YES", #REF!*0.000006, 0)*100</f>
        <v>0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69</v>
      </c>
      <c r="B235" s="165" t="s">
        <v>178</v>
      </c>
      <c r="C235" s="402"/>
      <c r="D235" s="402"/>
      <c r="E235" s="165" t="s">
        <v>275</v>
      </c>
      <c r="F235" s="421"/>
      <c r="G235" s="421"/>
      <c r="H235" s="11"/>
    </row>
    <row r="236" customFormat="false" ht="17.35" hidden="false" customHeight="false" outlineLevel="0" collapsed="false">
      <c r="A236" s="141" t="n">
        <f aca="false">IF(E105="YES", #REF!*0.000002, 0)*100</f>
        <v>0</v>
      </c>
      <c r="B236" s="164" t="n">
        <f aca="false">E233+A236</f>
        <v>0</v>
      </c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56" t="s">
        <v>350</v>
      </c>
      <c r="B238" s="456"/>
      <c r="C238" s="456"/>
      <c r="D238" s="456"/>
      <c r="E238" s="456"/>
      <c r="F238" s="456"/>
      <c r="G238" s="456"/>
      <c r="H238" s="456"/>
    </row>
    <row r="239" customFormat="false" ht="17.35" hidden="false" customHeight="false" outlineLevel="0" collapsed="false">
      <c r="A239" s="293" t="s">
        <v>351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214.59375</v>
      </c>
      <c r="C240" s="402"/>
      <c r="D240" s="402"/>
      <c r="E240" s="164" t="n">
        <f aca="false">E188</f>
        <v>0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139.99</v>
      </c>
      <c r="B243" s="164" t="n">
        <f aca="false">B240+E240+A243+A240</f>
        <v>1354.58375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</sheetData>
  <mergeCells count="27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45"/>
  <sheetViews>
    <sheetView showFormulas="false" showGridLines="true" showRowColHeaders="true" showZeros="true" rightToLeft="false" tabSelected="true" showOutlineSymbols="true" defaultGridColor="true" view="normal" topLeftCell="A187" colorId="64" zoomScale="75" zoomScaleNormal="75" zoomScalePageLayoutView="100" workbookViewId="0">
      <selection pane="topLeft" activeCell="B186" activeCellId="0" sqref="B186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  <c r="L8" s="15" t="s">
        <v>10</v>
      </c>
      <c r="M8" s="16" t="n">
        <f aca="false">H13+H14</f>
        <v>640</v>
      </c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  <c r="L9" s="16"/>
      <c r="M9" s="16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  <c r="L10" s="20" t="s">
        <v>13</v>
      </c>
      <c r="M10" s="16" t="n">
        <f aca="false">H15-H11-M8</f>
        <v>48237.5</v>
      </c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  <c r="L11" s="16"/>
      <c r="M11" s="16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27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49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1030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951.531975672137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f aca="false">6.5/100</f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n">
        <f aca="false">IF(B26="YES", K42, "0.00")</f>
        <v>28.6111111111111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43933.392151445</v>
      </c>
      <c r="N39" s="288" t="n">
        <f aca="false">K39-L39</f>
        <v>4944.10784855496</v>
      </c>
      <c r="P39" s="404"/>
    </row>
    <row r="40" customFormat="false" ht="17.35" hidden="false" customHeight="false" outlineLevel="0" collapsed="false">
      <c r="A40" s="112" t="n">
        <f aca="false">E36*A45/100</f>
        <v>27500</v>
      </c>
      <c r="B40" s="113" t="n">
        <f aca="false">IF(B26="YES", K42, "0.00")</f>
        <v>28.6111111111111</v>
      </c>
      <c r="C40" s="113"/>
      <c r="D40" s="113"/>
      <c r="E40" s="63" t="n">
        <f aca="false">K32</f>
        <v>1030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4944.10784855496</v>
      </c>
      <c r="N40" s="288" t="n">
        <f aca="false">N38-N39</f>
        <v>-2032.42784855496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28.6111111111111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344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59" t="s">
        <v>236</v>
      </c>
      <c r="B45" s="402"/>
      <c r="C45" s="458" t="s">
        <v>236</v>
      </c>
      <c r="D45" s="458"/>
      <c r="E45" s="458"/>
      <c r="F45" s="402"/>
      <c r="G45" s="402"/>
      <c r="H45" s="11"/>
      <c r="J45" s="53" t="s">
        <v>345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346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771.388888888889</v>
      </c>
      <c r="M47" s="288" t="n">
        <f aca="false">K47-L47</f>
        <v>151.531975672137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951.531975672137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951.531975672137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57225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57225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57225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0.024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7950.71665374631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16061.8583918841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B66+(B66*0.25*(B29/12-1))</f>
        <v>0.00375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B61*B67</f>
        <v>214.59375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4291.875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572.25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B77/H29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951.531975672137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951.531975672137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A40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0.089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0.00741666666666667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21076.7652577131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30.7264493562845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36148.2347422869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1176.45336508409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41175.8677779432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41175.8677779432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n">
        <f aca="false">IF(B26="YES",((E40/B85)*(1+A108)),"0")</f>
        <v>35.3142857142857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44.6333333333333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35.3142857142857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42.3771428571428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1176.45336508409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1211.76765079838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1521.94639790342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1443.51455760232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970.064391147723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27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347</v>
      </c>
      <c r="C108" s="113"/>
      <c r="D108" s="113"/>
      <c r="E108" s="354" t="n">
        <f aca="false">B83</f>
        <v>0.089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f aca="false">D122</f>
        <v>0</v>
      </c>
      <c r="F122" s="433" t="n">
        <f aca="false">F4</f>
        <v>0</v>
      </c>
      <c r="G122" s="434" t="n">
        <f aca="false">F122</f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f aca="false">D123</f>
        <v>0</v>
      </c>
      <c r="F123" s="435" t="n">
        <f aca="false">F5</f>
        <v>0</v>
      </c>
      <c r="G123" s="432" t="n">
        <f aca="false">F123</f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1000</v>
      </c>
      <c r="I148" s="288" t="n">
        <f aca="false">(H148-G81)/1.2</f>
        <v>833.333333333333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1176.45336508409</v>
      </c>
      <c r="B167" s="286" t="n">
        <f aca="false">B94</f>
        <v>35.3142857142857</v>
      </c>
      <c r="C167" s="439"/>
      <c r="D167" s="439"/>
      <c r="E167" s="286" t="n">
        <f aca="false">B96</f>
        <v>1211.76765079838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44.6333333333333</v>
      </c>
      <c r="L167" s="439"/>
      <c r="M167" s="439"/>
      <c r="N167" s="286" t="n">
        <f aca="false">K96</f>
        <v>1521.94639790342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35.3142857142857</v>
      </c>
      <c r="U167" s="439"/>
      <c r="V167" s="439"/>
      <c r="W167" s="286" t="n">
        <f aca="false">T96</f>
        <v>1443.51455760232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42.3771428571428</v>
      </c>
      <c r="AD167" s="439"/>
      <c r="AE167" s="439"/>
      <c r="AF167" s="286" t="n">
        <f aca="false">AC96</f>
        <v>970.064391147723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B29</f>
        <v>0</v>
      </c>
      <c r="B170" s="396" t="str">
        <f aca="false">B30</f>
        <v>0</v>
      </c>
      <c r="C170" s="440"/>
      <c r="D170" s="308"/>
      <c r="E170" s="63" t="n">
        <f aca="false">IF(A111="YES",A40,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H141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11450.8677779432</v>
      </c>
      <c r="B182" s="164" t="str">
        <f aca="false">B114</f>
        <v>199.99</v>
      </c>
      <c r="C182" s="164"/>
      <c r="D182" s="308"/>
      <c r="E182" s="164" t="n">
        <f aca="false">E179+A182+B182+A185</f>
        <v>68885.8577779432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308"/>
      <c r="W182" s="164" t="n">
        <f aca="false">W179+S182+T182+S185</f>
        <v>76996.9995160811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A179+B182*1.2</f>
        <v>2239.988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0)*100</f>
        <v>11.705</v>
      </c>
      <c r="B188" s="164" t="n">
        <f aca="false">(G158*B67)/1.2</f>
        <v>178.828125</v>
      </c>
      <c r="C188" s="402"/>
      <c r="D188" s="402"/>
      <c r="E188" s="164" t="n">
        <f aca="false">(E40*A108)*0.1</f>
        <v>20.6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30.9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20.6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B182-100</f>
        <v>99.99</v>
      </c>
      <c r="B191" s="164" t="n">
        <f aca="false">B188+E188+A191</f>
        <v>299.418125</v>
      </c>
      <c r="C191" s="402"/>
      <c r="D191" s="402"/>
      <c r="E191" s="164" t="n">
        <f aca="false">H148</f>
        <v>1000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3524.3275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1615.46031241667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1539.49624166667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H30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H29</f>
        <v>36</v>
      </c>
      <c r="B197" s="71" t="n">
        <f aca="false">B96</f>
        <v>1211.76765079838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1521.94639790342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1443.51455760232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970.064391147723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  <row r="206" customFormat="false" ht="22.05" hidden="false" customHeight="false" outlineLevel="0" collapsed="false">
      <c r="A206" s="452" t="s">
        <v>218</v>
      </c>
      <c r="B206" s="452"/>
      <c r="C206" s="452"/>
      <c r="D206" s="452"/>
      <c r="E206" s="452"/>
      <c r="F206" s="452"/>
      <c r="G206" s="452"/>
      <c r="H206" s="452"/>
    </row>
    <row r="207" customFormat="false" ht="17.35" hidden="false" customHeight="false" outlineLevel="0" collapsed="false">
      <c r="A207" s="293"/>
      <c r="B207" s="402"/>
      <c r="C207" s="402"/>
      <c r="D207" s="402"/>
      <c r="E207" s="421"/>
      <c r="F207" s="421"/>
      <c r="G207" s="421"/>
      <c r="H207" s="11"/>
    </row>
    <row r="208" customFormat="false" ht="17.35" hidden="false" customHeight="false" outlineLevel="0" collapsed="false">
      <c r="A208" s="453" t="s">
        <v>119</v>
      </c>
      <c r="B208" s="454" t="s">
        <v>42</v>
      </c>
      <c r="C208" s="454"/>
      <c r="D208" s="454"/>
      <c r="E208" s="454" t="s">
        <v>43</v>
      </c>
      <c r="F208" s="455"/>
      <c r="G208" s="421"/>
      <c r="H208" s="11"/>
    </row>
    <row r="209" customFormat="false" ht="17.35" hidden="false" customHeight="false" outlineLevel="0" collapsed="false">
      <c r="A209" s="460" t="s">
        <v>353</v>
      </c>
      <c r="B209" s="439" t="n">
        <f aca="false">A197</f>
        <v>36</v>
      </c>
      <c r="C209" s="439"/>
      <c r="D209" s="439"/>
      <c r="E209" s="439" t="n">
        <f aca="false">B196</f>
        <v>10000</v>
      </c>
      <c r="F209" s="455"/>
      <c r="G209" s="421"/>
      <c r="H209" s="11"/>
    </row>
    <row r="210" customFormat="false" ht="17.35" hidden="false" customHeight="false" outlineLevel="0" collapsed="false">
      <c r="A210" s="293"/>
      <c r="B210" s="402"/>
      <c r="C210" s="402"/>
      <c r="D210" s="402"/>
      <c r="E210" s="421"/>
      <c r="F210" s="421"/>
      <c r="G210" s="421"/>
      <c r="H210" s="11"/>
    </row>
    <row r="211" customFormat="false" ht="17.35" hidden="false" customHeight="false" outlineLevel="0" collapsed="false">
      <c r="A211" s="453" t="s">
        <v>297</v>
      </c>
      <c r="B211" s="454" t="s">
        <v>298</v>
      </c>
      <c r="C211" s="454"/>
      <c r="D211" s="454"/>
      <c r="E211" s="454" t="s">
        <v>299</v>
      </c>
      <c r="F211" s="421"/>
      <c r="G211" s="421"/>
      <c r="H211" s="11"/>
    </row>
    <row r="212" customFormat="false" ht="17.35" hidden="false" customHeight="false" outlineLevel="0" collapsed="false">
      <c r="A212" s="393" t="n">
        <f aca="false">A167</f>
        <v>1176.45336508409</v>
      </c>
      <c r="B212" s="286" t="n">
        <f aca="false">B167</f>
        <v>35.3142857142857</v>
      </c>
      <c r="C212" s="439"/>
      <c r="D212" s="439"/>
      <c r="E212" s="286" t="n">
        <f aca="false">E167</f>
        <v>1211.76765079838</v>
      </c>
      <c r="F212" s="421"/>
      <c r="G212" s="421"/>
      <c r="H212" s="11"/>
    </row>
    <row r="213" customFormat="false" ht="17.35" hidden="false" customHeight="false" outlineLevel="0" collapsed="false">
      <c r="A213" s="293"/>
      <c r="B213" s="402"/>
      <c r="C213" s="402"/>
      <c r="D213" s="402"/>
      <c r="E213" s="421"/>
      <c r="F213" s="421"/>
      <c r="G213" s="421"/>
      <c r="H213" s="11"/>
    </row>
    <row r="214" customFormat="false" ht="17.35" hidden="false" customHeight="false" outlineLevel="0" collapsed="false">
      <c r="A214" s="293" t="s">
        <v>301</v>
      </c>
      <c r="B214" s="402" t="s">
        <v>302</v>
      </c>
      <c r="C214" s="402"/>
      <c r="D214" s="421"/>
      <c r="E214" s="402" t="s">
        <v>303</v>
      </c>
      <c r="F214" s="421"/>
      <c r="G214" s="421"/>
      <c r="H214" s="11"/>
    </row>
    <row r="215" customFormat="false" ht="17.35" hidden="false" customHeight="false" outlineLevel="0" collapsed="false">
      <c r="A215" s="139" t="n">
        <f aca="false">A173</f>
        <v>49237.5</v>
      </c>
      <c r="B215" s="164" t="n">
        <f aca="false">B173</f>
        <v>9847.5</v>
      </c>
      <c r="C215" s="441"/>
      <c r="D215" s="421"/>
      <c r="E215" s="63" t="n">
        <f aca="false">E173</f>
        <v>640</v>
      </c>
      <c r="F215" s="421"/>
      <c r="G215" s="421"/>
      <c r="H215" s="11"/>
    </row>
    <row r="216" customFormat="false" ht="17.35" hidden="false" customHeight="false" outlineLevel="0" collapsed="false">
      <c r="A216" s="293"/>
      <c r="B216" s="402"/>
      <c r="C216" s="402"/>
      <c r="D216" s="421"/>
      <c r="E216" s="402"/>
      <c r="F216" s="421"/>
      <c r="G216" s="421"/>
      <c r="H216" s="11"/>
    </row>
    <row r="217" customFormat="false" ht="17.35" hidden="false" customHeight="false" outlineLevel="0" collapsed="false">
      <c r="A217" s="293" t="s">
        <v>304</v>
      </c>
      <c r="B217" s="402" t="s">
        <v>145</v>
      </c>
      <c r="C217" s="402"/>
      <c r="D217" s="421"/>
      <c r="E217" s="402" t="s">
        <v>281</v>
      </c>
      <c r="F217" s="421"/>
      <c r="G217" s="421"/>
      <c r="H217" s="11"/>
    </row>
    <row r="218" customFormat="false" ht="17.35" hidden="false" customHeight="false" outlineLevel="0" collapsed="false">
      <c r="A218" s="139" t="n">
        <f aca="false">A176</f>
        <v>59725</v>
      </c>
      <c r="B218" s="164" t="n">
        <f aca="false">B176</f>
        <v>1000</v>
      </c>
      <c r="C218" s="164"/>
      <c r="D218" s="421"/>
      <c r="E218" s="164" t="n">
        <f aca="false">E176</f>
        <v>1000</v>
      </c>
      <c r="F218" s="421"/>
      <c r="G218" s="421"/>
      <c r="H218" s="146"/>
    </row>
    <row r="219" customFormat="false" ht="17.35" hidden="false" customHeight="false" outlineLevel="0" collapsed="false">
      <c r="A219" s="293"/>
      <c r="B219" s="402"/>
      <c r="C219" s="402"/>
      <c r="D219" s="421"/>
      <c r="E219" s="402"/>
      <c r="F219" s="421"/>
      <c r="G219" s="421"/>
      <c r="H219" s="11"/>
    </row>
    <row r="220" customFormat="false" ht="17.35" hidden="false" customHeight="false" outlineLevel="0" collapsed="false">
      <c r="A220" s="293" t="s">
        <v>282</v>
      </c>
      <c r="B220" s="402" t="s">
        <v>141</v>
      </c>
      <c r="C220" s="402"/>
      <c r="D220" s="421"/>
      <c r="E220" s="402" t="s">
        <v>296</v>
      </c>
      <c r="F220" s="421"/>
      <c r="G220" s="421"/>
      <c r="H220" s="11"/>
    </row>
    <row r="221" customFormat="false" ht="17.35" hidden="false" customHeight="false" outlineLevel="0" collapsed="false">
      <c r="A221" s="141" t="n">
        <f aca="false">A179</f>
        <v>2000</v>
      </c>
      <c r="B221" s="164" t="n">
        <f aca="false">B179</f>
        <v>500</v>
      </c>
      <c r="C221" s="164"/>
      <c r="D221" s="421"/>
      <c r="E221" s="164" t="n">
        <f aca="false">E179</f>
        <v>57225</v>
      </c>
      <c r="F221" s="421"/>
      <c r="G221" s="421"/>
      <c r="H221" s="146"/>
    </row>
    <row r="222" customFormat="false" ht="17.35" hidden="false" customHeight="false" outlineLevel="0" collapsed="false">
      <c r="A222" s="293"/>
      <c r="B222" s="402"/>
      <c r="C222" s="402"/>
      <c r="D222" s="421"/>
      <c r="E222" s="402"/>
      <c r="F222" s="421"/>
      <c r="G222" s="421"/>
      <c r="H222" s="11"/>
    </row>
    <row r="223" customFormat="false" ht="17.35" hidden="false" customHeight="false" outlineLevel="0" collapsed="false">
      <c r="A223" s="293" t="s">
        <v>305</v>
      </c>
      <c r="B223" s="402" t="s">
        <v>54</v>
      </c>
      <c r="C223" s="402"/>
      <c r="D223" s="421"/>
      <c r="E223" s="402" t="s">
        <v>306</v>
      </c>
      <c r="F223" s="421"/>
      <c r="G223" s="421"/>
      <c r="H223" s="11"/>
    </row>
    <row r="224" customFormat="false" ht="17.35" hidden="false" customHeight="false" outlineLevel="0" collapsed="false">
      <c r="A224" s="141" t="n">
        <f aca="false">A182</f>
        <v>11450.8677779432</v>
      </c>
      <c r="B224" s="164" t="str">
        <f aca="false">B182</f>
        <v>199.99</v>
      </c>
      <c r="C224" s="164"/>
      <c r="D224" s="421"/>
      <c r="E224" s="164" t="n">
        <f aca="false">E182</f>
        <v>68885.8577779432</v>
      </c>
      <c r="F224" s="421"/>
      <c r="G224" s="421"/>
      <c r="H224" s="146"/>
    </row>
    <row r="225" customFormat="false" ht="17.35" hidden="false" customHeight="false" outlineLevel="0" collapsed="false">
      <c r="A225" s="293"/>
      <c r="B225" s="402"/>
      <c r="C225" s="402"/>
      <c r="D225" s="421"/>
      <c r="E225" s="402"/>
      <c r="F225" s="421"/>
      <c r="G225" s="421"/>
      <c r="H225" s="11"/>
    </row>
    <row r="226" customFormat="false" ht="17.35" hidden="false" customHeight="false" outlineLevel="0" collapsed="false">
      <c r="A226" s="293" t="s">
        <v>307</v>
      </c>
      <c r="B226" s="402" t="s">
        <v>308</v>
      </c>
      <c r="C226" s="402"/>
      <c r="D226" s="421"/>
      <c r="E226" s="402" t="s">
        <v>166</v>
      </c>
      <c r="F226" s="421"/>
      <c r="G226" s="421"/>
      <c r="H226" s="11"/>
    </row>
    <row r="227" customFormat="false" ht="17.35" hidden="false" customHeight="false" outlineLevel="0" collapsed="false">
      <c r="A227" s="141" t="n">
        <f aca="false">A185</f>
        <v>10</v>
      </c>
      <c r="B227" s="164" t="n">
        <f aca="false">B185</f>
        <v>2239.988</v>
      </c>
      <c r="C227" s="164"/>
      <c r="D227" s="421"/>
      <c r="E227" s="164" t="n">
        <f aca="false">B59</f>
        <v>35</v>
      </c>
      <c r="F227" s="421"/>
      <c r="G227" s="421"/>
      <c r="H227" s="146"/>
    </row>
    <row r="228" customFormat="false" ht="17.35" hidden="false" customHeight="false" outlineLevel="0" collapsed="false">
      <c r="A228" s="293"/>
      <c r="B228" s="402"/>
      <c r="C228" s="402"/>
      <c r="D228" s="402"/>
      <c r="E228" s="421"/>
      <c r="F228" s="421"/>
      <c r="G228" s="421"/>
      <c r="H228" s="11"/>
    </row>
    <row r="229" customFormat="false" ht="17.35" hidden="false" customHeight="false" outlineLevel="0" collapsed="false">
      <c r="A229" s="293" t="s">
        <v>297</v>
      </c>
      <c r="B229" s="402" t="s">
        <v>298</v>
      </c>
      <c r="C229" s="402"/>
      <c r="D229" s="402"/>
      <c r="E229" s="402" t="s">
        <v>299</v>
      </c>
      <c r="F229" s="421"/>
      <c r="G229" s="421"/>
      <c r="H229" s="11"/>
    </row>
    <row r="230" customFormat="false" ht="17.35" hidden="false" customHeight="false" outlineLevel="0" collapsed="false">
      <c r="A230" s="141" t="n">
        <f aca="false">A167</f>
        <v>1176.45336508409</v>
      </c>
      <c r="B230" s="164" t="n">
        <f aca="false">B167</f>
        <v>35.3142857142857</v>
      </c>
      <c r="C230" s="441"/>
      <c r="D230" s="441"/>
      <c r="E230" s="164" t="n">
        <f aca="false">E167</f>
        <v>1211.76765079838</v>
      </c>
      <c r="F230" s="421"/>
      <c r="G230" s="421"/>
      <c r="H230" s="11"/>
    </row>
    <row r="231" customFormat="false" ht="17.35" hidden="false" customHeight="false" outlineLevel="0" collapsed="false">
      <c r="A231" s="293"/>
      <c r="B231" s="402"/>
      <c r="C231" s="402"/>
      <c r="D231" s="402"/>
      <c r="E231" s="421"/>
      <c r="F231" s="421"/>
      <c r="G231" s="421"/>
      <c r="H231" s="11"/>
    </row>
    <row r="232" customFormat="false" ht="17.35" hidden="false" customHeight="false" outlineLevel="0" collapsed="false">
      <c r="A232" s="293" t="s">
        <v>354</v>
      </c>
      <c r="B232" s="402" t="s">
        <v>349</v>
      </c>
      <c r="C232" s="402"/>
      <c r="D232" s="402"/>
      <c r="E232" s="402" t="s">
        <v>68</v>
      </c>
      <c r="F232" s="421"/>
      <c r="G232" s="421"/>
      <c r="H232" s="11"/>
    </row>
    <row r="233" customFormat="false" ht="17.35" hidden="false" customHeight="false" outlineLevel="0" collapsed="false">
      <c r="A233" s="141" t="n">
        <f aca="false">E170</f>
        <v>27500</v>
      </c>
      <c r="B233" s="164" t="n">
        <f aca="false">E185</f>
        <v>27510</v>
      </c>
      <c r="C233" s="402"/>
      <c r="D233" s="402"/>
      <c r="E233" s="164" t="n">
        <f aca="false">IF(E105="YES", H15*0.000006, 0)*100</f>
        <v>35.115</v>
      </c>
      <c r="F233" s="421"/>
      <c r="G233" s="421"/>
      <c r="H233" s="11"/>
    </row>
    <row r="234" customFormat="false" ht="17.35" hidden="false" customHeight="false" outlineLevel="0" collapsed="false">
      <c r="A234" s="141"/>
      <c r="B234" s="164"/>
      <c r="C234" s="402"/>
      <c r="D234" s="402"/>
      <c r="E234" s="164"/>
      <c r="F234" s="421"/>
      <c r="G234" s="421"/>
      <c r="H234" s="11"/>
    </row>
    <row r="235" customFormat="false" ht="17.35" hidden="false" customHeight="false" outlineLevel="0" collapsed="false">
      <c r="A235" s="144" t="s">
        <v>69</v>
      </c>
      <c r="B235" s="165" t="s">
        <v>178</v>
      </c>
      <c r="C235" s="402"/>
      <c r="D235" s="402"/>
      <c r="E235" s="165" t="s">
        <v>275</v>
      </c>
      <c r="F235" s="421"/>
      <c r="G235" s="421"/>
      <c r="H235" s="11"/>
    </row>
    <row r="236" customFormat="false" ht="17.35" hidden="false" customHeight="false" outlineLevel="0" collapsed="false">
      <c r="A236" s="141" t="n">
        <f aca="false">IF(E105="YES", H15*0.000002, 0)*100</f>
        <v>11.705</v>
      </c>
      <c r="B236" s="164" t="n">
        <f aca="false">E233+A236</f>
        <v>46.82</v>
      </c>
      <c r="C236" s="402"/>
      <c r="D236" s="402"/>
      <c r="E236" s="164"/>
      <c r="F236" s="421"/>
      <c r="G236" s="421"/>
      <c r="H236" s="11"/>
    </row>
    <row r="237" customFormat="false" ht="17.35" hidden="false" customHeight="false" outlineLevel="0" collapsed="false">
      <c r="A237" s="141"/>
      <c r="B237" s="164"/>
      <c r="C237" s="402"/>
      <c r="D237" s="402"/>
      <c r="E237" s="164"/>
      <c r="F237" s="421"/>
      <c r="G237" s="421"/>
      <c r="H237" s="11"/>
    </row>
    <row r="238" customFormat="false" ht="22.05" hidden="false" customHeight="false" outlineLevel="0" collapsed="false">
      <c r="A238" s="456" t="s">
        <v>350</v>
      </c>
      <c r="B238" s="456"/>
      <c r="C238" s="456"/>
      <c r="D238" s="456"/>
      <c r="E238" s="456"/>
      <c r="F238" s="456"/>
      <c r="G238" s="456"/>
      <c r="H238" s="456"/>
    </row>
    <row r="239" customFormat="false" ht="17.35" hidden="false" customHeight="false" outlineLevel="0" collapsed="false">
      <c r="A239" s="293" t="s">
        <v>351</v>
      </c>
      <c r="B239" s="402" t="s">
        <v>311</v>
      </c>
      <c r="C239" s="402"/>
      <c r="D239" s="402"/>
      <c r="E239" s="165" t="s">
        <v>312</v>
      </c>
      <c r="F239" s="421"/>
      <c r="G239" s="421"/>
      <c r="H239" s="11"/>
    </row>
    <row r="240" customFormat="false" ht="17.35" hidden="false" customHeight="false" outlineLevel="0" collapsed="false">
      <c r="A240" s="141" t="n">
        <f aca="false">H148</f>
        <v>1000</v>
      </c>
      <c r="B240" s="164" t="n">
        <f aca="false">B68</f>
        <v>214.59375</v>
      </c>
      <c r="C240" s="402"/>
      <c r="D240" s="402"/>
      <c r="E240" s="164" t="n">
        <f aca="false">E188</f>
        <v>20.6</v>
      </c>
      <c r="F240" s="421"/>
      <c r="G240" s="421"/>
      <c r="H240" s="11"/>
    </row>
    <row r="241" customFormat="false" ht="17.35" hidden="false" customHeight="false" outlineLevel="0" collapsed="false">
      <c r="A241" s="141"/>
      <c r="B241" s="164"/>
      <c r="C241" s="402"/>
      <c r="D241" s="402"/>
      <c r="E241" s="421"/>
      <c r="F241" s="421"/>
      <c r="G241" s="421"/>
      <c r="H241" s="11"/>
    </row>
    <row r="242" customFormat="false" ht="17.35" hidden="false" customHeight="false" outlineLevel="0" collapsed="false">
      <c r="A242" s="144" t="s">
        <v>313</v>
      </c>
      <c r="B242" s="165" t="s">
        <v>314</v>
      </c>
      <c r="C242" s="402"/>
      <c r="D242" s="402"/>
      <c r="E242" s="165"/>
      <c r="F242" s="421"/>
      <c r="G242" s="421"/>
      <c r="H242" s="11"/>
    </row>
    <row r="243" customFormat="false" ht="17.35" hidden="false" customHeight="false" outlineLevel="0" collapsed="false">
      <c r="A243" s="141" t="n">
        <f aca="false">A191</f>
        <v>99.99</v>
      </c>
      <c r="B243" s="164" t="n">
        <f aca="false">B240+E240+A243+A240</f>
        <v>1335.18375</v>
      </c>
      <c r="C243" s="402"/>
      <c r="D243" s="402"/>
      <c r="E243" s="164"/>
      <c r="F243" s="421"/>
      <c r="G243" s="421"/>
      <c r="H243" s="11"/>
    </row>
    <row r="244" customFormat="false" ht="17.35" hidden="false" customHeight="false" outlineLevel="0" collapsed="false">
      <c r="A244" s="293"/>
      <c r="B244" s="402"/>
      <c r="C244" s="402"/>
      <c r="D244" s="402"/>
      <c r="E244" s="421"/>
      <c r="F244" s="421"/>
      <c r="G244" s="421"/>
      <c r="H244" s="11"/>
    </row>
    <row r="245" customFormat="false" ht="17.35" hidden="false" customHeight="false" outlineLevel="0" collapsed="false">
      <c r="A245" s="321"/>
      <c r="B245" s="322"/>
      <c r="C245" s="322"/>
      <c r="D245" s="322"/>
      <c r="E245" s="322"/>
      <c r="F245" s="322"/>
      <c r="G245" s="322"/>
      <c r="H245" s="85"/>
    </row>
  </sheetData>
  <mergeCells count="274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  <mergeCell ref="A206:H206"/>
    <mergeCell ref="A238:H238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42" colorId="64" zoomScale="75" zoomScaleNormal="75" zoomScalePageLayoutView="100" workbookViewId="0">
      <selection pane="topLeft" activeCell="A151" activeCellId="0" sqref="A151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 t="s">
        <v>27</v>
      </c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46854.17</v>
      </c>
      <c r="C3" s="197" t="n">
        <v>0</v>
      </c>
      <c r="D3" s="196" t="n">
        <v>833.33</v>
      </c>
      <c r="E3" s="198" t="n">
        <v>0</v>
      </c>
      <c r="F3" s="171"/>
      <c r="G3" s="171" t="n">
        <v>25000</v>
      </c>
      <c r="H3" s="171"/>
      <c r="I3" s="171" t="s">
        <v>28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</v>
      </c>
      <c r="C4" s="0" t="n">
        <v>0</v>
      </c>
      <c r="D4" s="0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20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47687.5</v>
      </c>
      <c r="F9" s="171"/>
      <c r="G9" s="20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20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9647.5</v>
      </c>
      <c r="F11" s="171"/>
      <c r="G11" s="20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20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58525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20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27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219</v>
      </c>
      <c r="C30" s="122"/>
      <c r="D30" s="203"/>
      <c r="E30" s="204"/>
      <c r="F30" s="171"/>
      <c r="G30" s="214" t="s">
        <v>41</v>
      </c>
      <c r="H30" s="216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27500</v>
      </c>
      <c r="I31" s="226" t="n">
        <f aca="false">IF(C107="YES",H31,0)</f>
        <v>27500</v>
      </c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1030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951.531975672137</v>
      </c>
      <c r="E33" s="204"/>
      <c r="F33" s="171"/>
      <c r="G33" s="215" t="s">
        <v>221</v>
      </c>
      <c r="H33" s="22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n">
        <f aca="false">IF(B26="YES", H42, "")</f>
        <v>28.6111111111111</v>
      </c>
      <c r="C36" s="224"/>
      <c r="D36" s="140" t="n">
        <f aca="false">I31</f>
        <v>27500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48877.5</v>
      </c>
      <c r="I39" s="226" t="n">
        <f aca="false">(I48*H46)+H44</f>
        <v>63509.8854689439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</v>
      </c>
      <c r="B40" s="113" t="n">
        <f aca="false">IF(B26="YES",H42,"0")</f>
        <v>28.6111111111111</v>
      </c>
      <c r="C40" s="113"/>
      <c r="D40" s="140" t="n">
        <f aca="false">I32</f>
        <v>1030</v>
      </c>
      <c r="E40" s="204"/>
      <c r="F40" s="171"/>
      <c r="G40" s="171" t="s">
        <v>229</v>
      </c>
      <c r="H40" s="226" t="n">
        <f aca="false">(A40)/1.2</f>
        <v>22916.6666666667</v>
      </c>
      <c r="I40" s="226" t="n">
        <f aca="false">H39-I39</f>
        <v>-14632.3854689439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28.6111111111111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18764.9097705681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236</v>
      </c>
      <c r="B45" s="203"/>
      <c r="C45" s="233" t="s">
        <v>236</v>
      </c>
      <c r="D45" s="233"/>
      <c r="E45" s="204"/>
      <c r="F45" s="171"/>
      <c r="G45" s="171" t="s">
        <v>237</v>
      </c>
      <c r="H45" s="226" t="n">
        <f aca="false">(H39-H44)</f>
        <v>30112.5902294319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922.920864561026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951.531975672137</v>
      </c>
      <c r="I48" s="226" t="n">
        <f aca="false">I49-H42</f>
        <v>1371.38888888889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951.531975672137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9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27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95" t="s">
        <v>23</v>
      </c>
      <c r="N61" s="201" t="n">
        <f aca="false">G18</f>
        <v>57885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6077.925</v>
      </c>
      <c r="C64" s="203" t="n">
        <v>10000</v>
      </c>
      <c r="D64" s="201" t="n">
        <f aca="false">B64-A143</f>
        <v>6077.925</v>
      </c>
      <c r="E64" s="204"/>
      <c r="F64" s="171"/>
      <c r="G64" s="234" t="s">
        <v>88</v>
      </c>
      <c r="H64" s="245" t="n">
        <f aca="false">H61*H63</f>
        <v>6077.925</v>
      </c>
      <c r="I64" s="203"/>
      <c r="J64" s="201" t="n">
        <f aca="false">H64-G145</f>
        <v>6077.925</v>
      </c>
      <c r="K64" s="204"/>
      <c r="L64" s="171"/>
      <c r="M64" s="234" t="s">
        <v>88</v>
      </c>
      <c r="N64" s="245" t="n">
        <f aca="false">N61*N63</f>
        <v>6077.925</v>
      </c>
      <c r="O64" s="203"/>
      <c r="P64" s="201" t="n">
        <f aca="false">N64-M145</f>
        <v>6077.925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</f>
        <v>1157.7</v>
      </c>
      <c r="C67" s="203"/>
      <c r="D67" s="201"/>
      <c r="E67" s="204"/>
      <c r="F67" s="171"/>
      <c r="G67" s="234" t="s">
        <v>91</v>
      </c>
      <c r="H67" s="245" t="n">
        <f aca="false">(H61*H66)/1.2</f>
        <v>964.75</v>
      </c>
      <c r="I67" s="203"/>
      <c r="J67" s="201"/>
      <c r="K67" s="204"/>
      <c r="L67" s="171"/>
      <c r="M67" s="234" t="s">
        <v>91</v>
      </c>
      <c r="N67" s="245" t="n">
        <f aca="false">(N61*N66)/1.2</f>
        <v>964.75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4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01" t="n">
        <f aca="false">B73+B71</f>
        <v>380</v>
      </c>
      <c r="E73" s="204"/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58" t="s">
        <v>98</v>
      </c>
      <c r="B74" s="259" t="n">
        <v>0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260" t="s">
        <v>99</v>
      </c>
      <c r="B75" s="261" t="n">
        <v>0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62" t="s">
        <v>100</v>
      </c>
      <c r="B76" s="263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64" t="n">
        <f aca="false">B102/(1-0.1)</f>
        <v>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6857.925</v>
      </c>
      <c r="C81" s="203"/>
      <c r="D81" s="203"/>
      <c r="E81" s="204"/>
      <c r="F81" s="171"/>
      <c r="G81" s="268" t="s">
        <v>106</v>
      </c>
      <c r="H81" s="269" t="n">
        <f aca="false">SUM(J64:J80)</f>
        <v>7143.675</v>
      </c>
      <c r="I81" s="203"/>
      <c r="J81" s="203"/>
      <c r="K81" s="204"/>
      <c r="L81" s="171"/>
      <c r="M81" s="268" t="s">
        <v>106</v>
      </c>
      <c r="N81" s="269" t="n">
        <f aca="false">SUM(P64:P80)</f>
        <v>6799.925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190.497916666667</v>
      </c>
      <c r="C82" s="203"/>
      <c r="D82" s="203"/>
      <c r="E82" s="204"/>
      <c r="F82" s="171"/>
      <c r="G82" s="195" t="s">
        <v>107</v>
      </c>
      <c r="H82" s="200" t="n">
        <f aca="false">H81/H29</f>
        <v>198.435416666667</v>
      </c>
      <c r="I82" s="203"/>
      <c r="J82" s="203"/>
      <c r="K82" s="204"/>
      <c r="L82" s="171"/>
      <c r="M82" s="195" t="s">
        <v>107</v>
      </c>
      <c r="N82" s="200" t="n">
        <f aca="false">N81/H29</f>
        <v>188.886805555556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922.920864561026</v>
      </c>
      <c r="C83" s="203"/>
      <c r="D83" s="203"/>
      <c r="E83" s="204"/>
      <c r="F83" s="171"/>
      <c r="G83" s="271" t="s">
        <v>108</v>
      </c>
      <c r="H83" s="272" t="n">
        <f aca="false">H47</f>
        <v>922.920864561026</v>
      </c>
      <c r="I83" s="203"/>
      <c r="J83" s="203"/>
      <c r="K83" s="204"/>
      <c r="L83" s="171"/>
      <c r="M83" s="271" t="s">
        <v>108</v>
      </c>
      <c r="N83" s="272" t="n">
        <f aca="false">H47</f>
        <v>922.920864561026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</f>
        <v>40083.0761241969</v>
      </c>
      <c r="C85" s="203"/>
      <c r="D85" s="203"/>
      <c r="E85" s="204"/>
      <c r="F85" s="171"/>
      <c r="G85" s="228" t="s">
        <v>109</v>
      </c>
      <c r="H85" s="264" t="n">
        <f aca="false">((H83*H29)+H81)*1.2</f>
        <v>48442.5913490363</v>
      </c>
      <c r="I85" s="203"/>
      <c r="J85" s="203"/>
      <c r="K85" s="204"/>
      <c r="L85" s="171"/>
      <c r="M85" s="228" t="s">
        <v>109</v>
      </c>
      <c r="N85" s="264" t="n">
        <f aca="false">((N83*H29)+N81)</f>
        <v>40025.0761241969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(B85/(1-B70))*B70</f>
        <v>339.550059946807</v>
      </c>
      <c r="C86" s="203"/>
      <c r="D86" s="203"/>
      <c r="E86" s="204"/>
      <c r="F86" s="171"/>
      <c r="G86" s="195" t="s">
        <v>110</v>
      </c>
      <c r="H86" s="200" t="n">
        <f aca="false">((((H83*H29)+H81))/(1-H70))*H70</f>
        <v>341.970693266694</v>
      </c>
      <c r="I86" s="203"/>
      <c r="J86" s="203"/>
      <c r="K86" s="204"/>
      <c r="L86" s="171"/>
      <c r="M86" s="195" t="s">
        <v>110</v>
      </c>
      <c r="N86" s="200" t="n">
        <f aca="false">(N85/(1-N70))*N70</f>
        <v>339.058732798764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IF(B110="YES",((B85+B86)-E114),(B85+B86))</f>
        <v>40422.6261841437</v>
      </c>
      <c r="C87" s="203"/>
      <c r="D87" s="203"/>
      <c r="E87" s="204"/>
      <c r="F87" s="171"/>
      <c r="G87" s="234" t="s">
        <v>111</v>
      </c>
      <c r="H87" s="245" t="n">
        <f aca="false">IF(H110="YES",((H85+H86)-K114),(H85+H86))</f>
        <v>48784.562042303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40364.1348569957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(D40+(D40*B105))/(B58), (D40+(D40*B105))/(B57+B58))</f>
        <v>37.1944444444444</v>
      </c>
      <c r="C89" s="203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36.1756097560976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30.1463414634146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1122.85072733733</v>
      </c>
      <c r="C90" s="203"/>
      <c r="D90" s="203"/>
      <c r="E90" s="204"/>
      <c r="F90" s="171"/>
      <c r="G90" s="274" t="s">
        <v>112</v>
      </c>
      <c r="H90" s="275" t="n">
        <f aca="false">IF(H99=Y98, (H87-J105)/(H58), H87/(H57+H58))</f>
        <v>1189.86736688544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984.491094073066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1160.04517178177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1226.04297664154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1014.63743553648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116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27</v>
      </c>
      <c r="B105" s="114" t="n">
        <v>0.3</v>
      </c>
      <c r="C105" s="114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 t="s">
        <v>138</v>
      </c>
      <c r="C107" s="213" t="s">
        <v>27</v>
      </c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-2800.01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1189.86736688544</v>
      </c>
      <c r="H127" s="286" t="n">
        <f aca="false">IF(G105="YES", H89*H57, 0)</f>
        <v>217.053658536585</v>
      </c>
      <c r="I127" s="286"/>
      <c r="J127" s="134" t="n">
        <f aca="false">H91</f>
        <v>1226.04297664154</v>
      </c>
      <c r="K127" s="204"/>
      <c r="L127" s="171"/>
      <c r="M127" s="132" t="n">
        <f aca="false">N90</f>
        <v>984.491094073066</v>
      </c>
      <c r="N127" s="286" t="n">
        <f aca="false">IF(M105="YES", N89*N57, 0)</f>
        <v>180.878048780488</v>
      </c>
      <c r="O127" s="286"/>
      <c r="P127" s="286" t="n">
        <f aca="false">N91</f>
        <v>1014.63743553648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1122.85072733733</v>
      </c>
      <c r="B128" s="120" t="n">
        <f aca="false">IF(A105="YES", B89, 0)</f>
        <v>37.1944444444444</v>
      </c>
      <c r="C128" s="125"/>
      <c r="D128" s="120" t="n">
        <f aca="false">B91</f>
        <v>1160.04517178177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27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27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10105.6565460359</v>
      </c>
      <c r="C131" s="13"/>
      <c r="D131" s="136" t="n">
        <f aca="false">IF(A105="YES", B89*B57, 0)</f>
        <v>334.75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217.053658536585</v>
      </c>
      <c r="I133" s="224"/>
      <c r="J133" s="140" t="n">
        <f aca="false">H91*H57</f>
        <v>7356.25785984922</v>
      </c>
      <c r="K133" s="204"/>
      <c r="L133" s="171"/>
      <c r="M133" s="139" t="n">
        <f aca="false">N90*N57</f>
        <v>5906.94656443839</v>
      </c>
      <c r="N133" s="164" t="n">
        <f aca="false">IF(M105="YES", N89*N57, 0)</f>
        <v>180.878048780488</v>
      </c>
      <c r="O133" s="224"/>
      <c r="P133" s="140" t="n">
        <f aca="false">N91*N57</f>
        <v>6087.82461321888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10440.4065460359</v>
      </c>
      <c r="B134" s="136" t="n">
        <f aca="false">E114</f>
        <v>4000</v>
      </c>
      <c r="C134" s="13"/>
      <c r="D134" s="142" t="n">
        <f aca="false">B58</f>
        <v>27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1122.85072733733</v>
      </c>
      <c r="B137" s="136" t="n">
        <f aca="false">IF(A105="YES", B89, 0)</f>
        <v>37.1944444444444</v>
      </c>
      <c r="C137" s="13"/>
      <c r="D137" s="136" t="n">
        <f aca="false">B91</f>
        <v>1160.04517178177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((B36*H105)*0.1)*(G130), 0)</f>
        <v>20.6</v>
      </c>
      <c r="H142" s="164" t="n">
        <f aca="false">G102-100</f>
        <v>99.99</v>
      </c>
      <c r="I142" s="164"/>
      <c r="J142" s="164" t="n">
        <f aca="false">(H139+J139+G142+H142)-H145</f>
        <v>1085.34</v>
      </c>
      <c r="K142" s="146"/>
      <c r="L142" s="171"/>
      <c r="M142" s="141" t="n">
        <f aca="false">IF(M105="YES", ((B36*N105)*0.1)*(M130), 0)</f>
        <v>20.6</v>
      </c>
      <c r="N142" s="164" t="n">
        <f aca="false">M102-100</f>
        <v>99.99</v>
      </c>
      <c r="O142" s="164"/>
      <c r="P142" s="164" t="n">
        <f aca="false">(N139+P139+M142+N142)-N145</f>
        <v>1085.34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41" t="n">
        <v>0</v>
      </c>
      <c r="N145" s="164" t="n">
        <f aca="false">(N139+P139+M142+N142)*(M145/N64)</f>
        <v>0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1157.7</v>
      </c>
      <c r="B148" s="136" t="n">
        <f aca="false">B102</f>
        <v>0</v>
      </c>
      <c r="C148" s="136"/>
      <c r="D148" s="136" t="n">
        <f aca="false">IF(A105="YES", (B40*B105)*B125, 0)*0.1</f>
        <v>30.9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1288.59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1226.04297664154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1014.63743553648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1160.04517178177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1122.85072733733</v>
      </c>
      <c r="B177" s="160" t="n">
        <f aca="false">IF(A105="YES", B89, 0)</f>
        <v>37.1944444444444</v>
      </c>
      <c r="C177" s="162"/>
      <c r="D177" s="160" t="n">
        <f aca="false">B91</f>
        <v>1160.04517178177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 Terminal pause with 9 down </v>
      </c>
      <c r="B180" s="164" t="n">
        <f aca="false">B90*B57</f>
        <v>10105.6565460359</v>
      </c>
      <c r="C180" s="31"/>
      <c r="D180" s="164" t="n">
        <f aca="false">IF(A105="YES", B89*B57, 0)</f>
        <v>334.75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10440.4065460359</v>
      </c>
      <c r="B183" s="164" t="n">
        <f aca="false">E114</f>
        <v>4000</v>
      </c>
      <c r="C183" s="31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1122.85072733733</v>
      </c>
      <c r="B186" s="164" t="n">
        <f aca="false">IF(A105="YES", B89, 0)</f>
        <v>37.1944444444444</v>
      </c>
      <c r="C186" s="31"/>
      <c r="D186" s="164" t="n">
        <f aca="false">B91</f>
        <v>1160.04517178177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1157.7</v>
      </c>
      <c r="B197" s="164" t="n">
        <f aca="false">B102</f>
        <v>0</v>
      </c>
      <c r="C197" s="164"/>
      <c r="D197" s="164" t="n">
        <f aca="false">IF(A105="YES", (B40*B105)*B125, 0)*0.1</f>
        <v>30.9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1288.59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1157.7</v>
      </c>
      <c r="C211" s="119" t="s">
        <v>198</v>
      </c>
      <c r="D211" s="173" t="n">
        <f aca="false">B225+E221+B221+B223</f>
        <v>408.99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5329.215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6077.925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</f>
        <v>1157.7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B77-(B77*(E219*100))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5329.215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309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339.550059946807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8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  <dataValidation allowBlank="true" errorStyle="stop" operator="between" showDropDown="false" showErrorMessage="true" showInputMessage="false" sqref="B26" type="list">
      <formula1>'Formula1-FL'!$I$2:$I$3</formula1>
      <formula2>0</formula2>
    </dataValidation>
    <dataValidation allowBlank="true" errorStyle="stop" operator="between" showDropDown="false" showErrorMessage="true" showInputMessage="false" sqref="A105" type="list">
      <formula1>'Formula1-FL'!$I$2:$I$3</formula1>
      <formula2>0</formula2>
    </dataValidation>
    <dataValidation allowBlank="true" errorStyle="stop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B73" activeCellId="0" sqref="B73"/>
    </sheetView>
  </sheetViews>
  <sheetFormatPr defaultColWidth="10.83984375" defaultRowHeight="13.8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44952</v>
      </c>
      <c r="E29" s="41"/>
      <c r="F29" s="2"/>
      <c r="G29" s="33" t="s">
        <v>40</v>
      </c>
      <c r="H29" s="42" t="n">
        <f aca="false">A32</f>
        <v>12</v>
      </c>
      <c r="I29" s="189" t="n">
        <f aca="false">ISNUMBER(I31)</f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74</v>
      </c>
      <c r="B34" s="51" t="s">
        <v>48</v>
      </c>
      <c r="C34" s="48" t="s">
        <v>76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51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76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76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str">
        <f aca="false">IF(D41="Yes",A44, 0)</f>
        <v>50</v>
      </c>
      <c r="I41" s="53" t="s">
        <v>76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76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s">
        <v>216</v>
      </c>
      <c r="B44" s="45" t="s">
        <v>71</v>
      </c>
      <c r="C44" s="45"/>
      <c r="D44" s="45" t="s">
        <v>71</v>
      </c>
      <c r="E44" s="45"/>
      <c r="F44" s="2"/>
      <c r="G44" s="53" t="s">
        <v>72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73</v>
      </c>
      <c r="H45" s="53" t="n">
        <f aca="false">(H39-H44)+H41</f>
        <v>-170.625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74</v>
      </c>
      <c r="B46" s="48" t="s">
        <v>75</v>
      </c>
      <c r="C46" s="48" t="s">
        <v>76</v>
      </c>
      <c r="D46" s="48"/>
      <c r="E46" s="64"/>
      <c r="F46" s="2" t="n">
        <v>0</v>
      </c>
      <c r="G46" s="53" t="s">
        <v>77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74</v>
      </c>
      <c r="B47" s="48"/>
      <c r="C47" s="48"/>
      <c r="D47" s="48"/>
      <c r="E47" s="64"/>
      <c r="F47" s="2"/>
      <c r="G47" s="53" t="s">
        <v>78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79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80</v>
      </c>
      <c r="H49" s="53" t="n">
        <f aca="false">H45+H48+H47</f>
        <v>-167.958333333333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54"/>
      <c r="B50" s="48"/>
      <c r="C50" s="48"/>
      <c r="D50" s="48"/>
      <c r="E50" s="64"/>
      <c r="F50" s="2"/>
      <c r="G50" s="53" t="s">
        <v>83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/>
      <c r="B52" s="71"/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74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-167.958333333333</v>
      </c>
      <c r="C58" s="71"/>
      <c r="D58" s="190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84</v>
      </c>
      <c r="B63" s="13" t="n">
        <f aca="false">IF(B105=Z103,1,IF(B105=Z104,1,IF(B105=Z105,3,IF(B105=Z106,6,IF(B105=Z107,9,IF(B105=Z108,12,IF(B105=Z109,3,IF(B105=Z110,6,IF(B105=Z111,9,0)))))))))</f>
        <v>1</v>
      </c>
      <c r="C63" s="13"/>
      <c r="D63" s="13"/>
      <c r="E63" s="14"/>
      <c r="F63" s="2"/>
      <c r="G63" s="6" t="s">
        <v>84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84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85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 t="s">
        <v>76</v>
      </c>
      <c r="D64" s="13"/>
      <c r="E64" s="14"/>
      <c r="F64" s="2"/>
      <c r="G64" s="6" t="s">
        <v>85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85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86</v>
      </c>
      <c r="B68" s="84" t="n">
        <v>0.07</v>
      </c>
      <c r="C68" s="13"/>
      <c r="D68" s="13"/>
      <c r="E68" s="14"/>
      <c r="F68" s="2"/>
      <c r="G68" s="83" t="s">
        <v>86</v>
      </c>
      <c r="H68" s="84" t="n">
        <v>0.07</v>
      </c>
      <c r="I68" s="13"/>
      <c r="J68" s="13"/>
      <c r="K68" s="14"/>
      <c r="L68" s="2"/>
      <c r="M68" s="83" t="s">
        <v>86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87</v>
      </c>
      <c r="B69" s="10" t="n">
        <f aca="false">B68+(B68*0.25*(H29/12-1))</f>
        <v>0.07</v>
      </c>
      <c r="C69" s="13"/>
      <c r="D69" s="13"/>
      <c r="E69" s="14"/>
      <c r="F69" s="2"/>
      <c r="G69" s="6" t="s">
        <v>87</v>
      </c>
      <c r="H69" s="10" t="n">
        <f aca="false">H68+(H68*0.25*(H29/12-1))</f>
        <v>0.07</v>
      </c>
      <c r="I69" s="13"/>
      <c r="J69" s="13"/>
      <c r="K69" s="14"/>
      <c r="L69" s="2"/>
      <c r="M69" s="6" t="s">
        <v>87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88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88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88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89</v>
      </c>
      <c r="B71" s="84" t="n">
        <v>0.01</v>
      </c>
      <c r="C71" s="13"/>
      <c r="D71" s="13"/>
      <c r="E71" s="14"/>
      <c r="F71" s="2"/>
      <c r="G71" s="83" t="s">
        <v>89</v>
      </c>
      <c r="H71" s="84" t="n">
        <v>0.005</v>
      </c>
      <c r="I71" s="13"/>
      <c r="J71" s="13"/>
      <c r="K71" s="14"/>
      <c r="L71" s="2"/>
      <c r="M71" s="83" t="s">
        <v>89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90</v>
      </c>
      <c r="B72" s="10" t="n">
        <f aca="false">B71+(B71*0.5*(H29/12-1))</f>
        <v>0.01</v>
      </c>
      <c r="C72" s="13"/>
      <c r="D72" s="13"/>
      <c r="E72" s="14"/>
      <c r="F72" s="2"/>
      <c r="G72" s="6" t="s">
        <v>90</v>
      </c>
      <c r="H72" s="10" t="n">
        <f aca="false">H71+(H71*0.5*(H29/12-1))</f>
        <v>0.005</v>
      </c>
      <c r="I72" s="13"/>
      <c r="J72" s="13"/>
      <c r="K72" s="14"/>
      <c r="L72" s="2"/>
      <c r="M72" s="6" t="s">
        <v>90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91</v>
      </c>
      <c r="B73" s="85" t="n">
        <f aca="false">B67*B72</f>
        <v>578.85</v>
      </c>
      <c r="C73" s="13"/>
      <c r="D73" s="12"/>
      <c r="E73" s="14"/>
      <c r="F73" s="2"/>
      <c r="G73" s="77" t="s">
        <v>91</v>
      </c>
      <c r="H73" s="85" t="n">
        <f aca="false">H67*H72</f>
        <v>289.425</v>
      </c>
      <c r="I73" s="13"/>
      <c r="J73" s="12"/>
      <c r="K73" s="14"/>
      <c r="L73" s="2"/>
      <c r="M73" s="77" t="s">
        <v>91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92</v>
      </c>
      <c r="B74" s="84" t="n">
        <v>0.0075</v>
      </c>
      <c r="C74" s="13"/>
      <c r="D74" s="13"/>
      <c r="E74" s="14"/>
      <c r="F74" s="2"/>
      <c r="G74" s="83" t="s">
        <v>92</v>
      </c>
      <c r="H74" s="84" t="n">
        <v>0.0075</v>
      </c>
      <c r="I74" s="13"/>
      <c r="J74" s="13"/>
      <c r="K74" s="14"/>
      <c r="L74" s="2"/>
      <c r="M74" s="83" t="s">
        <v>92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93</v>
      </c>
      <c r="B75" s="86" t="n">
        <v>0.12</v>
      </c>
      <c r="C75" s="13"/>
      <c r="D75" s="13"/>
      <c r="E75" s="14"/>
      <c r="F75" s="2"/>
      <c r="G75" s="3" t="s">
        <v>93</v>
      </c>
      <c r="H75" s="86" t="n">
        <v>0.12</v>
      </c>
      <c r="I75" s="13"/>
      <c r="J75" s="13"/>
      <c r="K75" s="14"/>
      <c r="L75" s="2"/>
      <c r="M75" s="3" t="s">
        <v>93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94</v>
      </c>
      <c r="B76" s="87" t="n">
        <f aca="false">B74*(1+B75)</f>
        <v>0.0084</v>
      </c>
      <c r="C76" s="13"/>
      <c r="D76" s="13"/>
      <c r="E76" s="14"/>
      <c r="F76" s="2"/>
      <c r="G76" s="77" t="s">
        <v>94</v>
      </c>
      <c r="H76" s="87" t="n">
        <f aca="false">H74*(1+H75)</f>
        <v>0.0084</v>
      </c>
      <c r="I76" s="13"/>
      <c r="J76" s="13"/>
      <c r="K76" s="14"/>
      <c r="L76" s="2"/>
      <c r="M76" s="77" t="s">
        <v>94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95</v>
      </c>
      <c r="B77" s="88" t="n">
        <v>200</v>
      </c>
      <c r="C77" s="13"/>
      <c r="D77" s="13"/>
      <c r="E77" s="14"/>
      <c r="F77" s="2"/>
      <c r="G77" s="83" t="s">
        <v>95</v>
      </c>
      <c r="H77" s="88" t="n">
        <v>160</v>
      </c>
      <c r="I77" s="13"/>
      <c r="J77" s="13"/>
      <c r="K77" s="14"/>
      <c r="L77" s="2"/>
      <c r="M77" s="83" t="s">
        <v>95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96</v>
      </c>
      <c r="B78" s="89" t="n">
        <v>5</v>
      </c>
      <c r="C78" s="13"/>
      <c r="D78" s="13"/>
      <c r="E78" s="14"/>
      <c r="F78" s="2"/>
      <c r="G78" s="3" t="s">
        <v>96</v>
      </c>
      <c r="H78" s="89" t="n">
        <v>4.5</v>
      </c>
      <c r="I78" s="13"/>
      <c r="J78" s="13"/>
      <c r="K78" s="14"/>
      <c r="L78" s="2"/>
      <c r="M78" s="3" t="s">
        <v>96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97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97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97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98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98</v>
      </c>
      <c r="H80" s="88" t="n">
        <v>150</v>
      </c>
      <c r="I80" s="13"/>
      <c r="J80" s="13"/>
      <c r="K80" s="14"/>
      <c r="L80" s="2"/>
      <c r="M80" s="91" t="s">
        <v>98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99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99</v>
      </c>
      <c r="H81" s="89" t="n">
        <f aca="false">IF(G18&gt;40000, 325, 0)</f>
        <v>325</v>
      </c>
      <c r="I81" s="13"/>
      <c r="J81" s="13"/>
      <c r="K81" s="14"/>
      <c r="L81" s="2"/>
      <c r="M81" s="93" t="s">
        <v>99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100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100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100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101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101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101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102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103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103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104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104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104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105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105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105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106</v>
      </c>
      <c r="B87" s="100" t="n">
        <f aca="false">SUM(D70:D86)</f>
        <v>4755.28333333333</v>
      </c>
      <c r="C87" s="13"/>
      <c r="D87" s="13"/>
      <c r="E87" s="14"/>
      <c r="F87" s="2"/>
      <c r="G87" s="99" t="s">
        <v>106</v>
      </c>
      <c r="H87" s="100" t="n">
        <f aca="false">SUM(J70:J86)</f>
        <v>7205.53333333333</v>
      </c>
      <c r="I87" s="13"/>
      <c r="J87" s="13"/>
      <c r="K87" s="14"/>
      <c r="L87" s="2"/>
      <c r="M87" s="99" t="s">
        <v>106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107</v>
      </c>
      <c r="B88" s="11" t="n">
        <f aca="false">B87/H29</f>
        <v>396.273611111111</v>
      </c>
      <c r="C88" s="13"/>
      <c r="D88" s="13"/>
      <c r="E88" s="14"/>
      <c r="F88" s="2"/>
      <c r="G88" s="6" t="s">
        <v>107</v>
      </c>
      <c r="H88" s="11" t="n">
        <f aca="false">H87/H29</f>
        <v>600.461111111111</v>
      </c>
      <c r="I88" s="13"/>
      <c r="J88" s="13"/>
      <c r="K88" s="14"/>
      <c r="L88" s="2"/>
      <c r="M88" s="6" t="s">
        <v>107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108</v>
      </c>
      <c r="B89" s="102" t="n">
        <f aca="false">H50</f>
        <v>-217.958333333333</v>
      </c>
      <c r="C89" s="13"/>
      <c r="D89" s="13"/>
      <c r="E89" s="14"/>
      <c r="F89" s="2"/>
      <c r="G89" s="101" t="s">
        <v>108</v>
      </c>
      <c r="H89" s="102" t="n">
        <f aca="false">H46</f>
        <v>0</v>
      </c>
      <c r="I89" s="13"/>
      <c r="J89" s="13"/>
      <c r="K89" s="14"/>
      <c r="L89" s="2"/>
      <c r="M89" s="101" t="s">
        <v>108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109</v>
      </c>
      <c r="B91" s="103" t="n">
        <f aca="false">((B89*H29)+B87)</f>
        <v>2139.78333333333</v>
      </c>
      <c r="C91" s="13"/>
      <c r="D91" s="13"/>
      <c r="E91" s="14"/>
      <c r="F91" s="2"/>
      <c r="G91" s="80" t="s">
        <v>109</v>
      </c>
      <c r="H91" s="103" t="n">
        <f aca="false">((H89*H29)+H87)*1.2</f>
        <v>8646.64</v>
      </c>
      <c r="I91" s="13"/>
      <c r="J91" s="13"/>
      <c r="K91" s="14"/>
      <c r="L91" s="2"/>
      <c r="M91" s="80" t="s">
        <v>109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110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110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110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111</v>
      </c>
      <c r="B93" s="85" t="n">
        <f aca="false">IF(B116="YES",((B91+B92)-E120),(B91+B92))</f>
        <v>-1842.09022455291</v>
      </c>
      <c r="C93" s="13"/>
      <c r="D93" s="13"/>
      <c r="E93" s="14"/>
      <c r="F93" s="2"/>
      <c r="G93" s="77" t="s">
        <v>111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111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</f>
        <v>65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112</v>
      </c>
      <c r="B96" s="106" t="n">
        <f aca="false">IF(B105=Z104, (B93-D111)/(B64), B93/(B63+B64))</f>
        <v>-153.507518712743</v>
      </c>
      <c r="C96" s="13" t="s">
        <v>76</v>
      </c>
      <c r="D96" s="13"/>
      <c r="E96" s="14"/>
      <c r="F96" s="2"/>
      <c r="G96" s="105" t="s">
        <v>112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112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113</v>
      </c>
      <c r="B97" s="108" t="n">
        <f aca="false">IF(A111="YES", B96+B95, B96)</f>
        <v>-88.5075187127426</v>
      </c>
      <c r="C97" s="13"/>
      <c r="D97" s="109"/>
      <c r="E97" s="14"/>
      <c r="F97" s="2"/>
      <c r="G97" s="107" t="s">
        <v>113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113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2"/>
      <c r="G100" s="30" t="s">
        <v>115</v>
      </c>
      <c r="H100" s="30"/>
      <c r="I100" s="30"/>
      <c r="J100" s="30"/>
      <c r="K100" s="30"/>
      <c r="L100" s="2"/>
      <c r="M100" s="30" t="s">
        <v>116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2"/>
      <c r="G102" s="32" t="s">
        <v>117</v>
      </c>
      <c r="H102" s="32"/>
      <c r="I102" s="32"/>
      <c r="J102" s="32"/>
      <c r="K102" s="32"/>
      <c r="L102" s="2"/>
      <c r="M102" s="32" t="s">
        <v>117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118</v>
      </c>
    </row>
    <row r="104" customFormat="false" ht="18.75" hidden="false" customHeight="true" outlineLevel="0" collapsed="false">
      <c r="A104" s="6" t="s">
        <v>119</v>
      </c>
      <c r="B104" s="13" t="s">
        <v>32</v>
      </c>
      <c r="C104" s="13"/>
      <c r="D104" s="13" t="s">
        <v>120</v>
      </c>
      <c r="E104" s="14"/>
      <c r="F104" s="2"/>
      <c r="G104" s="6" t="s">
        <v>119</v>
      </c>
      <c r="H104" s="13" t="s">
        <v>32</v>
      </c>
      <c r="I104" s="13"/>
      <c r="J104" s="13" t="s">
        <v>120</v>
      </c>
      <c r="K104" s="14"/>
      <c r="L104" s="2"/>
      <c r="M104" s="6" t="s">
        <v>119</v>
      </c>
      <c r="N104" s="13" t="s">
        <v>32</v>
      </c>
      <c r="O104" s="13"/>
      <c r="P104" s="13" t="s">
        <v>120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121</v>
      </c>
    </row>
    <row r="105" customFormat="false" ht="18.75" hidden="false" customHeight="true" outlineLevel="0" collapsed="false">
      <c r="A105" s="37"/>
      <c r="B105" s="110" t="s">
        <v>118</v>
      </c>
      <c r="C105" s="110"/>
      <c r="D105" s="111" t="n">
        <v>1000</v>
      </c>
      <c r="E105" s="111"/>
      <c r="F105" s="2"/>
      <c r="G105" s="37" t="s">
        <v>123</v>
      </c>
      <c r="H105" s="110" t="s">
        <v>124</v>
      </c>
      <c r="I105" s="110"/>
      <c r="J105" s="111" t="n">
        <v>5000</v>
      </c>
      <c r="K105" s="111"/>
      <c r="L105" s="2"/>
      <c r="M105" s="37" t="s">
        <v>123</v>
      </c>
      <c r="N105" s="110" t="s">
        <v>125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127</v>
      </c>
    </row>
    <row r="107" customFormat="false" ht="18.75" hidden="false" customHeight="true" outlineLevel="0" collapsed="false">
      <c r="A107" s="6" t="s">
        <v>128</v>
      </c>
      <c r="B107" s="13" t="s">
        <v>129</v>
      </c>
      <c r="C107" s="13"/>
      <c r="D107" s="13" t="s">
        <v>130</v>
      </c>
      <c r="E107" s="14"/>
      <c r="F107" s="2"/>
      <c r="G107" s="6" t="s">
        <v>128</v>
      </c>
      <c r="H107" s="13" t="s">
        <v>129</v>
      </c>
      <c r="I107" s="13"/>
      <c r="J107" s="13" t="s">
        <v>130</v>
      </c>
      <c r="K107" s="14"/>
      <c r="L107" s="2"/>
      <c r="M107" s="6" t="s">
        <v>128</v>
      </c>
      <c r="N107" s="13" t="s">
        <v>129</v>
      </c>
      <c r="O107" s="13"/>
      <c r="P107" s="13" t="s">
        <v>130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124</v>
      </c>
    </row>
    <row r="110" customFormat="false" ht="18.75" hidden="false" customHeight="true" outlineLevel="0" collapsed="false">
      <c r="A110" s="37" t="s">
        <v>132</v>
      </c>
      <c r="B110" s="2" t="s">
        <v>133</v>
      </c>
      <c r="C110" s="13"/>
      <c r="D110" s="13" t="s">
        <v>134</v>
      </c>
      <c r="E110" s="14"/>
      <c r="F110" s="2"/>
      <c r="G110" s="37" t="s">
        <v>132</v>
      </c>
      <c r="H110" s="2" t="s">
        <v>133</v>
      </c>
      <c r="I110" s="13"/>
      <c r="J110" s="13" t="s">
        <v>134</v>
      </c>
      <c r="K110" s="14"/>
      <c r="L110" s="2"/>
      <c r="M110" s="37" t="s">
        <v>132</v>
      </c>
      <c r="N110" s="2" t="s">
        <v>133</v>
      </c>
      <c r="O110" s="13"/>
      <c r="P110" s="13" t="s">
        <v>134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135</v>
      </c>
    </row>
    <row r="111" customFormat="false" ht="18.75" hidden="false" customHeight="true" outlineLevel="0" collapsed="false">
      <c r="A111" s="39" t="s">
        <v>27</v>
      </c>
      <c r="B111" s="110" t="n">
        <v>30</v>
      </c>
      <c r="C111" s="110"/>
      <c r="D111" s="113" t="n">
        <v>200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137</v>
      </c>
    </row>
    <row r="112" customFormat="false" ht="18.75" hidden="false" customHeight="true" outlineLevel="0" collapsed="false">
      <c r="A112" s="6"/>
      <c r="B112" s="13"/>
      <c r="C112" s="13"/>
      <c r="D112" s="13" t="s">
        <v>76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138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2"/>
      <c r="G114" s="32" t="s">
        <v>139</v>
      </c>
      <c r="H114" s="32"/>
      <c r="I114" s="32"/>
      <c r="J114" s="32"/>
      <c r="K114" s="32"/>
      <c r="L114" s="2"/>
      <c r="M114" s="32" t="s">
        <v>139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140</v>
      </c>
      <c r="B116" s="39" t="s">
        <v>27</v>
      </c>
      <c r="C116" s="13"/>
      <c r="D116" s="13"/>
      <c r="E116" s="14"/>
      <c r="F116" s="2"/>
      <c r="G116" s="6" t="s">
        <v>140</v>
      </c>
      <c r="H116" s="39" t="s">
        <v>27</v>
      </c>
      <c r="I116" s="13"/>
      <c r="J116" s="13"/>
      <c r="K116" s="14"/>
      <c r="L116" s="2"/>
      <c r="M116" s="6" t="s">
        <v>140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141</v>
      </c>
      <c r="B118" s="13"/>
      <c r="C118" s="13"/>
      <c r="D118" s="112" t="n">
        <v>10000</v>
      </c>
      <c r="E118" s="113" t="n">
        <v>6000</v>
      </c>
      <c r="F118" s="2"/>
      <c r="G118" s="6" t="s">
        <v>141</v>
      </c>
      <c r="H118" s="13"/>
      <c r="I118" s="13"/>
      <c r="J118" s="112" t="n">
        <v>10000</v>
      </c>
      <c r="K118" s="113" t="n">
        <v>5000</v>
      </c>
      <c r="L118" s="2"/>
      <c r="M118" s="6" t="s">
        <v>141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142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142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142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143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143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143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144</v>
      </c>
      <c r="B121" s="13"/>
      <c r="C121" s="13"/>
      <c r="D121" s="115" t="n">
        <f aca="false">D120-E120</f>
        <v>4000</v>
      </c>
      <c r="E121" s="14"/>
      <c r="F121" s="2"/>
      <c r="G121" s="6" t="s">
        <v>144</v>
      </c>
      <c r="H121" s="13"/>
      <c r="I121" s="13"/>
      <c r="J121" s="115" t="n">
        <f aca="false">J120-K120</f>
        <v>5000</v>
      </c>
      <c r="K121" s="14"/>
      <c r="L121" s="2"/>
      <c r="M121" s="6" t="s">
        <v>144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145</v>
      </c>
      <c r="B123" s="81"/>
      <c r="C123" s="81"/>
      <c r="D123" s="81"/>
      <c r="E123" s="103" t="n">
        <f aca="false">D105</f>
        <v>1000</v>
      </c>
      <c r="F123" s="2"/>
      <c r="G123" s="80" t="s">
        <v>145</v>
      </c>
      <c r="H123" s="81"/>
      <c r="I123" s="81"/>
      <c r="J123" s="81"/>
      <c r="K123" s="103" t="n">
        <f aca="false">J105</f>
        <v>5000</v>
      </c>
      <c r="L123" s="2"/>
      <c r="M123" s="80" t="s">
        <v>145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199.99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146</v>
      </c>
      <c r="B125" s="78"/>
      <c r="C125" s="78"/>
      <c r="D125" s="78"/>
      <c r="E125" s="85" t="n">
        <f aca="false">(E124+E123)-E120</f>
        <v>-2800.01</v>
      </c>
      <c r="F125" s="2"/>
      <c r="G125" s="117" t="s">
        <v>146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146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2"/>
      <c r="G128" s="32" t="s">
        <v>147</v>
      </c>
      <c r="H128" s="32"/>
      <c r="I128" s="32"/>
      <c r="J128" s="32"/>
      <c r="K128" s="32"/>
      <c r="L128" s="2"/>
      <c r="M128" s="32" t="s">
        <v>147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2"/>
      <c r="G130" s="6" t="s">
        <v>148</v>
      </c>
      <c r="H130" s="122" t="n">
        <v>0</v>
      </c>
      <c r="I130" s="122"/>
      <c r="J130" s="13"/>
      <c r="K130" s="14"/>
      <c r="L130" s="2"/>
      <c r="M130" s="6" t="s">
        <v>148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81</v>
      </c>
      <c r="H132" s="13" t="s">
        <v>82</v>
      </c>
      <c r="I132" s="13"/>
      <c r="J132" s="13" t="s">
        <v>85</v>
      </c>
      <c r="K132" s="14"/>
      <c r="L132" s="2"/>
      <c r="M132" s="6" t="s">
        <v>81</v>
      </c>
      <c r="N132" s="13" t="s">
        <v>82</v>
      </c>
      <c r="O132" s="13"/>
      <c r="P132" s="13" t="s">
        <v>85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11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-153.507518712743</v>
      </c>
      <c r="B134" s="120" t="n">
        <f aca="false">IF(A111="YES", B95, 0)</f>
        <v>65</v>
      </c>
      <c r="C134" s="191"/>
      <c r="D134" s="120" t="n">
        <f aca="false">B97</f>
        <v>-88.5075187127426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151</v>
      </c>
      <c r="H135" s="129" t="s">
        <v>152</v>
      </c>
      <c r="I135" s="129"/>
      <c r="J135" s="129" t="s">
        <v>153</v>
      </c>
      <c r="K135" s="14"/>
      <c r="L135" s="2"/>
      <c r="M135" s="128" t="s">
        <v>154</v>
      </c>
      <c r="N135" s="129" t="s">
        <v>155</v>
      </c>
      <c r="O135" s="129"/>
      <c r="P135" s="129" t="s">
        <v>113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 Monthly in advance </v>
      </c>
      <c r="B137" s="136" t="n">
        <f aca="false">B96*B63</f>
        <v>-153.507518712743</v>
      </c>
      <c r="C137" s="13"/>
      <c r="D137" s="136" t="n">
        <f aca="false">IF(A111="YES", B95*B63, 0)</f>
        <v>65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158</v>
      </c>
      <c r="H138" s="13" t="s">
        <v>159</v>
      </c>
      <c r="I138" s="13"/>
      <c r="J138" s="13" t="s">
        <v>160</v>
      </c>
      <c r="K138" s="14"/>
      <c r="L138" s="2"/>
      <c r="M138" s="6" t="s">
        <v>161</v>
      </c>
      <c r="N138" s="13" t="s">
        <v>162</v>
      </c>
      <c r="O138" s="13"/>
      <c r="P138" s="13" t="s">
        <v>163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-88.5075187127426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167</v>
      </c>
      <c r="H141" s="13" t="s">
        <v>168</v>
      </c>
      <c r="I141" s="13"/>
      <c r="J141" s="13" t="s">
        <v>169</v>
      </c>
      <c r="K141" s="14"/>
      <c r="L141" s="2"/>
      <c r="M141" s="6" t="s">
        <v>170</v>
      </c>
      <c r="N141" s="13" t="s">
        <v>171</v>
      </c>
      <c r="O141" s="13"/>
      <c r="P141" s="13" t="s">
        <v>172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-153.507518712743</v>
      </c>
      <c r="B143" s="136" t="n">
        <f aca="false">IF(A111="YES", B95, 0)</f>
        <v>65</v>
      </c>
      <c r="C143" s="13"/>
      <c r="D143" s="136" t="n">
        <f aca="false">B97</f>
        <v>-88.5075187127426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173</v>
      </c>
      <c r="H144" s="13" t="s">
        <v>174</v>
      </c>
      <c r="I144" s="13"/>
      <c r="J144" s="13" t="s">
        <v>175</v>
      </c>
      <c r="K144" s="14"/>
      <c r="L144" s="2"/>
      <c r="M144" s="6" t="s">
        <v>176</v>
      </c>
      <c r="N144" s="13" t="s">
        <v>174</v>
      </c>
      <c r="O144" s="13"/>
      <c r="P144" s="13" t="s">
        <v>175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179</v>
      </c>
      <c r="H147" s="13" t="s">
        <v>180</v>
      </c>
      <c r="I147" s="13"/>
      <c r="J147" s="13" t="s">
        <v>181</v>
      </c>
      <c r="K147" s="14"/>
      <c r="L147" s="2"/>
      <c r="M147" s="6" t="s">
        <v>179</v>
      </c>
      <c r="N147" s="13" t="s">
        <v>180</v>
      </c>
      <c r="O147" s="13"/>
      <c r="P147" s="13" t="s">
        <v>181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183</v>
      </c>
      <c r="H150" s="13" t="s">
        <v>184</v>
      </c>
      <c r="I150" s="13"/>
      <c r="J150" s="13"/>
      <c r="K150" s="14"/>
      <c r="L150" s="2"/>
      <c r="M150" s="6" t="s">
        <v>183</v>
      </c>
      <c r="N150" s="13" t="s">
        <v>184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2"/>
      <c r="G153" s="6"/>
      <c r="H153" s="13"/>
      <c r="I153" s="13"/>
      <c r="J153" s="13"/>
      <c r="K153" s="14"/>
      <c r="L153" s="2"/>
      <c r="M153" s="144" t="s">
        <v>189</v>
      </c>
      <c r="N153" s="115" t="s">
        <v>190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180</v>
      </c>
      <c r="E154" s="146"/>
      <c r="F154" s="2"/>
      <c r="G154" s="72" t="s">
        <v>191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2"/>
      <c r="G156" s="67" t="s">
        <v>81</v>
      </c>
      <c r="H156" s="68" t="s">
        <v>82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858.84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191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81</v>
      </c>
      <c r="N159" s="68" t="s">
        <v>82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-88.5075187127426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189" t="n">
        <f aca="false">ISNUMBER(B183)</f>
        <v>1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-153.507518712743</v>
      </c>
      <c r="B177" s="160" t="n">
        <f aca="false">IF(A111="YES", B95, 0)</f>
        <v>65</v>
      </c>
      <c r="C177" s="192"/>
      <c r="D177" s="160" t="n">
        <f aca="false">B91</f>
        <v>2139.78333333333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 Monthly in advance </v>
      </c>
      <c r="B180" s="164" t="n">
        <f aca="false">B96*B63</f>
        <v>-153.507518712743</v>
      </c>
      <c r="C180" s="31"/>
      <c r="D180" s="164" t="n">
        <f aca="false">IF(A111="YES", B95*B63, 0)</f>
        <v>65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-88.5075187127426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-153.507518712743</v>
      </c>
      <c r="B186" s="164" t="n">
        <f aca="false">IF(A111="YES", B95, 0)</f>
        <v>65</v>
      </c>
      <c r="C186" s="31"/>
      <c r="D186" s="164" t="n">
        <f aca="false">B97</f>
        <v>-88.5075187127426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18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858.84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D70</f>
        <v>4051.95</v>
      </c>
      <c r="E209" s="121"/>
      <c r="F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279.99</v>
      </c>
      <c r="E211" s="121"/>
      <c r="F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199</v>
      </c>
      <c r="B213" s="120" t="n">
        <f aca="false">E223</f>
        <v>3753.09</v>
      </c>
      <c r="C213" s="125"/>
      <c r="D213" s="120"/>
      <c r="E213" s="121"/>
      <c r="F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3753.09</v>
      </c>
      <c r="F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204</v>
      </c>
      <c r="B225" s="148" t="n">
        <f aca="false">D197/0.1</f>
        <v>180</v>
      </c>
      <c r="C225" s="136"/>
      <c r="D225" s="148"/>
      <c r="E225" s="116"/>
      <c r="F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18.1264421137556</v>
      </c>
      <c r="F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6"/>
      <c r="B243" s="13"/>
      <c r="C243" s="13"/>
      <c r="D243" s="13"/>
      <c r="E243" s="14"/>
      <c r="F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141"/>
      <c r="B244" s="136"/>
      <c r="C244" s="136"/>
      <c r="D244" s="136"/>
      <c r="E244" s="146"/>
      <c r="F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6"/>
      <c r="B245" s="13"/>
      <c r="C245" s="13"/>
      <c r="D245" s="13"/>
      <c r="E245" s="14"/>
      <c r="F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6"/>
      <c r="B246" s="13"/>
      <c r="C246" s="13"/>
      <c r="D246" s="13"/>
      <c r="E246" s="14"/>
      <c r="F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141"/>
      <c r="B247" s="136"/>
      <c r="C247" s="13"/>
      <c r="D247" s="13"/>
      <c r="E247" s="14"/>
      <c r="F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77"/>
      <c r="B248" s="78"/>
      <c r="C248" s="78"/>
      <c r="D248" s="78"/>
      <c r="E248" s="79"/>
      <c r="F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96" colorId="64" zoomScale="75" zoomScaleNormal="75" zoomScalePageLayoutView="100" workbookViewId="0">
      <selection pane="topLeft" activeCell="B220" activeCellId="0" sqref="B220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46854.17</v>
      </c>
      <c r="C3" s="197" t="n">
        <v>0</v>
      </c>
      <c r="D3" s="196" t="n">
        <v>833.33</v>
      </c>
      <c r="E3" s="198" t="n">
        <v>0</v>
      </c>
      <c r="F3" s="171"/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</v>
      </c>
      <c r="C4" s="0" t="n">
        <v>0</v>
      </c>
      <c r="D4" s="0" t="n">
        <v>0</v>
      </c>
      <c r="E4" s="199"/>
      <c r="F4" s="171"/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20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47687.5</v>
      </c>
      <c r="F9" s="171"/>
      <c r="G9" s="20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20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9647.5</v>
      </c>
      <c r="F11" s="171"/>
      <c r="G11" s="20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20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58525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20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27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219</v>
      </c>
      <c r="C30" s="122"/>
      <c r="D30" s="203"/>
      <c r="E30" s="204"/>
      <c r="F30" s="171"/>
      <c r="G30" s="214" t="s">
        <v>41</v>
      </c>
      <c r="H30" s="216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27500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1030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951.531975672137</v>
      </c>
      <c r="E33" s="204"/>
      <c r="F33" s="171"/>
      <c r="G33" s="215" t="s">
        <v>221</v>
      </c>
      <c r="H33" s="22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n">
        <f aca="false">IF(B26="YES", H42, "")</f>
        <v>28.6111111111111</v>
      </c>
      <c r="C36" s="224"/>
      <c r="D36" s="140" t="n">
        <f aca="false">H31</f>
        <v>27500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48877.5</v>
      </c>
      <c r="I39" s="226" t="n">
        <f aca="false">(I48*H46)+H44</f>
        <v>63509.8854689439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</v>
      </c>
      <c r="B40" s="113" t="n">
        <f aca="false">IF(B26="YES",H42,"0")</f>
        <v>28.6111111111111</v>
      </c>
      <c r="C40" s="113"/>
      <c r="D40" s="140" t="n">
        <f aca="false">I32</f>
        <v>1030</v>
      </c>
      <c r="E40" s="204"/>
      <c r="F40" s="171"/>
      <c r="G40" s="171" t="s">
        <v>229</v>
      </c>
      <c r="H40" s="226" t="n">
        <f aca="false">(A40)/1.2</f>
        <v>22916.6666666667</v>
      </c>
      <c r="I40" s="226" t="n">
        <f aca="false">H39-I39</f>
        <v>-14632.3854689439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28.6111111111111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18764.9097705681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236</v>
      </c>
      <c r="B45" s="203"/>
      <c r="C45" s="461" t="s">
        <v>236</v>
      </c>
      <c r="D45" s="461"/>
      <c r="E45" s="204"/>
      <c r="F45" s="171"/>
      <c r="G45" s="171" t="s">
        <v>237</v>
      </c>
      <c r="H45" s="226" t="n">
        <f aca="false">(H39-H44)</f>
        <v>30112.5902294319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922.920864561026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951.531975672137</v>
      </c>
      <c r="I48" s="226" t="n">
        <f aca="false">I49-H42</f>
        <v>1371.38888888889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951.531975672137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1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35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95" t="s">
        <v>23</v>
      </c>
      <c r="N61" s="201" t="n">
        <f aca="false">G18</f>
        <v>57885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6077.925</v>
      </c>
      <c r="C64" s="203" t="n">
        <v>10000</v>
      </c>
      <c r="D64" s="201" t="n">
        <f aca="false">B64-A143</f>
        <v>6077.925</v>
      </c>
      <c r="E64" s="247" t="n">
        <f aca="false">D64/(B58+B57)</f>
        <v>168.83125</v>
      </c>
      <c r="F64" s="171"/>
      <c r="G64" s="234" t="s">
        <v>88</v>
      </c>
      <c r="H64" s="245" t="n">
        <f aca="false">H61*H63</f>
        <v>6077.925</v>
      </c>
      <c r="I64" s="203"/>
      <c r="J64" s="201" t="n">
        <f aca="false">H64-G145</f>
        <v>6077.925</v>
      </c>
      <c r="K64" s="204"/>
      <c r="L64" s="171"/>
      <c r="M64" s="234" t="s">
        <v>88</v>
      </c>
      <c r="N64" s="245" t="n">
        <f aca="false">N61*N63</f>
        <v>6077.925</v>
      </c>
      <c r="O64" s="203"/>
      <c r="P64" s="201" t="n">
        <f aca="false">N64-M145</f>
        <v>6077.925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</f>
        <v>1157.7</v>
      </c>
      <c r="C67" s="203"/>
      <c r="D67" s="201"/>
      <c r="E67" s="204"/>
      <c r="F67" s="171"/>
      <c r="G67" s="234" t="s">
        <v>91</v>
      </c>
      <c r="H67" s="245" t="n">
        <f aca="false">(H61*H66)/1.2</f>
        <v>964.75</v>
      </c>
      <c r="I67" s="203"/>
      <c r="J67" s="201"/>
      <c r="K67" s="204"/>
      <c r="L67" s="171"/>
      <c r="M67" s="234" t="s">
        <v>91</v>
      </c>
      <c r="N67" s="245" t="n">
        <f aca="false">(N61*N66)/1.2</f>
        <v>964.75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01" t="n">
        <f aca="false">B73+B71</f>
        <v>380</v>
      </c>
      <c r="E73" s="204"/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165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355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1083.33333333333</v>
      </c>
      <c r="C76" s="203"/>
      <c r="D76" s="201" t="n">
        <f aca="false">B76</f>
        <v>1083.33333333333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64" t="n">
        <f aca="false">B102/(1-0.1)</f>
        <v>0</v>
      </c>
      <c r="C77" s="203"/>
      <c r="D77" s="201" t="n">
        <f aca="false">B77</f>
        <v>0</v>
      </c>
      <c r="E77" s="247" t="n">
        <f aca="false">D77/(B58+B57)</f>
        <v>0</v>
      </c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03"/>
      <c r="D78" s="201" t="n">
        <f aca="false">B78</f>
        <v>0</v>
      </c>
      <c r="E78" s="247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47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47" t="n">
        <f aca="false">(D73+D76+D79+D80)/(B58+B57)</f>
        <v>51.7592592592593</v>
      </c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7941.25833333333</v>
      </c>
      <c r="C81" s="203"/>
      <c r="D81" s="203"/>
      <c r="E81" s="247"/>
      <c r="F81" s="171"/>
      <c r="G81" s="268" t="s">
        <v>106</v>
      </c>
      <c r="H81" s="269" t="n">
        <f aca="false">SUM(J64:J80)</f>
        <v>7143.675</v>
      </c>
      <c r="I81" s="203"/>
      <c r="J81" s="203"/>
      <c r="K81" s="204"/>
      <c r="L81" s="171"/>
      <c r="M81" s="268" t="s">
        <v>106</v>
      </c>
      <c r="N81" s="269" t="n">
        <f aca="false">SUM(P64:P80)</f>
        <v>6799.925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220.590509259259</v>
      </c>
      <c r="C82" s="203"/>
      <c r="D82" s="203"/>
      <c r="E82" s="247"/>
      <c r="F82" s="171"/>
      <c r="G82" s="195" t="s">
        <v>107</v>
      </c>
      <c r="H82" s="200" t="n">
        <f aca="false">H81/H29</f>
        <v>198.435416666667</v>
      </c>
      <c r="I82" s="203"/>
      <c r="J82" s="203"/>
      <c r="K82" s="204"/>
      <c r="L82" s="171"/>
      <c r="M82" s="195" t="s">
        <v>107</v>
      </c>
      <c r="N82" s="200" t="n">
        <f aca="false">N81/H29</f>
        <v>188.886805555556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922.920864561026</v>
      </c>
      <c r="C83" s="203"/>
      <c r="D83" s="203"/>
      <c r="E83" s="247" t="n">
        <f aca="false">B83+E80+E77+E64</f>
        <v>1143.51137382028</v>
      </c>
      <c r="F83" s="171"/>
      <c r="G83" s="271" t="s">
        <v>108</v>
      </c>
      <c r="H83" s="272" t="n">
        <f aca="false">H47</f>
        <v>922.920864561026</v>
      </c>
      <c r="I83" s="203"/>
      <c r="J83" s="203"/>
      <c r="K83" s="204"/>
      <c r="L83" s="171"/>
      <c r="M83" s="271" t="s">
        <v>108</v>
      </c>
      <c r="N83" s="272" t="n">
        <f aca="false">H47</f>
        <v>922.920864561026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47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((B83*H29)+B81)*1.2</f>
        <v>49399.6913490363</v>
      </c>
      <c r="C85" s="203"/>
      <c r="D85" s="203"/>
      <c r="E85" s="247" t="n">
        <f aca="false">B85/(B58+B57)</f>
        <v>1372.21364858434</v>
      </c>
      <c r="F85" s="171"/>
      <c r="G85" s="228" t="s">
        <v>109</v>
      </c>
      <c r="H85" s="264" t="n">
        <f aca="false">((H83*H29)+H81)*1.2</f>
        <v>48442.5913490363</v>
      </c>
      <c r="I85" s="203"/>
      <c r="J85" s="203"/>
      <c r="K85" s="204"/>
      <c r="L85" s="171"/>
      <c r="M85" s="228" t="s">
        <v>109</v>
      </c>
      <c r="N85" s="264" t="n">
        <f aca="false">((N83*H29)+N81)</f>
        <v>40025.0761241969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((((B83*H29)+B81))/(1-B70))*B70</f>
        <v>348.727147482104</v>
      </c>
      <c r="C86" s="203"/>
      <c r="D86" s="203"/>
      <c r="E86" s="247" t="n">
        <f aca="false">B86/(B58+B57)</f>
        <v>9.68686520783622</v>
      </c>
      <c r="F86" s="171"/>
      <c r="G86" s="195" t="s">
        <v>110</v>
      </c>
      <c r="H86" s="200" t="n">
        <f aca="false">((((H83*H29)+H81))/(1-H70))*H70</f>
        <v>341.970693266694</v>
      </c>
      <c r="I86" s="203"/>
      <c r="J86" s="203"/>
      <c r="K86" s="204"/>
      <c r="L86" s="171"/>
      <c r="M86" s="195" t="s">
        <v>110</v>
      </c>
      <c r="N86" s="200" t="n">
        <f aca="false">(N85/(1-N70))*N70</f>
        <v>339.058732798764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IF(B110="YES",((B85+B86)-E114),(B85+B86))</f>
        <v>49748.4184965184</v>
      </c>
      <c r="C87" s="203"/>
      <c r="D87" s="203"/>
      <c r="E87" s="247" t="n">
        <f aca="false">E86+E85</f>
        <v>1381.90051379218</v>
      </c>
      <c r="F87" s="171"/>
      <c r="G87" s="234" t="s">
        <v>111</v>
      </c>
      <c r="H87" s="245" t="n">
        <f aca="false">IF(H110="YES",((H85+H86)-K114),(H85+H86))</f>
        <v>48784.562042303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40364.1348569957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(D40+(D40*B105))/(B58), (D40+(D40*B105))/(B57+B58))*1.2</f>
        <v>44.6333333333333</v>
      </c>
      <c r="C89" s="203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36.1756097560976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30.1463414634146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1381.90051379218</v>
      </c>
      <c r="C90" s="203"/>
      <c r="D90" s="203"/>
      <c r="E90" s="204"/>
      <c r="F90" s="171"/>
      <c r="G90" s="274" t="s">
        <v>112</v>
      </c>
      <c r="H90" s="275" t="n">
        <f aca="false">IF(H99=Y98, (H87-J105)/(H58), H87/(H57+H58))</f>
        <v>1189.86736688544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984.491094073066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1426.53384712551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1226.04297664154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1014.63743553648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118</v>
      </c>
      <c r="C99" s="110"/>
      <c r="D99" s="113" t="n">
        <v>1000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239.99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27</v>
      </c>
      <c r="B105" s="114" t="n">
        <v>0.3</v>
      </c>
      <c r="C105" s="114"/>
      <c r="D105" s="113" t="n">
        <v>200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239.99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((E118/1.2)+E117)-(D115-E113)</f>
        <v>-800.008333333333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1189.86736688544</v>
      </c>
      <c r="H127" s="286" t="n">
        <f aca="false">IF(G105="YES", H89*H57, 0)</f>
        <v>217.053658536585</v>
      </c>
      <c r="I127" s="286"/>
      <c r="J127" s="134" t="n">
        <f aca="false">H91</f>
        <v>1226.04297664154</v>
      </c>
      <c r="K127" s="204"/>
      <c r="L127" s="171"/>
      <c r="M127" s="132" t="n">
        <f aca="false">N90</f>
        <v>984.491094073066</v>
      </c>
      <c r="N127" s="286" t="n">
        <f aca="false">IF(M105="YES", N89*N57, 0)</f>
        <v>180.878048780488</v>
      </c>
      <c r="O127" s="286"/>
      <c r="P127" s="286" t="n">
        <f aca="false">N91</f>
        <v>1014.63743553648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1381.90051379218</v>
      </c>
      <c r="B128" s="120" t="n">
        <f aca="false">IF(A105="YES", B89, 0)</f>
        <v>44.6333333333333</v>
      </c>
      <c r="C128" s="125"/>
      <c r="D128" s="120" t="n">
        <f aca="false">B91</f>
        <v>1426.53384712551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35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35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 Monthly in advance </v>
      </c>
      <c r="B131" s="136" t="n">
        <f aca="false">B90*B57</f>
        <v>1381.90051379218</v>
      </c>
      <c r="C131" s="13"/>
      <c r="D131" s="136" t="n">
        <f aca="false">IF(A105="YES", B89*B57, 0)</f>
        <v>44.6333333333333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217.053658536585</v>
      </c>
      <c r="I133" s="224"/>
      <c r="J133" s="140" t="n">
        <f aca="false">H91*H57</f>
        <v>7356.25785984922</v>
      </c>
      <c r="K133" s="204"/>
      <c r="L133" s="171"/>
      <c r="M133" s="139" t="n">
        <f aca="false">N90*N57</f>
        <v>5906.94656443839</v>
      </c>
      <c r="N133" s="164" t="n">
        <f aca="false">IF(M105="YES", N89*N57, 0)</f>
        <v>180.878048780488</v>
      </c>
      <c r="O133" s="224"/>
      <c r="P133" s="140" t="n">
        <f aca="false">N91*N57</f>
        <v>6087.82461321888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1426.53384712551</v>
      </c>
      <c r="B134" s="136" t="n">
        <f aca="false">E114</f>
        <v>4000</v>
      </c>
      <c r="C134" s="13"/>
      <c r="D134" s="142" t="n">
        <f aca="false">B58</f>
        <v>35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1381.90051379218</v>
      </c>
      <c r="B137" s="136" t="n">
        <f aca="false">IF(A105="YES", B89, 0)</f>
        <v>44.6333333333333</v>
      </c>
      <c r="C137" s="13"/>
      <c r="D137" s="136" t="n">
        <f aca="false">B91</f>
        <v>1426.53384712551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((B36*H105)*0.1)*(G130), 0)</f>
        <v>20.6</v>
      </c>
      <c r="H142" s="164" t="n">
        <f aca="false">G102-100</f>
        <v>99.99</v>
      </c>
      <c r="I142" s="164"/>
      <c r="J142" s="164" t="n">
        <f aca="false">(H139+J139+G142+H142)-H145</f>
        <v>1085.34</v>
      </c>
      <c r="K142" s="146"/>
      <c r="L142" s="171"/>
      <c r="M142" s="141" t="n">
        <f aca="false">IF(M105="YES", ((B36*N105)*0.1)*(M130), 0)</f>
        <v>20.6</v>
      </c>
      <c r="N142" s="164" t="n">
        <f aca="false">M102-100</f>
        <v>99.99</v>
      </c>
      <c r="O142" s="164"/>
      <c r="P142" s="164" t="n">
        <f aca="false">(N139+P139+M142+N142)-N145</f>
        <v>1085.34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41" t="n">
        <v>0</v>
      </c>
      <c r="N145" s="164" t="n">
        <f aca="false">(N139+P139+M142+N142)*(M145/N64)</f>
        <v>0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1157.7</v>
      </c>
      <c r="B148" s="136" t="n">
        <f aca="false">B102</f>
        <v>0</v>
      </c>
      <c r="C148" s="136"/>
      <c r="D148" s="136" t="n">
        <f aca="false">IF(A105="YES", (B40*B105)*B125, 0)*0.1</f>
        <v>30.9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E118/1.2-100</f>
        <v>99.9916666666667</v>
      </c>
      <c r="B151" s="136" t="n">
        <f aca="false">(A148+B148+D148+A151)*(A143/B64)</f>
        <v>0</v>
      </c>
      <c r="C151" s="136"/>
      <c r="D151" s="136" t="n">
        <f aca="false">(A148+B148+D148+A151)-B151</f>
        <v>1288.59166666667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1226.04297664154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1014.63743553648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1426.53384712551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1381.90051379218</v>
      </c>
      <c r="B177" s="160" t="n">
        <f aca="false">IF(A105="YES", B89, 0)</f>
        <v>44.6333333333333</v>
      </c>
      <c r="C177" s="162"/>
      <c r="D177" s="160" t="n">
        <f aca="false">B91</f>
        <v>1426.53384712551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 Monthly in advance </v>
      </c>
      <c r="B180" s="164" t="n">
        <f aca="false">B90*B57</f>
        <v>1381.90051379218</v>
      </c>
      <c r="C180" s="31"/>
      <c r="D180" s="164" t="n">
        <f aca="false">IF(A105="YES", B89*B57, 0)</f>
        <v>44.6333333333333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1426.53384712551</v>
      </c>
      <c r="B183" s="164" t="n">
        <f aca="false">E114</f>
        <v>4000</v>
      </c>
      <c r="C183" s="31"/>
      <c r="D183" s="166" t="n">
        <f aca="false">B58</f>
        <v>35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1381.90051379218</v>
      </c>
      <c r="B186" s="164" t="n">
        <f aca="false">IF(A105="YES", B89, 0)</f>
        <v>44.6333333333333</v>
      </c>
      <c r="C186" s="31"/>
      <c r="D186" s="164" t="n">
        <f aca="false">B91</f>
        <v>1426.53384712551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239.99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1157.7</v>
      </c>
      <c r="B197" s="164" t="n">
        <f aca="false">B102</f>
        <v>0</v>
      </c>
      <c r="C197" s="164"/>
      <c r="D197" s="164" t="n">
        <f aca="false">IF(A105="YES", (B40*B105)*B125, 0)*0.1</f>
        <v>30.9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(E118/1.2)-100</f>
        <v>99.9916666666667</v>
      </c>
      <c r="B200" s="164" t="n">
        <f aca="false">(A148+B148+D148+A151)*(A143/B64)</f>
        <v>0</v>
      </c>
      <c r="C200" s="164"/>
      <c r="D200" s="164" t="n">
        <f aca="false">(A148+B148+D148+A151)-B151</f>
        <v>1288.59166666667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1157.7</v>
      </c>
      <c r="C211" s="119" t="s">
        <v>198</v>
      </c>
      <c r="D211" s="173" t="n">
        <f aca="false">B225+E221+B221+B223</f>
        <v>408.991666666667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5329.21666666667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6077.925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</f>
        <v>1157.7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B77-(B77*(E219*100))*0.1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5329.21666666667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309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348.727147482104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  <dataValidation allowBlank="true" errorStyle="stop" operator="between" showDropDown="false" showErrorMessage="true" showInputMessage="false" sqref="B26" type="list">
      <formula1>'Formula1-PCH'!$I$3:$I$4</formula1>
      <formula2>0</formula2>
    </dataValidation>
    <dataValidation allowBlank="true" errorStyle="stop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4" colorId="64" zoomScale="75" zoomScaleNormal="75" zoomScalePageLayoutView="100" workbookViewId="0">
      <selection pane="topLeft" activeCell="B97" activeCellId="0" sqref="B97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18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44952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n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n">
        <v>500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50</v>
      </c>
      <c r="B41" s="58" t="n">
        <f aca="false">IF(B38="YES", D38+A41, D38)</f>
        <v>550</v>
      </c>
      <c r="C41" s="58"/>
      <c r="D41" s="45" t="n">
        <v>6000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12</v>
      </c>
      <c r="B44" s="45" t="n">
        <v>1</v>
      </c>
      <c r="C44" s="45"/>
      <c r="D44" s="45" t="n">
        <v>1</v>
      </c>
      <c r="E44" s="45"/>
      <c r="F44" s="171"/>
      <c r="G44" s="171" t="s">
        <v>332</v>
      </c>
      <c r="H44" s="226" t="n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48" t="n">
        <v>0.01</v>
      </c>
      <c r="C47" s="448"/>
      <c r="D47" s="45" t="n">
        <v>1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 t="s">
        <v>355</v>
      </c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213" t="s">
        <v>28</v>
      </c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356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240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12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11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/>
      <c r="D70" s="201" t="n">
        <f aca="false">B70-A151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10814.7942718838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((H44*B35)+((H44*B35)*B111))/(B63+B64)</f>
        <v>31.304347826087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IF(B105=Y104, (B93-D111)/(B64), B93/(B63+B64))</f>
        <v>470.208446603645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501.512794429732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 t="s">
        <v>123</v>
      </c>
      <c r="B105" s="110" t="s">
        <v>125</v>
      </c>
      <c r="C105" s="110"/>
      <c r="D105" s="111" t="n">
        <v>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4" t="n">
        <v>0.2</v>
      </c>
      <c r="C111" s="114"/>
      <c r="D111" s="113" t="n">
        <v>200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/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28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0</v>
      </c>
      <c r="E118" s="113" t="n">
        <v>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0</v>
      </c>
      <c r="E119" s="113" t="n">
        <v>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0</v>
      </c>
      <c r="E120" s="116" t="n">
        <f aca="false">E118-E119</f>
        <v>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199.99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195"/>
      <c r="B129" s="203"/>
      <c r="C129" s="203"/>
      <c r="D129" s="203"/>
      <c r="E129" s="20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95" t="s">
        <v>148</v>
      </c>
      <c r="B130" s="122" t="n">
        <v>1200</v>
      </c>
      <c r="C130" s="122"/>
      <c r="D130" s="203"/>
      <c r="E130" s="204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95"/>
      <c r="B131" s="203"/>
      <c r="C131" s="203"/>
      <c r="D131" s="203"/>
      <c r="E131" s="20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95" t="s">
        <v>81</v>
      </c>
      <c r="B132" s="203" t="s">
        <v>82</v>
      </c>
      <c r="C132" s="203"/>
      <c r="D132" s="203" t="s">
        <v>85</v>
      </c>
      <c r="E132" s="204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46" t="n">
        <f aca="false">A158</f>
        <v>12</v>
      </c>
      <c r="B133" s="126" t="n">
        <f aca="false">B157</f>
        <v>5000</v>
      </c>
      <c r="C133" s="48"/>
      <c r="D133" s="126" t="n">
        <f aca="false">B64</f>
        <v>11</v>
      </c>
      <c r="E133" s="204"/>
      <c r="F133" s="171"/>
      <c r="G133" s="46" t="n">
        <f aca="false">G158</f>
        <v>12</v>
      </c>
      <c r="H133" s="126" t="n">
        <f aca="false">B157</f>
        <v>5000</v>
      </c>
      <c r="I133" s="48"/>
      <c r="J133" s="126" t="n">
        <f aca="false">B64</f>
        <v>11</v>
      </c>
      <c r="K133" s="204"/>
      <c r="L133" s="171"/>
      <c r="M133" s="46" t="n">
        <f aca="false">M161</f>
        <v>12</v>
      </c>
      <c r="N133" s="126" t="n">
        <f aca="false">B157</f>
        <v>5000</v>
      </c>
      <c r="O133" s="48"/>
      <c r="P133" s="126" t="n">
        <f aca="false">B64</f>
        <v>11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95"/>
      <c r="B134" s="203"/>
      <c r="C134" s="203"/>
      <c r="D134" s="203"/>
      <c r="E134" s="20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284" t="s">
        <v>154</v>
      </c>
      <c r="B135" s="285" t="s">
        <v>155</v>
      </c>
      <c r="C135" s="285"/>
      <c r="D135" s="285" t="s">
        <v>113</v>
      </c>
      <c r="E135" s="20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2" t="n">
        <f aca="false">B96</f>
        <v>470.208446603645</v>
      </c>
      <c r="B136" s="286" t="n">
        <f aca="false">IF(A111="YES", B95*B63, 0)</f>
        <v>375.652173913043</v>
      </c>
      <c r="C136" s="286"/>
      <c r="D136" s="286" t="n">
        <f aca="false">B97</f>
        <v>501.512794429732</v>
      </c>
      <c r="E136" s="20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95"/>
      <c r="B137" s="203"/>
      <c r="C137" s="203"/>
      <c r="D137" s="203"/>
      <c r="E137" s="20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195" t="s">
        <v>161</v>
      </c>
      <c r="B138" s="203" t="s">
        <v>162</v>
      </c>
      <c r="C138" s="203"/>
      <c r="D138" s="203" t="s">
        <v>163</v>
      </c>
      <c r="E138" s="20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39" t="n">
        <f aca="false">B96*B63</f>
        <v>5642.50135924373</v>
      </c>
      <c r="B139" s="164" t="n">
        <f aca="false">IF(A111="YES", B95*B63, 0)</f>
        <v>375.652173913043</v>
      </c>
      <c r="C139" s="224"/>
      <c r="D139" s="140" t="n">
        <f aca="false">B97*B63</f>
        <v>6018.15353315678</v>
      </c>
      <c r="E139" s="20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95"/>
      <c r="B140" s="203"/>
      <c r="C140" s="203"/>
      <c r="D140" s="203"/>
      <c r="E140" s="20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95" t="s">
        <v>170</v>
      </c>
      <c r="B141" s="203" t="s">
        <v>171</v>
      </c>
      <c r="C141" s="203"/>
      <c r="D141" s="203" t="s">
        <v>172</v>
      </c>
      <c r="E141" s="20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1" t="n">
        <f aca="false">E15*0.000006</f>
        <v>0.35115</v>
      </c>
      <c r="B142" s="164" t="n">
        <f aca="false">IF(A111="YES", E15*0.000002, 0)</f>
        <v>0.11705</v>
      </c>
      <c r="C142" s="164"/>
      <c r="D142" s="164" t="n">
        <f aca="false">A142+B142</f>
        <v>0.4682</v>
      </c>
      <c r="E142" s="146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95"/>
      <c r="B143" s="203"/>
      <c r="C143" s="203"/>
      <c r="D143" s="203"/>
      <c r="E143" s="20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95" t="s">
        <v>176</v>
      </c>
      <c r="B144" s="203" t="s">
        <v>174</v>
      </c>
      <c r="C144" s="203"/>
      <c r="D144" s="203" t="s">
        <v>175</v>
      </c>
      <c r="E144" s="20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1" t="n">
        <f aca="false">A108</f>
        <v>199.99</v>
      </c>
      <c r="B145" s="164" t="n">
        <f aca="false">B73/1.2</f>
        <v>482.375</v>
      </c>
      <c r="C145" s="164"/>
      <c r="D145" s="164" t="n">
        <f aca="false">B108*0.9</f>
        <v>0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95"/>
      <c r="B146" s="203"/>
      <c r="C146" s="203"/>
      <c r="D146" s="203"/>
      <c r="E146" s="20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95" t="s">
        <v>179</v>
      </c>
      <c r="B147" s="203" t="s">
        <v>180</v>
      </c>
      <c r="C147" s="203"/>
      <c r="D147" s="203" t="s">
        <v>181</v>
      </c>
      <c r="E147" s="20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IF(A111="YES", ((A41*B111)*0.1)*(A133), 0)</f>
        <v>12</v>
      </c>
      <c r="B148" s="164" t="n">
        <f aca="false">A108-100</f>
        <v>99.99</v>
      </c>
      <c r="C148" s="164"/>
      <c r="D148" s="164" t="n">
        <f aca="false">(B145+D145+A148+B148)-B151</f>
        <v>594.365</v>
      </c>
      <c r="E148" s="146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95"/>
      <c r="B149" s="203"/>
      <c r="C149" s="203"/>
      <c r="D149" s="203"/>
      <c r="E149" s="20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95" t="s">
        <v>183</v>
      </c>
      <c r="B150" s="203" t="s">
        <v>184</v>
      </c>
      <c r="C150" s="203"/>
      <c r="D150" s="203"/>
      <c r="E150" s="20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v>0</v>
      </c>
      <c r="B151" s="164" t="n">
        <f aca="false">(B145+D145+A148+B148)*(A151/B70)</f>
        <v>0</v>
      </c>
      <c r="C151" s="203"/>
      <c r="D151" s="203"/>
      <c r="E151" s="204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95"/>
      <c r="B152" s="203"/>
      <c r="C152" s="203"/>
      <c r="D152" s="203"/>
      <c r="E152" s="20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195"/>
      <c r="B153" s="203"/>
      <c r="C153" s="203"/>
      <c r="D153" s="203"/>
      <c r="E153" s="20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237" t="s">
        <v>191</v>
      </c>
      <c r="B154" s="203"/>
      <c r="C154" s="203"/>
      <c r="D154" s="238"/>
      <c r="E154" s="239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195"/>
      <c r="B155" s="241"/>
      <c r="C155" s="241"/>
      <c r="D155" s="203"/>
      <c r="E155" s="20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7" t="s">
        <v>81</v>
      </c>
      <c r="B156" s="68" t="s">
        <v>82</v>
      </c>
      <c r="C156" s="68"/>
      <c r="D156" s="203"/>
      <c r="E156" s="20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7"/>
      <c r="B157" s="69" t="n">
        <f aca="false">B57</f>
        <v>5000</v>
      </c>
      <c r="C157" s="69"/>
      <c r="D157" s="203"/>
      <c r="E157" s="204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70" t="n">
        <f aca="false">A58</f>
        <v>12</v>
      </c>
      <c r="B158" s="71" t="n">
        <f aca="false">B97</f>
        <v>501.512794429732</v>
      </c>
      <c r="C158" s="71"/>
      <c r="D158" s="203"/>
      <c r="E158" s="20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195"/>
      <c r="B159" s="203"/>
      <c r="C159" s="203"/>
      <c r="D159" s="203"/>
      <c r="E159" s="20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95"/>
      <c r="B160" s="203"/>
      <c r="C160" s="203"/>
      <c r="D160" s="203"/>
      <c r="E160" s="20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195"/>
      <c r="B161" s="203"/>
      <c r="C161" s="203"/>
      <c r="D161" s="203"/>
      <c r="E161" s="20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195"/>
      <c r="B162" s="203"/>
      <c r="C162" s="203"/>
      <c r="D162" s="203"/>
      <c r="E162" s="20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234"/>
      <c r="B163" s="235"/>
      <c r="C163" s="235"/>
      <c r="D163" s="235"/>
      <c r="E163" s="236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57" colorId="64" zoomScale="75" zoomScaleNormal="75" zoomScalePageLayoutView="100" workbookViewId="0">
      <selection pane="topLeft" activeCell="B85" activeCellId="0" sqref="B85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62" t="n">
        <v>0</v>
      </c>
      <c r="C4" s="462" t="n">
        <v>0</v>
      </c>
      <c r="D4" s="46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(B3*B4)+B5</f>
        <v>0</v>
      </c>
      <c r="C6" s="201" t="n">
        <f aca="false">(C3*C4)+C5</f>
        <v>0</v>
      </c>
      <c r="D6" s="201" t="n">
        <f aca="false">(D3*D4)+D5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44952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IF(A32=Z101,D38,IF(A32=Z102,D38,IF(A32=Z103,(D38*3),IF(A32=Z104,(D38*6),IF(A32=Z105,(D38*9),IF(A32=Z106,(D38*12),IF(A32=Z107,D38,IF(A32=Z108,D38,IF(A32=Z109,D38,0)))))))))</f>
        <v>500</v>
      </c>
      <c r="C32" s="407"/>
      <c r="D32" s="407" t="n">
        <f aca="false">IF(A32=Z101,A41,IF(A32=Z102,A41,IF(A32=Z103,(A41*3),IF(A32=Z104,(A41*6),IF(A32=Z105,(A41*9),IF(A32=Z106,(A41*12),IF(A32=Z107,A41,IF(A32=Z108,A41,IF(A32=Z109,A41,0)))))))))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/>
      <c r="H33" s="21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28</v>
      </c>
      <c r="C38" s="40"/>
      <c r="D38" s="45" t="n">
        <v>500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176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n">
        <f aca="false">IF(B38="YES", D38+A41, D38)</f>
        <v>500</v>
      </c>
      <c r="C41" s="58"/>
      <c r="D41" s="45" t="n">
        <v>12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170</v>
      </c>
      <c r="B43" s="62" t="s">
        <v>171</v>
      </c>
      <c r="C43" s="48"/>
      <c r="D43" s="62" t="s">
        <v>172</v>
      </c>
      <c r="E43" s="64"/>
      <c r="F43" s="171"/>
      <c r="G43" s="171" t="s">
        <v>331</v>
      </c>
      <c r="H43" s="226" t="n">
        <f aca="false">(((D38*(B35-1))+B32)/B35) + (D41/B35)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1"/>
      <c r="G44" s="171" t="s">
        <v>332</v>
      </c>
      <c r="H44" s="226" t="n">
        <f aca="false">((A41*(B35-1))+D32)/B35</f>
        <v>0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45" t="s">
        <v>356</v>
      </c>
      <c r="B46" s="48"/>
      <c r="C46" s="48"/>
      <c r="D46" s="48"/>
      <c r="E46" s="64"/>
      <c r="F46" s="171"/>
      <c r="G46" s="171" t="s">
        <v>336</v>
      </c>
      <c r="H46" s="226" t="n">
        <f aca="false">H43</f>
        <v>501</v>
      </c>
      <c r="I46" s="226" t="s">
        <v>76</v>
      </c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/>
      <c r="H49" s="242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IF(B99=Z101,1,IF(B99=Z102,1,IF(B99=Z103,3,IF(B99=Z104,6,IF(B99=Z105,9,IF(B99=Z106,12,IF(B99=Z107,3,IF(B99=Z108,6,IF(B99=Z109,9,0)))))))))</f>
        <v>9</v>
      </c>
      <c r="C57" s="203"/>
      <c r="D57" s="203"/>
      <c r="E57" s="204"/>
      <c r="F57" s="171"/>
      <c r="G57" s="195" t="s">
        <v>84</v>
      </c>
      <c r="H57" s="203" t="n">
        <f aca="false">IF(H99=Z101,1,IF(H99=Z102,1,IF(H99=Z103,3,IF(H99=Z104,6,IF(H99=Z105,9,IF(H99=Z106,12,IF(H99=Z107,3,IF(H99=Z108,6,IF(H99=Z109,9,0)))))))))</f>
        <v>1</v>
      </c>
      <c r="I57" s="203"/>
      <c r="J57" s="203"/>
      <c r="K57" s="20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IF(B99=Z101,H29-B57,IF(B99=Z102,H29-B57,IF(B99=Z103,H29-1,IF(B99=Z104,H29-1,IF(B99=Z105,H29-1,IF(B99=Z106,H29-1,IF(B99=Z107,H29-B57,IF(B99=Z108,H29-B57,IF(B99=Z109,H29-B57,0)))))))))</f>
        <v>3</v>
      </c>
      <c r="C58" s="203" t="s">
        <v>357</v>
      </c>
      <c r="D58" s="203"/>
      <c r="E58" s="204"/>
      <c r="F58" s="171"/>
      <c r="G58" s="195" t="s">
        <v>85</v>
      </c>
      <c r="H58" s="203" t="n">
        <f aca="false">IF(H99=Z101,H29-H57,IF(H99=Z102,H29-H57,IF(H99=Z103,H29-1,IF(H99=Z104,H29-1,IF(H99=Z105,H29-1,IF(H99=Z106,H29-1,IF(H99=Z107,H29-H57,IF(H99=Z108,H29-H57,IF(H99=Z109,H29-H57,0)))))))))</f>
        <v>11</v>
      </c>
      <c r="I58" s="203"/>
      <c r="J58" s="203"/>
      <c r="K58" s="20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0.07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0.07</v>
      </c>
      <c r="I63" s="203"/>
      <c r="J63" s="203"/>
      <c r="K63" s="20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4051.95</v>
      </c>
      <c r="C64" s="203" t="n">
        <v>10000</v>
      </c>
      <c r="D64" s="201" t="n">
        <f aca="false">B64</f>
        <v>4051.95</v>
      </c>
      <c r="E64" s="204"/>
      <c r="F64" s="171"/>
      <c r="G64" s="234" t="s">
        <v>88</v>
      </c>
      <c r="H64" s="245" t="n">
        <f aca="false">H61*H63</f>
        <v>4051.95</v>
      </c>
      <c r="I64" s="203"/>
      <c r="J64" s="201" t="n">
        <f aca="false">H64</f>
        <v>4051.95</v>
      </c>
      <c r="K64" s="20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0.005</v>
      </c>
      <c r="I65" s="203"/>
      <c r="J65" s="203"/>
      <c r="K65" s="20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0.01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0.005</v>
      </c>
      <c r="I66" s="203"/>
      <c r="J66" s="203"/>
      <c r="K66" s="20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B61*B66</f>
        <v>578.85</v>
      </c>
      <c r="C67" s="203"/>
      <c r="D67" s="201"/>
      <c r="E67" s="204"/>
      <c r="F67" s="171"/>
      <c r="G67" s="234" t="s">
        <v>91</v>
      </c>
      <c r="H67" s="245" t="n">
        <f aca="false">H61*H66</f>
        <v>289.425</v>
      </c>
      <c r="I67" s="203"/>
      <c r="J67" s="201"/>
      <c r="K67" s="20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60</v>
      </c>
      <c r="C73" s="203"/>
      <c r="D73" s="201" t="n">
        <f aca="false">B73+B71</f>
        <v>260</v>
      </c>
      <c r="E73" s="204"/>
      <c r="F73" s="171"/>
      <c r="G73" s="234" t="s">
        <v>97</v>
      </c>
      <c r="H73" s="245" t="n">
        <f aca="false">H72*H29</f>
        <v>54</v>
      </c>
      <c r="I73" s="203"/>
      <c r="J73" s="201" t="n">
        <f aca="false">H73+H71</f>
        <v>214</v>
      </c>
      <c r="K73" s="20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0</v>
      </c>
      <c r="C74" s="203"/>
      <c r="D74" s="203"/>
      <c r="E74" s="204"/>
      <c r="F74" s="171"/>
      <c r="G74" s="243" t="s">
        <v>98</v>
      </c>
      <c r="H74" s="255" t="n">
        <v>150</v>
      </c>
      <c r="I74" s="203"/>
      <c r="J74" s="203"/>
      <c r="K74" s="20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0</v>
      </c>
      <c r="C75" s="203" t="n">
        <f aca="false">IF(G18&gt;40000, 325, 0)</f>
        <v>325</v>
      </c>
      <c r="D75" s="203"/>
      <c r="E75" s="204"/>
      <c r="F75" s="171"/>
      <c r="G75" s="193" t="s">
        <v>99</v>
      </c>
      <c r="H75" s="256" t="n">
        <f aca="false">IF(G18&gt;40000, 325, 0)</f>
        <v>325</v>
      </c>
      <c r="I75" s="203"/>
      <c r="J75" s="203"/>
      <c r="K75" s="20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39.5833333333333</v>
      </c>
      <c r="I76" s="203"/>
      <c r="J76" s="201" t="n">
        <f aca="false">H76</f>
        <v>39.5833333333333</v>
      </c>
      <c r="K76" s="20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55" t="n">
        <f aca="false">B102</f>
        <v>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f aca="false">H102</f>
        <v>1200</v>
      </c>
      <c r="I77" s="203"/>
      <c r="J77" s="201" t="n">
        <f aca="false">H77</f>
        <v>1200</v>
      </c>
      <c r="K77" s="20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f aca="false">J102</f>
        <v>0</v>
      </c>
      <c r="I78" s="203"/>
      <c r="J78" s="201" t="n">
        <f aca="false">H78</f>
        <v>0</v>
      </c>
      <c r="K78" s="20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100</v>
      </c>
      <c r="I79" s="203"/>
      <c r="J79" s="201" t="n">
        <f aca="false">H79</f>
        <v>100</v>
      </c>
      <c r="K79" s="20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100</v>
      </c>
      <c r="I80" s="203"/>
      <c r="J80" s="201" t="n">
        <f aca="false">H80</f>
        <v>100</v>
      </c>
      <c r="K80" s="20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4711.95</v>
      </c>
      <c r="C81" s="203"/>
      <c r="D81" s="203"/>
      <c r="E81" s="204"/>
      <c r="F81" s="171"/>
      <c r="G81" s="268" t="s">
        <v>106</v>
      </c>
      <c r="H81" s="269" t="n">
        <f aca="false">SUM(J64:J80)</f>
        <v>5705.53333333333</v>
      </c>
      <c r="I81" s="203"/>
      <c r="J81" s="203"/>
      <c r="K81" s="20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392.6625</v>
      </c>
      <c r="C82" s="203"/>
      <c r="D82" s="203"/>
      <c r="E82" s="204"/>
      <c r="F82" s="171"/>
      <c r="G82" s="195" t="s">
        <v>107</v>
      </c>
      <c r="H82" s="200" t="n">
        <f aca="false">H81/H29</f>
        <v>475.461111111111</v>
      </c>
      <c r="I82" s="203"/>
      <c r="J82" s="203"/>
      <c r="K82" s="20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H46</f>
        <v>501</v>
      </c>
      <c r="C83" s="203"/>
      <c r="D83" s="203"/>
      <c r="E83" s="204"/>
      <c r="F83" s="171"/>
      <c r="G83" s="271" t="s">
        <v>108</v>
      </c>
      <c r="H83" s="272" t="n">
        <f aca="false">H46</f>
        <v>501</v>
      </c>
      <c r="I83" s="203"/>
      <c r="J83" s="203"/>
      <c r="K83" s="20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((B83*(H29)+B81))*1.2</f>
        <v>12868.74</v>
      </c>
      <c r="C85" s="203"/>
      <c r="D85" s="203"/>
      <c r="E85" s="204"/>
      <c r="F85" s="171"/>
      <c r="G85" s="228" t="s">
        <v>109</v>
      </c>
      <c r="H85" s="264" t="n">
        <f aca="false">((H83*(H27+H28))+H81)*1.2</f>
        <v>14061.04</v>
      </c>
      <c r="I85" s="203"/>
      <c r="J85" s="203"/>
      <c r="K85" s="20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(((B83*(H29))+B81)/(1-B70))*B70</f>
        <v>90.8442718838241</v>
      </c>
      <c r="C86" s="203"/>
      <c r="D86" s="203"/>
      <c r="E86" s="204"/>
      <c r="F86" s="171"/>
      <c r="G86" s="195" t="s">
        <v>110</v>
      </c>
      <c r="H86" s="200" t="n">
        <f aca="false">(((H83*(H27+H28))+H81)/(1-H70))*H70</f>
        <v>99.2610730133118</v>
      </c>
      <c r="I86" s="203"/>
      <c r="J86" s="203"/>
      <c r="K86" s="20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IF(B110="YES",((B85+B86)-E114),((B85+B86)))</f>
        <v>8959.58427188382</v>
      </c>
      <c r="C87" s="203"/>
      <c r="D87" s="203"/>
      <c r="E87" s="204"/>
      <c r="F87" s="171"/>
      <c r="G87" s="234" t="s">
        <v>111</v>
      </c>
      <c r="H87" s="245" t="n">
        <f aca="false">IF(H110="YES",((H85+H86)-A151-K114),((H85+H86)-A151))</f>
        <v>14060.3110730133</v>
      </c>
      <c r="I87" s="203"/>
      <c r="J87" s="203"/>
      <c r="K87" s="20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463" t="n">
        <f aca="false">IF(B99=Z102,(((H44*B35)+(H44*B35)*(B105/100))/(B58))*1.2,(((H44*B35)+(H44*B35)*(B105/100))/(B57+B58))*1.2)</f>
        <v>0</v>
      </c>
      <c r="C89" s="203"/>
      <c r="D89" s="203"/>
      <c r="E89" s="204"/>
      <c r="F89" s="171"/>
      <c r="G89" s="268" t="s">
        <v>67</v>
      </c>
      <c r="H89" s="269" t="n">
        <f aca="false">(A41+(A41*H105))*1.2</f>
        <v>0</v>
      </c>
      <c r="I89" s="203"/>
      <c r="J89" s="203"/>
      <c r="K89" s="20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IF(B99=Z102, (B87-D105)/(B58), B87/(B57+B58))</f>
        <v>746.632022656985</v>
      </c>
      <c r="C90" s="203"/>
      <c r="D90" s="203"/>
      <c r="E90" s="204"/>
      <c r="F90" s="171"/>
      <c r="G90" s="274" t="s">
        <v>112</v>
      </c>
      <c r="H90" s="275" t="n">
        <f aca="false">IF(H99=AE98, (H87-J105)/(H58), H87/(H57+H58))</f>
        <v>1171.69258941778</v>
      </c>
      <c r="I90" s="203"/>
      <c r="J90" s="203"/>
      <c r="K90" s="20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746.632022656985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1171.69258941778</v>
      </c>
      <c r="I91" s="203"/>
      <c r="J91" s="203"/>
      <c r="K91" s="20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</v>
      </c>
      <c r="E99" s="113"/>
      <c r="F99" s="171"/>
      <c r="G99" s="212" t="s">
        <v>123</v>
      </c>
      <c r="H99" s="110" t="s">
        <v>118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118</v>
      </c>
      <c r="AA101" s="171"/>
    </row>
    <row r="102" customFormat="false" ht="18.75" hidden="false" customHeight="true" outlineLevel="0" collapsed="false">
      <c r="A102" s="112" t="n">
        <f aca="false">199.99*1.2</f>
        <v>239.988</v>
      </c>
      <c r="B102" s="113" t="n">
        <v>0</v>
      </c>
      <c r="C102" s="113"/>
      <c r="D102" s="113" t="n">
        <v>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121</v>
      </c>
      <c r="AA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126</v>
      </c>
      <c r="AA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127</v>
      </c>
      <c r="AA104" s="171"/>
    </row>
    <row r="105" customFormat="false" ht="18.75" hidden="false" customHeight="true" outlineLevel="0" collapsed="false">
      <c r="A105" s="213" t="s">
        <v>28</v>
      </c>
      <c r="B105" s="110" t="n">
        <v>0</v>
      </c>
      <c r="C105" s="110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131</v>
      </c>
      <c r="AA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125</v>
      </c>
      <c r="AA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124</v>
      </c>
      <c r="AA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135</v>
      </c>
      <c r="AA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137</v>
      </c>
    </row>
    <row r="110" customFormat="false" ht="18.75" hidden="false" customHeight="true" outlineLevel="0" collapsed="false">
      <c r="A110" s="195" t="s">
        <v>140</v>
      </c>
      <c r="B110" s="213" t="s">
        <v>27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5000</v>
      </c>
      <c r="K115" s="20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239.988</v>
      </c>
      <c r="F118" s="171"/>
      <c r="G118" s="195" t="s">
        <v>54</v>
      </c>
      <c r="H118" s="203"/>
      <c r="I118" s="203"/>
      <c r="J118" s="203"/>
      <c r="K118" s="20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-2760.012</v>
      </c>
      <c r="F119" s="171"/>
      <c r="G119" s="283" t="s">
        <v>146</v>
      </c>
      <c r="H119" s="235"/>
      <c r="I119" s="235"/>
      <c r="J119" s="235"/>
      <c r="K119" s="24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195"/>
      <c r="H125" s="203"/>
      <c r="I125" s="203"/>
      <c r="J125" s="203"/>
      <c r="K125" s="20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195" t="s">
        <v>81</v>
      </c>
      <c r="H126" s="203" t="s">
        <v>82</v>
      </c>
      <c r="I126" s="203"/>
      <c r="J126" s="203" t="s">
        <v>85</v>
      </c>
      <c r="K126" s="20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20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746.632022656985</v>
      </c>
      <c r="B128" s="120" t="n">
        <f aca="false">IF(A105="YES", B89, 0)</f>
        <v>0</v>
      </c>
      <c r="C128" s="191"/>
      <c r="D128" s="120" t="n">
        <f aca="false">B91</f>
        <v>746.632022656985</v>
      </c>
      <c r="E128" s="121"/>
      <c r="F128" s="171"/>
      <c r="G128" s="195"/>
      <c r="H128" s="203"/>
      <c r="I128" s="203"/>
      <c r="J128" s="203"/>
      <c r="K128" s="20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284" t="s">
        <v>151</v>
      </c>
      <c r="H129" s="285" t="s">
        <v>152</v>
      </c>
      <c r="I129" s="285"/>
      <c r="J129" s="285" t="s">
        <v>153</v>
      </c>
      <c r="K129" s="20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64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132" t="n">
        <f aca="false">H90</f>
        <v>1171.69258941778</v>
      </c>
      <c r="H130" s="286" t="n">
        <f aca="false">IF(G105="YES", H89*H57, 0)</f>
        <v>0</v>
      </c>
      <c r="I130" s="286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64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6719.68820391287</v>
      </c>
      <c r="C131" s="13"/>
      <c r="D131" s="136" t="n">
        <f aca="false">IF(A105="YES", B89*B57, 0)</f>
        <v>0</v>
      </c>
      <c r="E131" s="14"/>
      <c r="F131" s="171"/>
      <c r="G131" s="195"/>
      <c r="H131" s="203"/>
      <c r="I131" s="203"/>
      <c r="J131" s="203"/>
      <c r="K131" s="20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64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224"/>
      <c r="J133" s="140" t="n">
        <f aca="false">H91*H57</f>
        <v>1171.69258941778</v>
      </c>
      <c r="K133" s="20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6719.68820391287</v>
      </c>
      <c r="B134" s="136" t="n">
        <f aca="false">E114</f>
        <v>4000</v>
      </c>
      <c r="C134" s="13"/>
      <c r="D134" s="142" t="n">
        <f aca="false">B58</f>
        <v>3</v>
      </c>
      <c r="E134" s="14"/>
      <c r="F134" s="171"/>
      <c r="G134" s="195"/>
      <c r="H134" s="203"/>
      <c r="I134" s="203"/>
      <c r="J134" s="203"/>
      <c r="K134" s="20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746.632022656985</v>
      </c>
      <c r="B137" s="136" t="n">
        <f aca="false">IF(A105="YES", B89, 0)</f>
        <v>0</v>
      </c>
      <c r="C137" s="13"/>
      <c r="D137" s="136" t="n">
        <f aca="false">B91</f>
        <v>746.632022656985</v>
      </c>
      <c r="E137" s="14"/>
      <c r="F137" s="171"/>
      <c r="G137" s="195"/>
      <c r="H137" s="203"/>
      <c r="I137" s="203"/>
      <c r="J137" s="203"/>
      <c r="K137" s="20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239.988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0</v>
      </c>
      <c r="C148" s="136"/>
      <c r="D148" s="136" t="n">
        <f aca="false">IF(A105="YES", (A38/100*B105)*B125, 0)*0.1</f>
        <v>0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(E118/1.2)-100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678.84</v>
      </c>
      <c r="E151" s="146"/>
      <c r="F151" s="171"/>
      <c r="G151" s="67"/>
      <c r="H151" s="69" t="n">
        <f aca="false">B51</f>
        <v>5000</v>
      </c>
      <c r="I151" s="69"/>
      <c r="J151" s="203"/>
      <c r="K151" s="20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203"/>
      <c r="K152" s="20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746.632022656985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147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119</v>
      </c>
      <c r="B167" s="159" t="s">
        <v>42</v>
      </c>
      <c r="C167" s="160"/>
      <c r="D167" s="159" t="s">
        <v>82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123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112</v>
      </c>
      <c r="B170" s="159" t="s">
        <v>149</v>
      </c>
      <c r="C170" s="160"/>
      <c r="D170" s="159" t="s">
        <v>150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746.632022656985</v>
      </c>
      <c r="B171" s="160" t="n">
        <f aca="false">IF(A105="YES", B89, 0)</f>
        <v>0</v>
      </c>
      <c r="C171" s="192"/>
      <c r="D171" s="160" t="n">
        <f aca="false">B91</f>
        <v>746.632022656985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156</v>
      </c>
      <c r="C173" s="48"/>
      <c r="D173" s="163" t="s">
        <v>157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 Terminal pause with 9 down </v>
      </c>
      <c r="B174" s="164" t="n">
        <f aca="false">B90*B57</f>
        <v>6719.68820391287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164</v>
      </c>
      <c r="B176" s="165" t="s">
        <v>165</v>
      </c>
      <c r="C176" s="38"/>
      <c r="D176" s="58" t="s">
        <v>166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6719.68820391287</v>
      </c>
      <c r="B177" s="164" t="n">
        <f aca="false">E114</f>
        <v>4000</v>
      </c>
      <c r="C177" s="31"/>
      <c r="D177" s="166" t="n">
        <f aca="false">B58</f>
        <v>3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112</v>
      </c>
      <c r="B179" s="168" t="s">
        <v>149</v>
      </c>
      <c r="C179" s="31"/>
      <c r="D179" s="31" t="s">
        <v>150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746.632022656985</v>
      </c>
      <c r="B180" s="164" t="n">
        <f aca="false">IF(A105="YES", B89, 0)</f>
        <v>0</v>
      </c>
      <c r="C180" s="31"/>
      <c r="D180" s="164" t="n">
        <f aca="false">B91</f>
        <v>746.632022656985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177</v>
      </c>
      <c r="C182" s="164"/>
      <c r="D182" s="169" t="s">
        <v>178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182</v>
      </c>
      <c r="B185" s="169" t="s">
        <v>54</v>
      </c>
      <c r="C185" s="164"/>
      <c r="D185" s="169" t="s">
        <v>101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239.988</v>
      </c>
      <c r="C186" s="31"/>
      <c r="D186" s="151" t="n">
        <f aca="false">B102</f>
        <v>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185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186</v>
      </c>
      <c r="B190" s="31" t="s">
        <v>187</v>
      </c>
      <c r="C190" s="31"/>
      <c r="D190" s="31" t="s">
        <v>188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0</v>
      </c>
      <c r="C191" s="164"/>
      <c r="D191" s="164" t="n">
        <f aca="false">IF(A105="YES", (A38/100*B105)*B125, 0)*0.1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192</v>
      </c>
      <c r="B193" s="31" t="s">
        <v>184</v>
      </c>
      <c r="C193" s="31"/>
      <c r="D193" s="31" t="s">
        <v>181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(E118/1.2)-100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678.84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193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194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195</v>
      </c>
      <c r="B203" s="172" t="n">
        <f aca="false">H29</f>
        <v>12</v>
      </c>
      <c r="C203" s="120" t="s">
        <v>196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197</v>
      </c>
      <c r="B205" s="120" t="n">
        <f aca="false">B213</f>
        <v>578.85</v>
      </c>
      <c r="C205" s="119" t="s">
        <v>198</v>
      </c>
      <c r="D205" s="173" t="n">
        <f aca="false">B219+E215+B215+B217</f>
        <v>99.99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199</v>
      </c>
      <c r="B207" s="120" t="n">
        <f aca="false">E217</f>
        <v>3573.09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195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196</v>
      </c>
      <c r="B211" s="45" t="n">
        <f aca="false">D64</f>
        <v>4051.95</v>
      </c>
      <c r="C211" s="176" t="s">
        <v>200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200</v>
      </c>
      <c r="B213" s="45" t="n">
        <f aca="false">B67</f>
        <v>578.85</v>
      </c>
      <c r="C213" s="137" t="s">
        <v>201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201</v>
      </c>
      <c r="B215" s="58" t="n">
        <f aca="false">B77-(B77*(E213*100))*0.1</f>
        <v>0</v>
      </c>
      <c r="C215" s="137" t="s">
        <v>202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203</v>
      </c>
      <c r="B217" s="58" t="n">
        <f aca="false">B78-(B78*(E213*100))</f>
        <v>0</v>
      </c>
      <c r="C217" s="137" t="s">
        <v>199</v>
      </c>
      <c r="D217" s="13"/>
      <c r="E217" s="11" t="n">
        <f aca="false">(B211-B205+D205)</f>
        <v>3573.09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204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205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206</v>
      </c>
      <c r="B223" s="45" t="n">
        <f aca="false">B71</f>
        <v>200</v>
      </c>
      <c r="C223" s="137" t="s">
        <v>207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208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209</v>
      </c>
      <c r="B225" s="183" t="n">
        <f aca="false">B68</f>
        <v>0.0075</v>
      </c>
      <c r="C225" s="137" t="s">
        <v>210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211</v>
      </c>
      <c r="D226" s="150"/>
      <c r="E226" s="11" t="n">
        <f aca="false">B86</f>
        <v>90.8442718838241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212</v>
      </c>
      <c r="B227" s="45" t="n">
        <f aca="false">B79</f>
        <v>200</v>
      </c>
      <c r="C227" s="184" t="s">
        <v>213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214</v>
      </c>
      <c r="B229" s="45" t="n">
        <f aca="false">B80</f>
        <v>200</v>
      </c>
      <c r="C229" s="188" t="s">
        <v>215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46" colorId="64" zoomScale="75" zoomScaleNormal="75" zoomScalePageLayoutView="100" workbookViewId="0">
      <selection pane="topLeft" activeCell="B85" activeCellId="0" sqref="B85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44952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IF(A32=Z101,D38,IF(A32=Z102,D38,IF(A32=Z103,(D38*3),IF(A32=Z104,(D38*6),IF(A32=Z105,(D38*9),IF(A32=Z106,(D38*12),IF(A32=Z107,D38,IF(A32=Z108,D38,IF(A32=Z109,D38,0)))))))))</f>
        <v>500</v>
      </c>
      <c r="C32" s="407"/>
      <c r="D32" s="407" t="n">
        <f aca="false">IF(A32=Z101,A41,IF(A32=Z102,A41,IF(A32=Z103,(A41*3),IF(A32=Z104,(A41*6),IF(A32=Z105,(A41*9),IF(A32=Z106,(A41*12),IF(A32=Z107,A41,IF(A32=Z108,A41,IF(A32=Z109,A41,0)))))))))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/>
      <c r="H33" s="21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28</v>
      </c>
      <c r="C38" s="40"/>
      <c r="D38" s="45" t="n">
        <v>500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176</v>
      </c>
      <c r="E40" s="204"/>
      <c r="F40" s="171"/>
      <c r="G40" s="217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n">
        <f aca="false">IF(B38="YES", D38+A41, D38)</f>
        <v>500</v>
      </c>
      <c r="C41" s="58"/>
      <c r="D41" s="45" t="n">
        <v>12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170</v>
      </c>
      <c r="B43" s="62" t="s">
        <v>171</v>
      </c>
      <c r="C43" s="48"/>
      <c r="D43" s="62" t="s">
        <v>172</v>
      </c>
      <c r="E43" s="64"/>
      <c r="F43" s="171"/>
      <c r="G43" s="171" t="s">
        <v>331</v>
      </c>
      <c r="H43" s="226" t="n">
        <f aca="false">(((D38*(B35-1))+B32)/B35) + (D41/B35)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</v>
      </c>
      <c r="B44" s="45" t="n">
        <v>0</v>
      </c>
      <c r="C44" s="45"/>
      <c r="D44" s="55" t="n">
        <f aca="false">A44+B44</f>
        <v>1</v>
      </c>
      <c r="E44" s="55"/>
      <c r="F44" s="171"/>
      <c r="G44" s="171" t="s">
        <v>332</v>
      </c>
      <c r="H44" s="226" t="n">
        <f aca="false">((A41*(B35-1))+D32)/B35</f>
        <v>0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45" t="s">
        <v>356</v>
      </c>
      <c r="B46" s="48"/>
      <c r="C46" s="48"/>
      <c r="D46" s="48"/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171"/>
      <c r="H48" s="226" t="n">
        <f aca="false">(A41*(B58+B57))</f>
        <v>0</v>
      </c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/>
      <c r="H49" s="242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IF(B99=Z101,1,IF(B99=Z102,1,IF(B99=Z103,3,IF(B99=Z104,6,IF(B99=Z105,9,IF(B99=Z106,12,IF(B99=Z107,3,IF(B99=Z108,6,IF(B99=Z109,9,0)))))))))</f>
        <v>1</v>
      </c>
      <c r="C57" s="203"/>
      <c r="D57" s="203"/>
      <c r="E57" s="204"/>
      <c r="F57" s="171"/>
      <c r="G57" s="195" t="s">
        <v>84</v>
      </c>
      <c r="H57" s="203" t="n">
        <f aca="false">IF(H99=Z101,1,IF(H99=Z102,1,IF(H99=Z103,3,IF(H99=Z104,6,IF(H99=Z105,9,IF(H99=Z106,12,IF(H99=Z107,3,IF(H99=Z108,6,IF(H99=Z109,9,0)))))))))</f>
        <v>1</v>
      </c>
      <c r="I57" s="203"/>
      <c r="J57" s="203"/>
      <c r="K57" s="20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IF(B99=Z101,H29-B57,IF(B99=Z102,H29-B57,IF(B99=Z103,H29-1,IF(B99=Z104,H29-1,IF(B99=Z105,H29-1,IF(B99=Z106,H29-1,IF(B99=Z107,H29-B57,IF(B99=Z108,H29-B57,IF(B99=Z109,H29-B57,0)))))))))</f>
        <v>11</v>
      </c>
      <c r="C58" s="203" t="s">
        <v>357</v>
      </c>
      <c r="D58" s="203"/>
      <c r="E58" s="204"/>
      <c r="F58" s="171"/>
      <c r="G58" s="195" t="s">
        <v>85</v>
      </c>
      <c r="H58" s="203" t="n">
        <f aca="false">IF(H99=Z101,H29-H57,IF(H99=Z102,H29-H57,IF(H99=Z103,H29-1,IF(H99=Z104,H29-1,IF(H99=Z105,H29-1,IF(H99=Z106,H29-1,IF(H99=Z107,H29-H57,IF(H99=Z108,H29-H57,IF(H99=Z109,H29-H57,0)))))))))</f>
        <v>11</v>
      </c>
      <c r="I58" s="203"/>
      <c r="J58" s="203"/>
      <c r="K58" s="20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0.07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0.07</v>
      </c>
      <c r="I63" s="203"/>
      <c r="J63" s="203"/>
      <c r="K63" s="20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4051.95</v>
      </c>
      <c r="C64" s="203"/>
      <c r="D64" s="201" t="n">
        <f aca="false">B64</f>
        <v>4051.95</v>
      </c>
      <c r="E64" s="204"/>
      <c r="F64" s="171"/>
      <c r="G64" s="234" t="s">
        <v>88</v>
      </c>
      <c r="H64" s="245" t="n">
        <f aca="false">H61*H63</f>
        <v>4051.95</v>
      </c>
      <c r="I64" s="203"/>
      <c r="J64" s="201" t="n">
        <f aca="false">H64</f>
        <v>4051.95</v>
      </c>
      <c r="K64" s="20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0.005</v>
      </c>
      <c r="I65" s="203"/>
      <c r="J65" s="203"/>
      <c r="K65" s="20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0.01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0.005</v>
      </c>
      <c r="I66" s="203"/>
      <c r="J66" s="203"/>
      <c r="K66" s="20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B61*B66</f>
        <v>578.85</v>
      </c>
      <c r="C67" s="203"/>
      <c r="D67" s="201"/>
      <c r="E67" s="204"/>
      <c r="F67" s="171"/>
      <c r="G67" s="234" t="s">
        <v>91</v>
      </c>
      <c r="H67" s="245" t="n">
        <f aca="false">H61*H66</f>
        <v>289.425</v>
      </c>
      <c r="I67" s="203"/>
      <c r="J67" s="201"/>
      <c r="K67" s="20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60</v>
      </c>
      <c r="C73" s="203"/>
      <c r="D73" s="201" t="n">
        <f aca="false">B73+B71</f>
        <v>260</v>
      </c>
      <c r="E73" s="204"/>
      <c r="F73" s="171"/>
      <c r="G73" s="234" t="s">
        <v>97</v>
      </c>
      <c r="H73" s="245" t="n">
        <f aca="false">H72*H29</f>
        <v>54</v>
      </c>
      <c r="I73" s="203"/>
      <c r="J73" s="201" t="n">
        <f aca="false">H73+H71</f>
        <v>214</v>
      </c>
      <c r="K73" s="20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0</v>
      </c>
      <c r="C74" s="203"/>
      <c r="D74" s="203"/>
      <c r="E74" s="204"/>
      <c r="F74" s="171"/>
      <c r="G74" s="243" t="s">
        <v>98</v>
      </c>
      <c r="H74" s="255" t="n">
        <v>150</v>
      </c>
      <c r="I74" s="203"/>
      <c r="J74" s="203"/>
      <c r="K74" s="20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0</v>
      </c>
      <c r="C75" s="203"/>
      <c r="D75" s="203"/>
      <c r="E75" s="204"/>
      <c r="F75" s="171"/>
      <c r="G75" s="193" t="s">
        <v>99</v>
      </c>
      <c r="H75" s="256" t="n">
        <f aca="false">IF(G18&gt;40000, 325, 0)</f>
        <v>325</v>
      </c>
      <c r="I75" s="203"/>
      <c r="J75" s="203"/>
      <c r="K75" s="20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39.5833333333333</v>
      </c>
      <c r="I76" s="203"/>
      <c r="J76" s="201" t="n">
        <f aca="false">H76</f>
        <v>39.5833333333333</v>
      </c>
      <c r="K76" s="20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55" t="n">
        <f aca="false">B102</f>
        <v>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f aca="false">H102</f>
        <v>1200</v>
      </c>
      <c r="I77" s="203"/>
      <c r="J77" s="201" t="n">
        <f aca="false">H77</f>
        <v>1200</v>
      </c>
      <c r="K77" s="20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f aca="false">J102</f>
        <v>0</v>
      </c>
      <c r="I78" s="203"/>
      <c r="J78" s="201" t="n">
        <f aca="false">H78</f>
        <v>0</v>
      </c>
      <c r="K78" s="20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100</v>
      </c>
      <c r="I79" s="203"/>
      <c r="J79" s="201" t="n">
        <f aca="false">H79</f>
        <v>100</v>
      </c>
      <c r="K79" s="20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100</v>
      </c>
      <c r="I80" s="203"/>
      <c r="J80" s="201" t="n">
        <f aca="false">H80</f>
        <v>100</v>
      </c>
      <c r="K80" s="20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4711.95</v>
      </c>
      <c r="C81" s="203"/>
      <c r="D81" s="203"/>
      <c r="E81" s="204"/>
      <c r="F81" s="171"/>
      <c r="G81" s="268" t="s">
        <v>106</v>
      </c>
      <c r="H81" s="269" t="n">
        <f aca="false">SUM(J64:J80)</f>
        <v>5705.53333333333</v>
      </c>
      <c r="I81" s="203"/>
      <c r="J81" s="203"/>
      <c r="K81" s="20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392.6625</v>
      </c>
      <c r="C82" s="203"/>
      <c r="D82" s="203"/>
      <c r="E82" s="204"/>
      <c r="F82" s="171"/>
      <c r="G82" s="195" t="s">
        <v>107</v>
      </c>
      <c r="H82" s="200" t="n">
        <f aca="false">H81/H29</f>
        <v>475.461111111111</v>
      </c>
      <c r="I82" s="203"/>
      <c r="J82" s="203"/>
      <c r="K82" s="20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H46</f>
        <v>501</v>
      </c>
      <c r="C83" s="203"/>
      <c r="D83" s="203"/>
      <c r="E83" s="204"/>
      <c r="F83" s="171"/>
      <c r="G83" s="271" t="s">
        <v>108</v>
      </c>
      <c r="H83" s="272" t="n">
        <f aca="false">H46</f>
        <v>501</v>
      </c>
      <c r="I83" s="203"/>
      <c r="J83" s="203"/>
      <c r="K83" s="20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((B83*(H29)+B81))</f>
        <v>10723.95</v>
      </c>
      <c r="C85" s="203"/>
      <c r="D85" s="203"/>
      <c r="E85" s="204"/>
      <c r="F85" s="171"/>
      <c r="G85" s="228" t="s">
        <v>109</v>
      </c>
      <c r="H85" s="264" t="n">
        <f aca="false">((H83*(H27+H28))+H81)*1.2</f>
        <v>14061.04</v>
      </c>
      <c r="I85" s="203"/>
      <c r="J85" s="203"/>
      <c r="K85" s="20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(B85/(1-B70))*B70</f>
        <v>90.8442718838241</v>
      </c>
      <c r="C86" s="203"/>
      <c r="D86" s="203"/>
      <c r="E86" s="204"/>
      <c r="F86" s="171"/>
      <c r="G86" s="195" t="s">
        <v>110</v>
      </c>
      <c r="H86" s="200" t="n">
        <f aca="false">(((H83*(H27+H28))+H81)/(1-H70))*H70</f>
        <v>99.2610730133118</v>
      </c>
      <c r="I86" s="203"/>
      <c r="J86" s="203"/>
      <c r="K86" s="20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IF(B110="YES",((B85+B86)-A151-E114),((B85+B86)-A151))</f>
        <v>10714.8042718838</v>
      </c>
      <c r="C87" s="203"/>
      <c r="D87" s="203"/>
      <c r="E87" s="204"/>
      <c r="F87" s="171"/>
      <c r="G87" s="234" t="s">
        <v>111</v>
      </c>
      <c r="H87" s="245" t="n">
        <f aca="false">IF(H110="YES",((H85+H86)-A151-K114),((H85+H86)-A151))</f>
        <v>14060.3110730133</v>
      </c>
      <c r="I87" s="203"/>
      <c r="J87" s="203"/>
      <c r="K87" s="20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463" t="n">
        <f aca="false">IF(B99=Z102,(((H44*B35)+(H44*B35)*(B105/100))/(B58)),(((H44*B35)+(H44*B35)*(B105/100))/(B57+B58)))</f>
        <v>0</v>
      </c>
      <c r="C89" s="203" t="s">
        <v>76</v>
      </c>
      <c r="D89" s="203"/>
      <c r="E89" s="204"/>
      <c r="F89" s="171"/>
      <c r="G89" s="268" t="s">
        <v>67</v>
      </c>
      <c r="H89" s="269" t="n">
        <f aca="false">(A41+(A41*H105))*1.2</f>
        <v>0</v>
      </c>
      <c r="I89" s="203"/>
      <c r="J89" s="203"/>
      <c r="K89" s="20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IF(B99=Z102, (B87-D105)/(B58), B87/(B57+B58))</f>
        <v>892.900355990319</v>
      </c>
      <c r="C90" s="203"/>
      <c r="D90" s="203"/>
      <c r="E90" s="204"/>
      <c r="F90" s="171"/>
      <c r="G90" s="274" t="s">
        <v>112</v>
      </c>
      <c r="H90" s="275" t="n">
        <f aca="false">IF(H99=AE98, (H87-J105)/(H58), H87/(H57+H58))</f>
        <v>1171.69258941778</v>
      </c>
      <c r="I90" s="203"/>
      <c r="K90" s="20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892.900355990319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1171.69258941778</v>
      </c>
      <c r="I91" s="203"/>
      <c r="J91" s="203"/>
      <c r="K91" s="20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114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12" t="s">
        <v>123</v>
      </c>
      <c r="B99" s="110" t="s">
        <v>118</v>
      </c>
      <c r="C99" s="110"/>
      <c r="D99" s="113" t="n">
        <v>1000</v>
      </c>
      <c r="E99" s="113"/>
      <c r="F99" s="171"/>
      <c r="G99" s="212" t="s">
        <v>123</v>
      </c>
      <c r="H99" s="110" t="s">
        <v>118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118</v>
      </c>
      <c r="AA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121</v>
      </c>
      <c r="AA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126</v>
      </c>
      <c r="AA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127</v>
      </c>
      <c r="AA104" s="171"/>
    </row>
    <row r="105" customFormat="false" ht="18.75" hidden="false" customHeight="true" outlineLevel="0" collapsed="false">
      <c r="A105" s="213" t="s">
        <v>28</v>
      </c>
      <c r="B105" s="110" t="n">
        <v>0</v>
      </c>
      <c r="C105" s="110"/>
      <c r="D105" s="113" t="n">
        <v>200</v>
      </c>
      <c r="E105" s="113"/>
      <c r="F105" s="171"/>
      <c r="G105" s="21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131</v>
      </c>
      <c r="AA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125</v>
      </c>
      <c r="AA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124</v>
      </c>
      <c r="AA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135</v>
      </c>
      <c r="AA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137</v>
      </c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5000</v>
      </c>
      <c r="K115" s="20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-2800.01</v>
      </c>
      <c r="F119" s="171"/>
      <c r="G119" s="283" t="s">
        <v>146</v>
      </c>
      <c r="H119" s="235"/>
      <c r="I119" s="235"/>
      <c r="J119" s="235"/>
      <c r="K119" s="24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195"/>
      <c r="H125" s="203"/>
      <c r="I125" s="203"/>
      <c r="J125" s="203"/>
      <c r="K125" s="20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195" t="s">
        <v>81</v>
      </c>
      <c r="H126" s="203" t="s">
        <v>82</v>
      </c>
      <c r="I126" s="203"/>
      <c r="J126" s="203" t="s">
        <v>85</v>
      </c>
      <c r="K126" s="20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20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892.900355990319</v>
      </c>
      <c r="B128" s="120" t="n">
        <f aca="false">IF(A105="YES", B89, 0)</f>
        <v>0</v>
      </c>
      <c r="C128" s="191"/>
      <c r="D128" s="120" t="n">
        <f aca="false">B91</f>
        <v>892.900355990319</v>
      </c>
      <c r="E128" s="121"/>
      <c r="F128" s="171"/>
      <c r="G128" s="195"/>
      <c r="H128" s="203"/>
      <c r="I128" s="203"/>
      <c r="J128" s="203"/>
      <c r="K128" s="20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284" t="s">
        <v>151</v>
      </c>
      <c r="H129" s="285" t="s">
        <v>152</v>
      </c>
      <c r="I129" s="285"/>
      <c r="J129" s="285" t="s">
        <v>153</v>
      </c>
      <c r="K129" s="20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64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132" t="n">
        <f aca="false">H90</f>
        <v>1171.69258941778</v>
      </c>
      <c r="H130" s="286" t="n">
        <f aca="false">IF(G105="YES", H89*H57, 0)</f>
        <v>0</v>
      </c>
      <c r="I130" s="286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64"/>
    </row>
    <row r="131" customFormat="false" ht="18.75" hidden="false" customHeight="true" outlineLevel="0" collapsed="false">
      <c r="A131" s="135" t="str">
        <f aca="false">B99</f>
        <v> Monthly in advance </v>
      </c>
      <c r="B131" s="136" t="n">
        <f aca="false">B90*B57</f>
        <v>892.900355990319</v>
      </c>
      <c r="C131" s="13"/>
      <c r="D131" s="136" t="n">
        <f aca="false">IF(A105="YES", B89*B57, 0)</f>
        <v>0</v>
      </c>
      <c r="E131" s="14"/>
      <c r="F131" s="171"/>
      <c r="G131" s="195"/>
      <c r="H131" s="203"/>
      <c r="I131" s="203"/>
      <c r="J131" s="203"/>
      <c r="K131" s="20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64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224"/>
      <c r="J133" s="140" t="n">
        <f aca="false">H91*H57</f>
        <v>1171.69258941778</v>
      </c>
      <c r="K133" s="20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892.900355990319</v>
      </c>
      <c r="B134" s="136" t="n">
        <f aca="false">E114</f>
        <v>4000</v>
      </c>
      <c r="C134" s="13"/>
      <c r="D134" s="142" t="n">
        <f aca="false">B58</f>
        <v>11</v>
      </c>
      <c r="E134" s="14"/>
      <c r="F134" s="171"/>
      <c r="G134" s="195"/>
      <c r="H134" s="203"/>
      <c r="I134" s="203"/>
      <c r="J134" s="203"/>
      <c r="K134" s="20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892.900355990319</v>
      </c>
      <c r="B137" s="136" t="n">
        <f aca="false">IF(A105="YES", B89, 0)</f>
        <v>0</v>
      </c>
      <c r="C137" s="13"/>
      <c r="D137" s="136" t="n">
        <f aca="false">B91</f>
        <v>892.900355990319</v>
      </c>
      <c r="E137" s="14"/>
      <c r="F137" s="171"/>
      <c r="G137" s="195"/>
      <c r="H137" s="203"/>
      <c r="I137" s="203"/>
      <c r="J137" s="203"/>
      <c r="K137" s="20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0</v>
      </c>
      <c r="C148" s="136"/>
      <c r="D148" s="136" t="n">
        <f aca="false">IF(A105="YES", (A38/100*B105)*B125, 0)</f>
        <v>0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678.84</v>
      </c>
      <c r="E151" s="146"/>
      <c r="F151" s="171"/>
      <c r="G151" s="67"/>
      <c r="H151" s="69" t="n">
        <f aca="false">B51</f>
        <v>5000</v>
      </c>
      <c r="I151" s="69"/>
      <c r="J151" s="203"/>
      <c r="K151" s="20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203"/>
      <c r="K152" s="20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892.900355990319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147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119</v>
      </c>
      <c r="B167" s="159" t="s">
        <v>42</v>
      </c>
      <c r="C167" s="160"/>
      <c r="D167" s="159" t="s">
        <v>82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123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112</v>
      </c>
      <c r="B170" s="159" t="s">
        <v>149</v>
      </c>
      <c r="C170" s="160"/>
      <c r="D170" s="159" t="s">
        <v>150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892.900355990319</v>
      </c>
      <c r="B171" s="160" t="n">
        <f aca="false">IF(A105="YES", B89, 0)</f>
        <v>0</v>
      </c>
      <c r="C171" s="192"/>
      <c r="D171" s="160" t="n">
        <f aca="false">B91</f>
        <v>892.900355990319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156</v>
      </c>
      <c r="C173" s="48"/>
      <c r="D173" s="163" t="s">
        <v>157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 Monthly in advance </v>
      </c>
      <c r="B174" s="164" t="n">
        <f aca="false">B90*B57</f>
        <v>892.900355990319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164</v>
      </c>
      <c r="B176" s="165" t="s">
        <v>165</v>
      </c>
      <c r="C176" s="38"/>
      <c r="D176" s="58" t="s">
        <v>166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892.900355990319</v>
      </c>
      <c r="B177" s="164" t="n">
        <f aca="false">E114</f>
        <v>4000</v>
      </c>
      <c r="C177" s="31"/>
      <c r="D177" s="166" t="n">
        <f aca="false">B58</f>
        <v>11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112</v>
      </c>
      <c r="B179" s="168" t="s">
        <v>149</v>
      </c>
      <c r="C179" s="31"/>
      <c r="D179" s="31" t="s">
        <v>150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892.900355990319</v>
      </c>
      <c r="B180" s="164" t="n">
        <f aca="false">IF(A105="YES", B89, 0)</f>
        <v>0</v>
      </c>
      <c r="C180" s="31"/>
      <c r="D180" s="164" t="n">
        <f aca="false">B91</f>
        <v>892.900355990319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177</v>
      </c>
      <c r="C182" s="164"/>
      <c r="D182" s="169" t="s">
        <v>178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(G12*0.000006)*1.2*100</f>
        <v>0</v>
      </c>
      <c r="B183" s="170" t="n">
        <f aca="false">G12*0.000002 *1.2*100</f>
        <v>0</v>
      </c>
      <c r="C183" s="31"/>
      <c r="D183" s="170" t="n">
        <f aca="false">A183+B183</f>
        <v>0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182</v>
      </c>
      <c r="B185" s="169" t="s">
        <v>54</v>
      </c>
      <c r="C185" s="164"/>
      <c r="D185" s="169" t="s">
        <v>101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199.99</v>
      </c>
      <c r="C186" s="31"/>
      <c r="D186" s="151" t="n">
        <f aca="false">B102</f>
        <v>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185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186</v>
      </c>
      <c r="B190" s="31" t="s">
        <v>187</v>
      </c>
      <c r="C190" s="31"/>
      <c r="D190" s="31" t="s">
        <v>188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0</v>
      </c>
      <c r="C191" s="164"/>
      <c r="D191" s="164" t="n">
        <f aca="false">IF(A105="YES", (A38/100*B105)*B125, 0)*0.1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192</v>
      </c>
      <c r="B193" s="31" t="s">
        <v>184</v>
      </c>
      <c r="C193" s="31"/>
      <c r="D193" s="31" t="s">
        <v>181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E118-100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678.84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193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194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195</v>
      </c>
      <c r="B203" s="172" t="n">
        <f aca="false">H29</f>
        <v>12</v>
      </c>
      <c r="C203" s="120" t="s">
        <v>196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197</v>
      </c>
      <c r="B205" s="120" t="n">
        <f aca="false">B213</f>
        <v>578.85</v>
      </c>
      <c r="C205" s="119" t="s">
        <v>198</v>
      </c>
      <c r="D205" s="173" t="n">
        <f aca="false">B219+E215+B215+B217</f>
        <v>99.99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199</v>
      </c>
      <c r="B207" s="120" t="n">
        <f aca="false">E217</f>
        <v>3573.09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195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196</v>
      </c>
      <c r="B211" s="45" t="n">
        <f aca="false">D64</f>
        <v>4051.95</v>
      </c>
      <c r="C211" s="176" t="s">
        <v>200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200</v>
      </c>
      <c r="B213" s="45" t="n">
        <f aca="false">B67</f>
        <v>578.85</v>
      </c>
      <c r="C213" s="137" t="s">
        <v>201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201</v>
      </c>
      <c r="B215" s="58" t="n">
        <f aca="false">B77-(B77*(E213*100))*0.1</f>
        <v>0</v>
      </c>
      <c r="C215" s="137" t="s">
        <v>202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203</v>
      </c>
      <c r="B217" s="58" t="n">
        <f aca="false">B78-(B78*(E213*100))</f>
        <v>0</v>
      </c>
      <c r="C217" s="137" t="s">
        <v>199</v>
      </c>
      <c r="D217" s="13"/>
      <c r="E217" s="11" t="n">
        <f aca="false">(B211-B205+D205)</f>
        <v>3573.09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204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205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206</v>
      </c>
      <c r="B223" s="45" t="n">
        <f aca="false">B71</f>
        <v>200</v>
      </c>
      <c r="C223" s="137" t="s">
        <v>207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208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209</v>
      </c>
      <c r="B225" s="183" t="n">
        <f aca="false">B68</f>
        <v>0.0075</v>
      </c>
      <c r="C225" s="137" t="s">
        <v>210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211</v>
      </c>
      <c r="D226" s="150"/>
      <c r="E226" s="11" t="n">
        <f aca="false">B86</f>
        <v>90.8442718838241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212</v>
      </c>
      <c r="B227" s="45" t="n">
        <f aca="false">B79</f>
        <v>200</v>
      </c>
      <c r="C227" s="184" t="s">
        <v>213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214</v>
      </c>
      <c r="B229" s="45" t="n">
        <f aca="false">B80</f>
        <v>200</v>
      </c>
      <c r="C229" s="188" t="s">
        <v>215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27" colorId="64" zoomScale="75" zoomScaleNormal="75" zoomScalePageLayoutView="100" workbookViewId="0">
      <selection pane="topLeft" activeCell="E63" activeCellId="0" sqref="E63"/>
    </sheetView>
  </sheetViews>
  <sheetFormatPr defaultColWidth="8.320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3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3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3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/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295" t="n">
        <v>0</v>
      </c>
      <c r="C4" s="295"/>
      <c r="D4" s="296" t="n">
        <v>0</v>
      </c>
      <c r="E4" s="296"/>
      <c r="F4" s="296" t="n">
        <v>0</v>
      </c>
      <c r="G4" s="296"/>
      <c r="H4" s="297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/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12"/>
      <c r="C8" s="12"/>
      <c r="D8" s="12"/>
      <c r="E8" s="12"/>
      <c r="F8" s="12"/>
      <c r="G8" s="1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/>
      <c r="F9" s="298"/>
      <c r="G9" s="299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/>
      <c r="F10" s="301"/>
      <c r="G10" s="302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302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302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/>
      <c r="F13" s="301"/>
      <c r="G13" s="302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/>
      <c r="F14" s="301"/>
      <c r="G14" s="302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302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/>
      <c r="F16" s="301"/>
      <c r="G16" s="302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1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</row>
    <row r="24" customFormat="false" ht="46.5" hidden="false" customHeight="true" outlineLevel="0" collapsed="false">
      <c r="A24" s="309" t="s">
        <v>246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</row>
    <row r="26" customFormat="false" ht="22.05" hidden="false" customHeight="false" outlineLevel="0" collapsed="false">
      <c r="A26" s="312" t="s">
        <v>247</v>
      </c>
      <c r="B26" s="312"/>
      <c r="C26" s="312"/>
      <c r="D26" s="312"/>
      <c r="E26" s="312"/>
      <c r="F26" s="312"/>
      <c r="G26" s="312"/>
      <c r="H26" s="312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293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313" t="s">
        <v>32</v>
      </c>
      <c r="B28" s="12" t="s">
        <v>248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293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313" t="s">
        <v>35</v>
      </c>
      <c r="B30" s="12"/>
      <c r="C30" s="136" t="s">
        <v>36</v>
      </c>
      <c r="D30" s="115"/>
      <c r="E30" s="12"/>
      <c r="F30" s="136" t="s">
        <v>249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314" t="s">
        <v>250</v>
      </c>
      <c r="B31" s="12"/>
      <c r="C31" s="315" t="s">
        <v>251</v>
      </c>
      <c r="D31" s="315"/>
      <c r="E31" s="12"/>
      <c r="F31" s="315"/>
      <c r="G31" s="315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313"/>
      <c r="B32" s="316"/>
      <c r="C32" s="316"/>
      <c r="D32" s="316"/>
      <c r="E32" s="316"/>
      <c r="F32" s="316"/>
      <c r="G32" s="316"/>
      <c r="H32" s="11"/>
      <c r="I32" s="53"/>
      <c r="J32" s="33" t="s">
        <v>46</v>
      </c>
      <c r="K32" s="44" t="str">
        <f aca="false">A46</f>
        <v>50</v>
      </c>
    </row>
    <row r="33" customFormat="false" ht="17.35" hidden="false" customHeight="false" outlineLevel="0" collapsed="false">
      <c r="A33" s="313" t="s">
        <v>42</v>
      </c>
      <c r="B33" s="12"/>
      <c r="C33" s="317" t="s">
        <v>43</v>
      </c>
      <c r="D33" s="115"/>
      <c r="E33" s="12"/>
      <c r="F33" s="136" t="s">
        <v>44</v>
      </c>
      <c r="G33" s="115"/>
      <c r="H33" s="318"/>
      <c r="I33" s="53"/>
      <c r="J33" s="35"/>
      <c r="K33" s="50"/>
    </row>
    <row r="34" customFormat="false" ht="17.35" hidden="false" customHeight="false" outlineLevel="0" collapsed="false">
      <c r="A34" s="314" t="s">
        <v>252</v>
      </c>
      <c r="B34" s="12"/>
      <c r="C34" s="315" t="s">
        <v>49</v>
      </c>
      <c r="D34" s="315"/>
      <c r="E34" s="12"/>
      <c r="F34" s="315" t="n">
        <f aca="false">(A34/12)*C34</f>
        <v>13750</v>
      </c>
      <c r="G34" s="315"/>
      <c r="H34" s="318"/>
      <c r="I34" s="53"/>
      <c r="J34" s="53"/>
      <c r="K34" s="53"/>
    </row>
    <row r="35" customFormat="false" ht="20.85" hidden="false" customHeight="false" outlineLevel="0" collapsed="false">
      <c r="A35" s="293"/>
      <c r="B35" s="12"/>
      <c r="C35" s="12"/>
      <c r="E35" s="12"/>
      <c r="F35" s="316"/>
      <c r="G35" s="316"/>
      <c r="H35" s="318"/>
      <c r="I35" s="53"/>
      <c r="J35" s="56" t="s">
        <v>52</v>
      </c>
      <c r="K35" s="319" t="n">
        <v>0.0559</v>
      </c>
    </row>
    <row r="36" customFormat="false" ht="17.35" hidden="false" customHeight="false" outlineLevel="0" collapsed="false">
      <c r="A36" s="313" t="s">
        <v>253</v>
      </c>
      <c r="B36" s="12"/>
      <c r="C36" s="136" t="s">
        <v>48</v>
      </c>
      <c r="D36" s="115"/>
      <c r="E36" s="12"/>
      <c r="F36" s="136" t="s">
        <v>50</v>
      </c>
      <c r="G36" s="115"/>
      <c r="H36" s="318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313" t="n">
        <f aca="false">H9+H10+H13+H14</f>
        <v>48877.5</v>
      </c>
      <c r="B37" s="12"/>
      <c r="C37" s="315" t="s">
        <v>51</v>
      </c>
      <c r="D37" s="315"/>
      <c r="E37" s="12"/>
      <c r="F37" s="316" t="n">
        <f aca="false">A37-C37</f>
        <v>47877.5</v>
      </c>
      <c r="G37" s="316"/>
      <c r="H37" s="318"/>
      <c r="I37" s="53"/>
      <c r="J37" s="53"/>
      <c r="K37" s="53"/>
    </row>
    <row r="38" customFormat="false" ht="17.35" hidden="false" customHeight="false" outlineLevel="0" collapsed="false">
      <c r="A38" s="313"/>
      <c r="B38" s="316"/>
      <c r="C38" s="316"/>
      <c r="D38" s="316"/>
      <c r="E38" s="316"/>
      <c r="F38" s="316"/>
      <c r="G38" s="316"/>
      <c r="H38" s="318"/>
      <c r="J38" s="59" t="s">
        <v>58</v>
      </c>
      <c r="K38" s="59"/>
      <c r="L38" s="53"/>
    </row>
    <row r="39" customFormat="false" ht="17.35" hidden="false" customHeight="false" outlineLevel="0" collapsed="false">
      <c r="A39" s="313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318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314" t="s">
        <v>47</v>
      </c>
      <c r="B40" s="12"/>
      <c r="C40" s="320" t="n">
        <f aca="false">A34-1</f>
        <v>32</v>
      </c>
      <c r="D40" s="320"/>
      <c r="E40" s="12"/>
      <c r="F40" s="315" t="s">
        <v>57</v>
      </c>
      <c r="G40" s="315"/>
      <c r="H40" s="318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313"/>
      <c r="B41" s="316"/>
      <c r="C41" s="316"/>
      <c r="D41" s="316"/>
      <c r="E41" s="316"/>
      <c r="F41" s="316"/>
      <c r="G41" s="316"/>
      <c r="H41" s="318"/>
      <c r="J41" s="53" t="s">
        <v>66</v>
      </c>
      <c r="K41" s="53" t="str">
        <f aca="false">IF(F43="Yes", A46, 0)</f>
        <v>50</v>
      </c>
      <c r="L41" s="53"/>
    </row>
    <row r="42" customFormat="false" ht="17.35" hidden="false" customHeight="false" outlineLevel="0" collapsed="false">
      <c r="A42" s="313" t="s">
        <v>254</v>
      </c>
      <c r="B42" s="12"/>
      <c r="C42" s="136" t="s">
        <v>61</v>
      </c>
      <c r="D42" s="115"/>
      <c r="E42" s="12"/>
      <c r="F42" s="136" t="s">
        <v>62</v>
      </c>
      <c r="G42" s="115"/>
      <c r="H42" s="318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314" t="s">
        <v>64</v>
      </c>
      <c r="B43" s="12"/>
      <c r="C43" s="315" t="s">
        <v>65</v>
      </c>
      <c r="D43" s="315"/>
      <c r="E43" s="12"/>
      <c r="F43" s="315" t="s">
        <v>27</v>
      </c>
      <c r="G43" s="315"/>
      <c r="H43" s="318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313"/>
      <c r="B44" s="316"/>
      <c r="C44" s="316"/>
      <c r="D44" s="316"/>
      <c r="E44" s="316"/>
      <c r="F44" s="316"/>
      <c r="G44" s="316"/>
      <c r="H44" s="318"/>
      <c r="J44" s="53" t="s">
        <v>72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313" t="s">
        <v>255</v>
      </c>
      <c r="B45" s="12"/>
      <c r="C45" s="136" t="s">
        <v>68</v>
      </c>
      <c r="D45" s="115"/>
      <c r="E45" s="12"/>
      <c r="F45" s="136" t="s">
        <v>256</v>
      </c>
      <c r="G45" s="115"/>
      <c r="H45" s="318"/>
      <c r="J45" s="53" t="s">
        <v>73</v>
      </c>
      <c r="K45" s="53" t="n">
        <f aca="false">(K39-K44)+K41</f>
        <v>287.954545454545</v>
      </c>
      <c r="L45" s="53"/>
    </row>
    <row r="46" customFormat="false" ht="17.35" hidden="false" customHeight="false" outlineLevel="0" collapsed="false">
      <c r="A46" s="314" t="s">
        <v>216</v>
      </c>
      <c r="B46" s="12"/>
      <c r="C46" s="315" t="n">
        <v>1</v>
      </c>
      <c r="D46" s="315"/>
      <c r="E46" s="12"/>
      <c r="F46" s="315" t="n">
        <v>0</v>
      </c>
      <c r="G46" s="315"/>
      <c r="H46" s="318"/>
      <c r="J46" s="53" t="s">
        <v>77</v>
      </c>
      <c r="K46" s="53" t="n">
        <v>0</v>
      </c>
      <c r="L46" s="53"/>
    </row>
    <row r="47" customFormat="false" ht="17.35" hidden="false" customHeight="false" outlineLevel="0" collapsed="false">
      <c r="A47" s="313"/>
      <c r="B47" s="316"/>
      <c r="C47" s="316"/>
      <c r="D47" s="316"/>
      <c r="E47" s="316"/>
      <c r="F47" s="316"/>
      <c r="G47" s="316"/>
      <c r="H47" s="318"/>
      <c r="J47" s="53" t="s">
        <v>78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313" t="s">
        <v>178</v>
      </c>
      <c r="B48" s="316"/>
      <c r="C48" s="316"/>
      <c r="D48" s="316"/>
      <c r="E48" s="316"/>
      <c r="F48" s="316"/>
      <c r="G48" s="316"/>
      <c r="H48" s="318"/>
      <c r="J48" s="66" t="s">
        <v>79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313" t="n">
        <f aca="false">C46+F46</f>
        <v>1</v>
      </c>
      <c r="B49" s="316"/>
      <c r="C49" s="316"/>
      <c r="D49" s="316"/>
      <c r="E49" s="12"/>
      <c r="F49" s="316"/>
      <c r="G49" s="316"/>
      <c r="H49" s="318"/>
      <c r="J49" s="66" t="s">
        <v>80</v>
      </c>
      <c r="K49" s="53" t="n">
        <f aca="false">K45+K48+K47</f>
        <v>288.924242424242</v>
      </c>
      <c r="L49" s="53"/>
    </row>
    <row r="50" customFormat="false" ht="17.35" hidden="false" customHeight="false" outlineLevel="0" collapsed="false">
      <c r="A50" s="321"/>
      <c r="B50" s="322"/>
      <c r="C50" s="322"/>
      <c r="D50" s="322"/>
      <c r="E50" s="322"/>
      <c r="F50" s="322"/>
      <c r="G50" s="323"/>
      <c r="H50" s="102"/>
      <c r="I50" s="53"/>
      <c r="J50" s="53"/>
      <c r="K50" s="53"/>
    </row>
    <row r="51" customFormat="false" ht="19.5" hidden="false" customHeight="true" outlineLevel="0" collapsed="false">
      <c r="A51" s="310"/>
      <c r="B51" s="311"/>
      <c r="C51" s="311"/>
      <c r="D51" s="311"/>
      <c r="E51" s="311"/>
      <c r="F51" s="311"/>
      <c r="G51" s="311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233</v>
      </c>
      <c r="B52" s="12"/>
      <c r="C52" s="12" t="s">
        <v>234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324" t="n">
        <v>1</v>
      </c>
      <c r="B53" s="12"/>
      <c r="C53" s="325" t="n">
        <v>1</v>
      </c>
      <c r="D53" s="325"/>
      <c r="E53" s="325"/>
      <c r="F53" s="12"/>
      <c r="G53" s="12"/>
      <c r="H53" s="11"/>
      <c r="I53" s="53"/>
      <c r="J53" s="53"/>
      <c r="K53" s="53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</row>
    <row r="55" customFormat="false" ht="17.35" hidden="false" customHeight="false" outlineLevel="0" collapsed="false">
      <c r="A55" s="310"/>
      <c r="B55" s="311"/>
      <c r="C55" s="311"/>
      <c r="D55" s="311"/>
      <c r="E55" s="311"/>
      <c r="F55" s="311"/>
      <c r="G55" s="311"/>
      <c r="H55" s="103"/>
      <c r="I55" s="53"/>
      <c r="J55" s="53"/>
      <c r="K55" s="53"/>
    </row>
    <row r="56" customFormat="false" ht="17.35" hidden="false" customHeight="false" outlineLevel="0" collapsed="false">
      <c r="A56" s="326" t="s">
        <v>240</v>
      </c>
      <c r="B56" s="12"/>
      <c r="C56" s="12"/>
      <c r="D56" s="327"/>
      <c r="E56" s="327"/>
      <c r="F56" s="327"/>
      <c r="G56" s="327"/>
      <c r="H56" s="328"/>
      <c r="I56" s="53"/>
      <c r="J56" s="53"/>
      <c r="K56" s="53"/>
    </row>
    <row r="57" customFormat="false" ht="19.5" hidden="false" customHeight="true" outlineLevel="0" collapsed="false">
      <c r="A57" s="293"/>
      <c r="B57" s="329"/>
      <c r="C57" s="329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330" t="s">
        <v>81</v>
      </c>
      <c r="B58" s="331" t="s">
        <v>82</v>
      </c>
      <c r="C58" s="331"/>
      <c r="D58" s="331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330"/>
      <c r="B59" s="332" t="str">
        <f aca="false">K30</f>
        <v>5000</v>
      </c>
      <c r="C59" s="332"/>
      <c r="D59" s="332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333" t="str">
        <f aca="false">K29</f>
        <v>33</v>
      </c>
      <c r="B60" s="71" t="n">
        <f aca="false">K49</f>
        <v>288.924242424242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293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321"/>
      <c r="B62" s="322"/>
      <c r="C62" s="322"/>
      <c r="D62" s="322"/>
      <c r="E62" s="322"/>
      <c r="F62" s="322"/>
      <c r="G62" s="322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308"/>
      <c r="B65" s="308"/>
      <c r="C65" s="308"/>
      <c r="D65" s="308"/>
      <c r="E65" s="308"/>
      <c r="F65" s="308"/>
      <c r="G65" s="308"/>
      <c r="H65" s="308"/>
      <c r="J65" s="53"/>
      <c r="K65" s="53"/>
    </row>
    <row r="66" customFormat="false" ht="17.35" hidden="false" customHeight="false" outlineLevel="0" collapsed="false">
      <c r="A66" s="310"/>
      <c r="B66" s="311"/>
      <c r="C66" s="311"/>
      <c r="D66" s="311"/>
      <c r="E66" s="334"/>
      <c r="F66" s="334"/>
      <c r="G66" s="334"/>
      <c r="H66" s="103"/>
      <c r="J66" s="310"/>
      <c r="K66" s="311"/>
      <c r="L66" s="311"/>
      <c r="M66" s="311"/>
      <c r="N66" s="334"/>
      <c r="O66" s="334"/>
      <c r="P66" s="334"/>
      <c r="Q66" s="103"/>
      <c r="S66" s="310"/>
      <c r="T66" s="311"/>
      <c r="U66" s="311"/>
      <c r="V66" s="311"/>
      <c r="W66" s="334"/>
      <c r="X66" s="334"/>
      <c r="Y66" s="334"/>
      <c r="Z66" s="103"/>
      <c r="AB66" s="310"/>
      <c r="AC66" s="311"/>
      <c r="AD66" s="311"/>
      <c r="AE66" s="311"/>
      <c r="AF66" s="334"/>
      <c r="AG66" s="334"/>
      <c r="AH66" s="334"/>
      <c r="AI66" s="103"/>
    </row>
    <row r="67" customFormat="false" ht="17.35" hidden="false" customHeight="false" outlineLevel="0" collapsed="false">
      <c r="A67" s="293" t="s">
        <v>84</v>
      </c>
      <c r="B67" s="12" t="n">
        <v>1</v>
      </c>
      <c r="C67" s="12"/>
      <c r="D67" s="12"/>
      <c r="E67" s="308"/>
      <c r="F67" s="308"/>
      <c r="G67" s="308"/>
      <c r="H67" s="11"/>
      <c r="J67" s="293" t="s">
        <v>84</v>
      </c>
      <c r="K67" s="12" t="n">
        <v>1</v>
      </c>
      <c r="L67" s="12"/>
      <c r="M67" s="12"/>
      <c r="N67" s="308"/>
      <c r="O67" s="308"/>
      <c r="P67" s="308"/>
      <c r="Q67" s="11"/>
      <c r="S67" s="293" t="s">
        <v>84</v>
      </c>
      <c r="T67" s="12" t="n">
        <v>1</v>
      </c>
      <c r="U67" s="12"/>
      <c r="V67" s="12"/>
      <c r="W67" s="308"/>
      <c r="X67" s="308"/>
      <c r="Y67" s="308"/>
      <c r="Z67" s="11"/>
      <c r="AB67" s="293" t="s">
        <v>84</v>
      </c>
      <c r="AC67" s="12" t="n">
        <v>1</v>
      </c>
      <c r="AD67" s="12"/>
      <c r="AE67" s="12"/>
      <c r="AF67" s="308"/>
      <c r="AG67" s="308"/>
      <c r="AH67" s="308"/>
      <c r="AI67" s="11"/>
    </row>
    <row r="68" customFormat="false" ht="17.35" hidden="false" customHeight="false" outlineLevel="0" collapsed="false">
      <c r="A68" s="293" t="s">
        <v>85</v>
      </c>
      <c r="B68" s="12" t="n">
        <f aca="false">K29-B67</f>
        <v>32</v>
      </c>
      <c r="C68" s="12"/>
      <c r="D68" s="12"/>
      <c r="E68" s="308"/>
      <c r="F68" s="308"/>
      <c r="G68" s="308"/>
      <c r="H68" s="11"/>
      <c r="J68" s="293" t="s">
        <v>85</v>
      </c>
      <c r="K68" s="12" t="n">
        <f aca="false">K29-K67</f>
        <v>32</v>
      </c>
      <c r="L68" s="12"/>
      <c r="M68" s="12"/>
      <c r="N68" s="308"/>
      <c r="O68" s="308"/>
      <c r="P68" s="308"/>
      <c r="Q68" s="11"/>
      <c r="S68" s="293" t="s">
        <v>85</v>
      </c>
      <c r="T68" s="12" t="n">
        <f aca="false">K29-T67</f>
        <v>32</v>
      </c>
      <c r="U68" s="12"/>
      <c r="V68" s="12"/>
      <c r="W68" s="308"/>
      <c r="X68" s="308"/>
      <c r="Y68" s="308"/>
      <c r="Z68" s="11"/>
      <c r="AB68" s="293" t="s">
        <v>85</v>
      </c>
      <c r="AC68" s="12" t="n">
        <f aca="false">K29-AC67</f>
        <v>32</v>
      </c>
      <c r="AD68" s="12"/>
      <c r="AE68" s="12"/>
      <c r="AF68" s="308"/>
      <c r="AG68" s="308"/>
      <c r="AH68" s="308"/>
      <c r="AI68" s="11"/>
    </row>
    <row r="69" customFormat="false" ht="17.35" hidden="false" customHeight="false" outlineLevel="0" collapsed="false">
      <c r="A69" s="335" t="s">
        <v>257</v>
      </c>
      <c r="B69" s="89" t="n">
        <v>10</v>
      </c>
      <c r="C69" s="12"/>
      <c r="D69" s="12"/>
      <c r="E69" s="308"/>
      <c r="F69" s="308"/>
      <c r="G69" s="308"/>
      <c r="H69" s="11"/>
      <c r="J69" s="335" t="s">
        <v>257</v>
      </c>
      <c r="K69" s="89" t="n">
        <v>20</v>
      </c>
      <c r="L69" s="12"/>
      <c r="M69" s="12"/>
      <c r="N69" s="308"/>
      <c r="O69" s="308"/>
      <c r="P69" s="308"/>
      <c r="Q69" s="11"/>
      <c r="S69" s="335" t="s">
        <v>257</v>
      </c>
      <c r="T69" s="89" t="n">
        <v>10</v>
      </c>
      <c r="U69" s="12"/>
      <c r="V69" s="12"/>
      <c r="W69" s="308"/>
      <c r="X69" s="308"/>
      <c r="Y69" s="308"/>
      <c r="Z69" s="11"/>
      <c r="AB69" s="335" t="s">
        <v>257</v>
      </c>
      <c r="AC69" s="89" t="n">
        <v>10</v>
      </c>
      <c r="AD69" s="12"/>
      <c r="AE69" s="12"/>
      <c r="AF69" s="308"/>
      <c r="AG69" s="308"/>
      <c r="AH69" s="308"/>
      <c r="AI69" s="11"/>
    </row>
    <row r="70" customFormat="false" ht="17.35" hidden="false" customHeight="false" outlineLevel="0" collapsed="false">
      <c r="A70" s="293" t="s">
        <v>23</v>
      </c>
      <c r="B70" s="12" t="n">
        <f aca="false">J18</f>
        <v>57225</v>
      </c>
      <c r="C70" s="12"/>
      <c r="D70" s="12"/>
      <c r="E70" s="308"/>
      <c r="F70" s="308"/>
      <c r="G70" s="308"/>
      <c r="H70" s="11"/>
      <c r="J70" s="293" t="s">
        <v>23</v>
      </c>
      <c r="K70" s="12" t="n">
        <f aca="false">J18</f>
        <v>57225</v>
      </c>
      <c r="L70" s="12"/>
      <c r="M70" s="12"/>
      <c r="N70" s="308"/>
      <c r="O70" s="308"/>
      <c r="P70" s="308"/>
      <c r="Q70" s="11"/>
      <c r="S70" s="293" t="s">
        <v>23</v>
      </c>
      <c r="T70" s="12" t="n">
        <f aca="false">J18</f>
        <v>57225</v>
      </c>
      <c r="U70" s="12"/>
      <c r="V70" s="12"/>
      <c r="W70" s="308"/>
      <c r="X70" s="308"/>
      <c r="Y70" s="308"/>
      <c r="Z70" s="11"/>
      <c r="AB70" s="293" t="s">
        <v>23</v>
      </c>
      <c r="AC70" s="12" t="n">
        <f aca="false">J18</f>
        <v>57225</v>
      </c>
      <c r="AD70" s="12"/>
      <c r="AE70" s="12"/>
      <c r="AF70" s="308"/>
      <c r="AG70" s="308"/>
      <c r="AH70" s="308"/>
      <c r="AI70" s="11"/>
    </row>
    <row r="71" customFormat="false" ht="17.35" hidden="false" customHeight="false" outlineLevel="0" collapsed="false">
      <c r="A71" s="336" t="s">
        <v>258</v>
      </c>
      <c r="B71" s="337" t="n">
        <v>0</v>
      </c>
      <c r="C71" s="12"/>
      <c r="D71" s="12"/>
      <c r="E71" s="308"/>
      <c r="F71" s="308"/>
      <c r="G71" s="308"/>
      <c r="H71" s="11"/>
      <c r="J71" s="336" t="s">
        <v>258</v>
      </c>
      <c r="K71" s="337" t="n">
        <v>0.06</v>
      </c>
      <c r="L71" s="12"/>
      <c r="M71" s="12"/>
      <c r="N71" s="308"/>
      <c r="O71" s="308"/>
      <c r="P71" s="308"/>
      <c r="Q71" s="11"/>
      <c r="S71" s="336" t="s">
        <v>258</v>
      </c>
      <c r="T71" s="337" t="n">
        <f aca="false">IF(AND(K29&gt;= 12, K29&lt;=24), 0.0105, IF(AND(K29&gt;=48), -0.0075, 0))</f>
        <v>-0.0075</v>
      </c>
      <c r="U71" s="12"/>
      <c r="V71" s="12"/>
      <c r="W71" s="308"/>
      <c r="X71" s="308"/>
      <c r="Y71" s="308"/>
      <c r="Z71" s="11"/>
      <c r="AB71" s="336" t="s">
        <v>258</v>
      </c>
      <c r="AC71" s="337" t="n">
        <f aca="false">IF(AND(K29&gt;= 12, K29&lt;=24), 0.0105, IF(AND(K29&gt;=48), -0.0075, 0))</f>
        <v>-0.0075</v>
      </c>
      <c r="AD71" s="12"/>
      <c r="AE71" s="12"/>
      <c r="AF71" s="308"/>
      <c r="AG71" s="308"/>
      <c r="AH71" s="308"/>
      <c r="AI71" s="11"/>
    </row>
    <row r="72" customFormat="false" ht="17.35" hidden="false" customHeight="false" outlineLevel="0" collapsed="false">
      <c r="A72" s="290" t="s">
        <v>259</v>
      </c>
      <c r="B72" s="338" t="n">
        <v>0.065</v>
      </c>
      <c r="C72" s="12"/>
      <c r="D72" s="12"/>
      <c r="E72" s="308"/>
      <c r="F72" s="308"/>
      <c r="G72" s="308"/>
      <c r="H72" s="11"/>
      <c r="J72" s="290" t="s">
        <v>259</v>
      </c>
      <c r="K72" s="338" t="n">
        <v>0.08</v>
      </c>
      <c r="L72" s="12"/>
      <c r="M72" s="12"/>
      <c r="N72" s="308"/>
      <c r="O72" s="308"/>
      <c r="P72" s="308"/>
      <c r="Q72" s="11"/>
      <c r="S72" s="290" t="s">
        <v>259</v>
      </c>
      <c r="T72" s="338" t="n">
        <v>0.059</v>
      </c>
      <c r="U72" s="12"/>
      <c r="V72" s="12"/>
      <c r="W72" s="308"/>
      <c r="X72" s="308"/>
      <c r="Y72" s="308"/>
      <c r="Z72" s="11"/>
      <c r="AB72" s="290" t="s">
        <v>259</v>
      </c>
      <c r="AC72" s="338" t="n">
        <v>0.059</v>
      </c>
      <c r="AD72" s="12"/>
      <c r="AE72" s="12"/>
      <c r="AF72" s="308"/>
      <c r="AG72" s="308"/>
      <c r="AH72" s="308"/>
      <c r="AI72" s="11"/>
    </row>
    <row r="73" customFormat="false" ht="17.35" hidden="false" customHeight="false" outlineLevel="0" collapsed="false">
      <c r="A73" s="339" t="s">
        <v>260</v>
      </c>
      <c r="B73" s="340" t="n">
        <v>0.072</v>
      </c>
      <c r="C73" s="12"/>
      <c r="D73" s="12"/>
      <c r="E73" s="308"/>
      <c r="F73" s="308"/>
      <c r="G73" s="308"/>
      <c r="H73" s="11"/>
      <c r="J73" s="339" t="s">
        <v>260</v>
      </c>
      <c r="K73" s="340" t="n">
        <v>0.1</v>
      </c>
      <c r="L73" s="12"/>
      <c r="M73" s="12"/>
      <c r="N73" s="308"/>
      <c r="O73" s="308"/>
      <c r="P73" s="308"/>
      <c r="Q73" s="11"/>
      <c r="S73" s="339" t="s">
        <v>260</v>
      </c>
      <c r="T73" s="340" t="n">
        <f aca="false">IF(T117=AP117, 2.4%, 7.2%)</f>
        <v>0.072</v>
      </c>
      <c r="U73" s="12"/>
      <c r="V73" s="12"/>
      <c r="W73" s="308"/>
      <c r="X73" s="308"/>
      <c r="Y73" s="308"/>
      <c r="Z73" s="11"/>
      <c r="AB73" s="339" t="s">
        <v>260</v>
      </c>
      <c r="AC73" s="340" t="n">
        <f aca="false">IF(AC117=AP117, 2.4%, 7.2%)</f>
        <v>0.072</v>
      </c>
      <c r="AD73" s="12"/>
      <c r="AE73" s="12"/>
      <c r="AF73" s="308"/>
      <c r="AG73" s="308"/>
      <c r="AH73" s="308"/>
      <c r="AI73" s="11"/>
    </row>
    <row r="74" customFormat="false" ht="17.35" hidden="false" customHeight="false" outlineLevel="0" collapsed="false">
      <c r="A74" s="321" t="s">
        <v>88</v>
      </c>
      <c r="B74" s="85" t="n">
        <f aca="false">(B98*B68)-(K47*K29)</f>
        <v>52464.3332978415</v>
      </c>
      <c r="C74" s="12"/>
      <c r="D74" s="12"/>
      <c r="E74" s="308"/>
      <c r="F74" s="308"/>
      <c r="G74" s="308"/>
      <c r="H74" s="11"/>
      <c r="J74" s="321" t="s">
        <v>88</v>
      </c>
      <c r="K74" s="85" t="n">
        <f aca="false">(K98*K68)-(K47*K29)</f>
        <v>50218.602484192</v>
      </c>
      <c r="L74" s="12"/>
      <c r="M74" s="12"/>
      <c r="N74" s="308"/>
      <c r="O74" s="308"/>
      <c r="P74" s="308"/>
      <c r="Q74" s="11"/>
      <c r="S74" s="321" t="s">
        <v>88</v>
      </c>
      <c r="T74" s="85" t="n">
        <f aca="false">(T98*T68)-(K47*K29)</f>
        <v>53575.5554919699</v>
      </c>
      <c r="U74" s="12"/>
      <c r="V74" s="12"/>
      <c r="W74" s="308"/>
      <c r="X74" s="308"/>
      <c r="Y74" s="308"/>
      <c r="Z74" s="11"/>
      <c r="AB74" s="321" t="s">
        <v>88</v>
      </c>
      <c r="AC74" s="85" t="n">
        <f aca="false">(AC98*AC68)-(K47*K29)</f>
        <v>53575.5554919699</v>
      </c>
      <c r="AD74" s="12"/>
      <c r="AE74" s="12"/>
      <c r="AF74" s="308"/>
      <c r="AG74" s="308"/>
      <c r="AH74" s="308"/>
      <c r="AI74" s="11"/>
    </row>
    <row r="75" customFormat="false" ht="17.35" hidden="false" customHeight="false" outlineLevel="0" collapsed="false">
      <c r="A75" s="336" t="s">
        <v>89</v>
      </c>
      <c r="B75" s="337" t="n">
        <v>0.005</v>
      </c>
      <c r="C75" s="12"/>
      <c r="D75" s="12"/>
      <c r="E75" s="308"/>
      <c r="F75" s="308"/>
      <c r="G75" s="308"/>
      <c r="H75" s="11"/>
      <c r="J75" s="336" t="s">
        <v>89</v>
      </c>
      <c r="K75" s="337" t="n">
        <v>0.05</v>
      </c>
      <c r="L75" s="12"/>
      <c r="M75" s="12"/>
      <c r="N75" s="308"/>
      <c r="O75" s="308"/>
      <c r="P75" s="308"/>
      <c r="Q75" s="11"/>
      <c r="S75" s="336" t="s">
        <v>89</v>
      </c>
      <c r="T75" s="337" t="n">
        <v>0.005</v>
      </c>
      <c r="U75" s="12"/>
      <c r="V75" s="12"/>
      <c r="W75" s="308"/>
      <c r="X75" s="308"/>
      <c r="Y75" s="308"/>
      <c r="Z75" s="11"/>
      <c r="AB75" s="336" t="s">
        <v>89</v>
      </c>
      <c r="AC75" s="337" t="n">
        <v>0.005</v>
      </c>
      <c r="AD75" s="12"/>
      <c r="AE75" s="12"/>
      <c r="AF75" s="308"/>
      <c r="AG75" s="308"/>
      <c r="AH75" s="308"/>
      <c r="AI75" s="11"/>
    </row>
    <row r="76" customFormat="false" ht="17.35" hidden="false" customHeight="false" outlineLevel="0" collapsed="false">
      <c r="A76" s="293" t="s">
        <v>90</v>
      </c>
      <c r="B76" s="341" t="n">
        <f aca="false">B75+(B75*0.5*(K29/12-1))</f>
        <v>0.009375</v>
      </c>
      <c r="C76" s="12"/>
      <c r="D76" s="12"/>
      <c r="E76" s="308"/>
      <c r="F76" s="308"/>
      <c r="G76" s="308"/>
      <c r="H76" s="11"/>
      <c r="J76" s="293" t="s">
        <v>90</v>
      </c>
      <c r="K76" s="341" t="n">
        <f aca="false">K75+(K75*0.25*(K29/12-1))</f>
        <v>0.071875</v>
      </c>
      <c r="L76" s="12"/>
      <c r="M76" s="12"/>
      <c r="N76" s="308"/>
      <c r="O76" s="308"/>
      <c r="P76" s="308"/>
      <c r="Q76" s="11"/>
      <c r="S76" s="293" t="s">
        <v>90</v>
      </c>
      <c r="T76" s="341" t="n">
        <f aca="false">T75+(T75*0.5*(K29/12-1))</f>
        <v>0.009375</v>
      </c>
      <c r="U76" s="12"/>
      <c r="V76" s="12"/>
      <c r="W76" s="308"/>
      <c r="X76" s="308"/>
      <c r="Y76" s="308"/>
      <c r="Z76" s="11"/>
      <c r="AB76" s="293" t="s">
        <v>90</v>
      </c>
      <c r="AC76" s="341" t="n">
        <f aca="false">AC75+(AC75*0.5*(K29/12-1))</f>
        <v>0.009375</v>
      </c>
      <c r="AD76" s="12"/>
      <c r="AE76" s="12"/>
      <c r="AF76" s="308"/>
      <c r="AG76" s="308"/>
      <c r="AH76" s="308"/>
      <c r="AI76" s="11"/>
    </row>
    <row r="77" customFormat="false" ht="17.35" hidden="false" customHeight="false" outlineLevel="0" collapsed="false">
      <c r="A77" s="321" t="s">
        <v>91</v>
      </c>
      <c r="B77" s="85" t="n">
        <f aca="false">(G167*B76)</f>
        <v>548.671875</v>
      </c>
      <c r="C77" s="12"/>
      <c r="D77" s="12"/>
      <c r="E77" s="308"/>
      <c r="F77" s="308"/>
      <c r="G77" s="308"/>
      <c r="H77" s="11"/>
      <c r="J77" s="321" t="s">
        <v>91</v>
      </c>
      <c r="K77" s="85" t="n">
        <f aca="false">K70*K76</f>
        <v>4113.046875</v>
      </c>
      <c r="L77" s="12"/>
      <c r="M77" s="12"/>
      <c r="N77" s="308"/>
      <c r="O77" s="308"/>
      <c r="P77" s="308"/>
      <c r="Q77" s="11"/>
      <c r="S77" s="321" t="s">
        <v>91</v>
      </c>
      <c r="T77" s="85" t="n">
        <f aca="false">T70*T76</f>
        <v>536.484375</v>
      </c>
      <c r="U77" s="12"/>
      <c r="V77" s="12"/>
      <c r="W77" s="308"/>
      <c r="X77" s="308"/>
      <c r="Y77" s="308"/>
      <c r="Z77" s="11"/>
      <c r="AB77" s="321" t="s">
        <v>91</v>
      </c>
      <c r="AC77" s="85" t="n">
        <f aca="false">AH167*AC76</f>
        <v>426.269521875</v>
      </c>
      <c r="AD77" s="12"/>
      <c r="AE77" s="12"/>
      <c r="AF77" s="308"/>
      <c r="AG77" s="308"/>
      <c r="AH77" s="308"/>
      <c r="AI77" s="11"/>
    </row>
    <row r="78" customFormat="false" ht="17.35" hidden="false" customHeight="false" outlineLevel="0" collapsed="false">
      <c r="A78" s="336" t="s">
        <v>92</v>
      </c>
      <c r="B78" s="337" t="n">
        <v>0</v>
      </c>
      <c r="C78" s="12"/>
      <c r="D78" s="12"/>
      <c r="E78" s="308"/>
      <c r="F78" s="308"/>
      <c r="G78" s="308"/>
      <c r="H78" s="11"/>
      <c r="J78" s="336" t="s">
        <v>92</v>
      </c>
      <c r="K78" s="337" t="n">
        <v>0</v>
      </c>
      <c r="L78" s="12"/>
      <c r="M78" s="12"/>
      <c r="N78" s="308"/>
      <c r="O78" s="308"/>
      <c r="P78" s="308"/>
      <c r="Q78" s="11"/>
      <c r="S78" s="336" t="s">
        <v>92</v>
      </c>
      <c r="T78" s="337" t="n">
        <v>0</v>
      </c>
      <c r="U78" s="12"/>
      <c r="V78" s="12"/>
      <c r="W78" s="308"/>
      <c r="X78" s="308"/>
      <c r="Y78" s="308"/>
      <c r="Z78" s="11"/>
      <c r="AB78" s="336" t="s">
        <v>92</v>
      </c>
      <c r="AC78" s="337" t="n">
        <v>0</v>
      </c>
      <c r="AD78" s="12"/>
      <c r="AE78" s="12"/>
      <c r="AF78" s="308"/>
      <c r="AG78" s="308"/>
      <c r="AH78" s="308"/>
      <c r="AI78" s="11"/>
    </row>
    <row r="79" customFormat="false" ht="17.35" hidden="false" customHeight="false" outlineLevel="0" collapsed="false">
      <c r="A79" s="290" t="s">
        <v>93</v>
      </c>
      <c r="B79" s="338" t="n">
        <v>0</v>
      </c>
      <c r="C79" s="12"/>
      <c r="D79" s="12"/>
      <c r="E79" s="308"/>
      <c r="F79" s="308"/>
      <c r="G79" s="308"/>
      <c r="H79" s="11"/>
      <c r="J79" s="290" t="s">
        <v>93</v>
      </c>
      <c r="K79" s="338" t="n">
        <v>0</v>
      </c>
      <c r="L79" s="12"/>
      <c r="M79" s="12"/>
      <c r="N79" s="308"/>
      <c r="O79" s="308"/>
      <c r="P79" s="308"/>
      <c r="Q79" s="11"/>
      <c r="S79" s="290" t="s">
        <v>93</v>
      </c>
      <c r="T79" s="338" t="n">
        <v>0</v>
      </c>
      <c r="U79" s="12"/>
      <c r="V79" s="12"/>
      <c r="W79" s="308"/>
      <c r="X79" s="308"/>
      <c r="Y79" s="308"/>
      <c r="Z79" s="11"/>
      <c r="AB79" s="290" t="s">
        <v>93</v>
      </c>
      <c r="AC79" s="338" t="n">
        <v>0</v>
      </c>
      <c r="AD79" s="12"/>
      <c r="AE79" s="12"/>
      <c r="AF79" s="308"/>
      <c r="AG79" s="308"/>
      <c r="AH79" s="308"/>
      <c r="AI79" s="11"/>
    </row>
    <row r="80" customFormat="false" ht="17.35" hidden="false" customHeight="false" outlineLevel="0" collapsed="false">
      <c r="A80" s="321" t="s">
        <v>94</v>
      </c>
      <c r="B80" s="342" t="n">
        <f aca="false">B78*(1+B79)</f>
        <v>0</v>
      </c>
      <c r="C80" s="12"/>
      <c r="D80" s="12"/>
      <c r="E80" s="308"/>
      <c r="F80" s="308"/>
      <c r="G80" s="308"/>
      <c r="H80" s="11"/>
      <c r="J80" s="321" t="s">
        <v>94</v>
      </c>
      <c r="K80" s="342" t="n">
        <f aca="false">K78*(1+K79)</f>
        <v>0</v>
      </c>
      <c r="L80" s="12"/>
      <c r="M80" s="12"/>
      <c r="N80" s="308"/>
      <c r="O80" s="308"/>
      <c r="P80" s="308"/>
      <c r="Q80" s="11"/>
      <c r="S80" s="321" t="s">
        <v>94</v>
      </c>
      <c r="T80" s="342" t="n">
        <f aca="false">T78*(1+T79)</f>
        <v>0</v>
      </c>
      <c r="U80" s="12"/>
      <c r="V80" s="12"/>
      <c r="W80" s="308"/>
      <c r="X80" s="308"/>
      <c r="Y80" s="308"/>
      <c r="Z80" s="11"/>
      <c r="AB80" s="321" t="s">
        <v>94</v>
      </c>
      <c r="AC80" s="342" t="n">
        <f aca="false">AC78*(1+AC79)</f>
        <v>0</v>
      </c>
      <c r="AD80" s="12"/>
      <c r="AE80" s="12"/>
      <c r="AF80" s="308"/>
      <c r="AG80" s="308"/>
      <c r="AH80" s="308"/>
      <c r="AI80" s="11"/>
    </row>
    <row r="81" customFormat="false" ht="17.35" hidden="false" customHeight="false" outlineLevel="0" collapsed="false">
      <c r="A81" s="336" t="s">
        <v>95</v>
      </c>
      <c r="B81" s="88" t="n">
        <v>0</v>
      </c>
      <c r="C81" s="12"/>
      <c r="D81" s="12"/>
      <c r="E81" s="308"/>
      <c r="F81" s="308"/>
      <c r="G81" s="308"/>
      <c r="H81" s="11"/>
      <c r="J81" s="336" t="s">
        <v>95</v>
      </c>
      <c r="K81" s="88" t="n">
        <v>0</v>
      </c>
      <c r="L81" s="12"/>
      <c r="M81" s="12"/>
      <c r="N81" s="308"/>
      <c r="O81" s="308"/>
      <c r="P81" s="308"/>
      <c r="Q81" s="11"/>
      <c r="S81" s="336" t="s">
        <v>95</v>
      </c>
      <c r="T81" s="88" t="n">
        <v>0</v>
      </c>
      <c r="U81" s="12"/>
      <c r="V81" s="12"/>
      <c r="W81" s="308"/>
      <c r="X81" s="308"/>
      <c r="Y81" s="308"/>
      <c r="Z81" s="11"/>
      <c r="AB81" s="336" t="s">
        <v>95</v>
      </c>
      <c r="AC81" s="88" t="n">
        <v>0</v>
      </c>
      <c r="AD81" s="12"/>
      <c r="AE81" s="12"/>
      <c r="AF81" s="308"/>
      <c r="AG81" s="308"/>
      <c r="AH81" s="308"/>
      <c r="AI81" s="11"/>
    </row>
    <row r="82" customFormat="false" ht="17.35" hidden="false" customHeight="false" outlineLevel="0" collapsed="false">
      <c r="A82" s="290" t="s">
        <v>96</v>
      </c>
      <c r="B82" s="89" t="n">
        <v>0</v>
      </c>
      <c r="C82" s="12"/>
      <c r="D82" s="12"/>
      <c r="E82" s="308"/>
      <c r="F82" s="308"/>
      <c r="G82" s="308"/>
      <c r="H82" s="11"/>
      <c r="J82" s="290" t="s">
        <v>96</v>
      </c>
      <c r="K82" s="89" t="n">
        <v>0</v>
      </c>
      <c r="L82" s="12"/>
      <c r="M82" s="12"/>
      <c r="N82" s="308"/>
      <c r="O82" s="308"/>
      <c r="P82" s="308"/>
      <c r="Q82" s="11"/>
      <c r="S82" s="290" t="s">
        <v>96</v>
      </c>
      <c r="T82" s="89" t="n">
        <v>0</v>
      </c>
      <c r="U82" s="12"/>
      <c r="V82" s="12"/>
      <c r="W82" s="308"/>
      <c r="X82" s="308"/>
      <c r="Y82" s="308"/>
      <c r="Z82" s="11"/>
      <c r="AB82" s="290" t="s">
        <v>96</v>
      </c>
      <c r="AC82" s="89" t="n">
        <v>0</v>
      </c>
      <c r="AD82" s="12"/>
      <c r="AE82" s="12"/>
      <c r="AF82" s="308"/>
      <c r="AG82" s="308"/>
      <c r="AH82" s="308"/>
      <c r="AI82" s="11"/>
    </row>
    <row r="83" customFormat="false" ht="17.35" hidden="false" customHeight="false" outlineLevel="0" collapsed="false">
      <c r="A83" s="321" t="s">
        <v>97</v>
      </c>
      <c r="B83" s="85" t="n">
        <f aca="false">B82*K29</f>
        <v>0</v>
      </c>
      <c r="C83" s="12"/>
      <c r="D83" s="12" t="n">
        <f aca="false">B83+B81</f>
        <v>0</v>
      </c>
      <c r="E83" s="308"/>
      <c r="F83" s="308"/>
      <c r="G83" s="308"/>
      <c r="H83" s="11"/>
      <c r="J83" s="321" t="s">
        <v>97</v>
      </c>
      <c r="K83" s="85" t="n">
        <f aca="false">K82*K29</f>
        <v>0</v>
      </c>
      <c r="L83" s="12"/>
      <c r="M83" s="12" t="n">
        <f aca="false">K83+K81</f>
        <v>0</v>
      </c>
      <c r="N83" s="308"/>
      <c r="O83" s="308"/>
      <c r="P83" s="308"/>
      <c r="Q83" s="11"/>
      <c r="S83" s="321" t="s">
        <v>97</v>
      </c>
      <c r="T83" s="85" t="n">
        <f aca="false">T82*K29</f>
        <v>0</v>
      </c>
      <c r="U83" s="12"/>
      <c r="V83" s="12" t="n">
        <f aca="false">T83+T81</f>
        <v>0</v>
      </c>
      <c r="W83" s="308"/>
      <c r="X83" s="308"/>
      <c r="Y83" s="308"/>
      <c r="Z83" s="11"/>
      <c r="AB83" s="321" t="s">
        <v>97</v>
      </c>
      <c r="AC83" s="85" t="n">
        <f aca="false">AC82*K29</f>
        <v>0</v>
      </c>
      <c r="AD83" s="12"/>
      <c r="AE83" s="12" t="n">
        <f aca="false">AC83+AC81</f>
        <v>0</v>
      </c>
      <c r="AF83" s="308"/>
      <c r="AG83" s="308"/>
      <c r="AH83" s="308"/>
      <c r="AI83" s="11"/>
    </row>
    <row r="84" customFormat="false" ht="17.35" hidden="false" customHeight="false" outlineLevel="0" collapsed="false">
      <c r="A84" s="290" t="s">
        <v>104</v>
      </c>
      <c r="B84" s="89" t="n">
        <v>0</v>
      </c>
      <c r="C84" s="12"/>
      <c r="D84" s="12" t="n">
        <f aca="false">B84</f>
        <v>0</v>
      </c>
      <c r="E84" s="308"/>
      <c r="F84" s="308"/>
      <c r="G84" s="308"/>
      <c r="H84" s="11"/>
      <c r="J84" s="290" t="s">
        <v>104</v>
      </c>
      <c r="K84" s="89" t="n">
        <v>0</v>
      </c>
      <c r="L84" s="12"/>
      <c r="M84" s="12" t="n">
        <f aca="false">K84</f>
        <v>0</v>
      </c>
      <c r="N84" s="308"/>
      <c r="O84" s="308"/>
      <c r="P84" s="308"/>
      <c r="Q84" s="11"/>
      <c r="S84" s="290" t="s">
        <v>104</v>
      </c>
      <c r="T84" s="89" t="n">
        <v>0</v>
      </c>
      <c r="U84" s="12"/>
      <c r="V84" s="12" t="n">
        <f aca="false">T84</f>
        <v>0</v>
      </c>
      <c r="W84" s="308"/>
      <c r="X84" s="308"/>
      <c r="Y84" s="308"/>
      <c r="Z84" s="11"/>
      <c r="AB84" s="290" t="s">
        <v>104</v>
      </c>
      <c r="AC84" s="89" t="n">
        <v>0</v>
      </c>
      <c r="AD84" s="12"/>
      <c r="AE84" s="12" t="n">
        <f aca="false">AC84</f>
        <v>0</v>
      </c>
      <c r="AF84" s="308"/>
      <c r="AG84" s="308"/>
      <c r="AH84" s="308"/>
      <c r="AI84" s="11"/>
    </row>
    <row r="85" customFormat="false" ht="17.35" hidden="false" customHeight="false" outlineLevel="0" collapsed="false">
      <c r="A85" s="339" t="s">
        <v>105</v>
      </c>
      <c r="B85" s="98" t="n">
        <v>0</v>
      </c>
      <c r="C85" s="12"/>
      <c r="D85" s="12" t="n">
        <f aca="false">B85</f>
        <v>0</v>
      </c>
      <c r="E85" s="308"/>
      <c r="F85" s="12"/>
      <c r="G85" s="308"/>
      <c r="H85" s="11"/>
      <c r="J85" s="339" t="s">
        <v>105</v>
      </c>
      <c r="K85" s="98" t="n">
        <v>0</v>
      </c>
      <c r="L85" s="12"/>
      <c r="M85" s="12" t="n">
        <f aca="false">K85</f>
        <v>0</v>
      </c>
      <c r="N85" s="308"/>
      <c r="O85" s="308"/>
      <c r="P85" s="308"/>
      <c r="Q85" s="11"/>
      <c r="S85" s="339" t="s">
        <v>105</v>
      </c>
      <c r="T85" s="98" t="n">
        <v>0</v>
      </c>
      <c r="U85" s="12"/>
      <c r="V85" s="12" t="n">
        <f aca="false">T85</f>
        <v>0</v>
      </c>
      <c r="W85" s="308"/>
      <c r="X85" s="308"/>
      <c r="Y85" s="308"/>
      <c r="Z85" s="11"/>
      <c r="AB85" s="339" t="s">
        <v>105</v>
      </c>
      <c r="AC85" s="98" t="n">
        <v>0</v>
      </c>
      <c r="AD85" s="12"/>
      <c r="AE85" s="12" t="n">
        <f aca="false">AC85</f>
        <v>0</v>
      </c>
      <c r="AF85" s="308"/>
      <c r="AG85" s="308"/>
      <c r="AH85" s="308"/>
      <c r="AI85" s="11"/>
    </row>
    <row r="86" customFormat="false" ht="17.35" hidden="false" customHeight="false" outlineLevel="0" collapsed="false">
      <c r="A86" s="343" t="s">
        <v>106</v>
      </c>
      <c r="B86" s="344" t="n">
        <f aca="false">SUM(D74:D85)</f>
        <v>0</v>
      </c>
      <c r="C86" s="12"/>
      <c r="D86" s="12"/>
      <c r="E86" s="308"/>
      <c r="F86" s="12"/>
      <c r="G86" s="12"/>
      <c r="H86" s="11"/>
      <c r="J86" s="343" t="s">
        <v>106</v>
      </c>
      <c r="K86" s="344" t="n">
        <f aca="false">SUM(M74:M85)</f>
        <v>0</v>
      </c>
      <c r="L86" s="12"/>
      <c r="M86" s="12"/>
      <c r="N86" s="308"/>
      <c r="O86" s="308"/>
      <c r="P86" s="308"/>
      <c r="Q86" s="11"/>
      <c r="S86" s="343" t="s">
        <v>106</v>
      </c>
      <c r="T86" s="344" t="n">
        <f aca="false">SUM(V74:V85)</f>
        <v>0</v>
      </c>
      <c r="U86" s="12"/>
      <c r="V86" s="12"/>
      <c r="W86" s="308"/>
      <c r="X86" s="308"/>
      <c r="Y86" s="308"/>
      <c r="Z86" s="11"/>
      <c r="AB86" s="343" t="s">
        <v>106</v>
      </c>
      <c r="AC86" s="344" t="n">
        <f aca="false">SUM(AE74:AE85)</f>
        <v>0</v>
      </c>
      <c r="AD86" s="12"/>
      <c r="AE86" s="12"/>
      <c r="AF86" s="308"/>
      <c r="AG86" s="308"/>
      <c r="AH86" s="308"/>
      <c r="AI86" s="11"/>
    </row>
    <row r="87" customFormat="false" ht="17.35" hidden="false" customHeight="false" outlineLevel="0" collapsed="false">
      <c r="A87" s="293" t="s">
        <v>107</v>
      </c>
      <c r="B87" s="11" t="n">
        <f aca="false">B86/K29</f>
        <v>0</v>
      </c>
      <c r="C87" s="12"/>
      <c r="D87" s="12"/>
      <c r="E87" s="308"/>
      <c r="F87" s="308"/>
      <c r="G87" s="308"/>
      <c r="H87" s="11"/>
      <c r="J87" s="293" t="s">
        <v>107</v>
      </c>
      <c r="K87" s="11" t="n">
        <f aca="false">K86/K29</f>
        <v>0</v>
      </c>
      <c r="L87" s="12"/>
      <c r="M87" s="12"/>
      <c r="N87" s="308"/>
      <c r="O87" s="308"/>
      <c r="P87" s="308"/>
      <c r="Q87" s="11"/>
      <c r="S87" s="293" t="s">
        <v>107</v>
      </c>
      <c r="T87" s="11" t="n">
        <f aca="false">T86/K29</f>
        <v>0</v>
      </c>
      <c r="U87" s="12"/>
      <c r="V87" s="12"/>
      <c r="W87" s="308"/>
      <c r="X87" s="308"/>
      <c r="Y87" s="308"/>
      <c r="Z87" s="11"/>
      <c r="AB87" s="293" t="s">
        <v>107</v>
      </c>
      <c r="AC87" s="11" t="n">
        <f aca="false">AC86/K29</f>
        <v>0</v>
      </c>
      <c r="AD87" s="12"/>
      <c r="AE87" s="12"/>
      <c r="AF87" s="308"/>
      <c r="AG87" s="308"/>
      <c r="AH87" s="308"/>
      <c r="AI87" s="11"/>
    </row>
    <row r="88" customFormat="false" ht="17.35" hidden="false" customHeight="false" outlineLevel="0" collapsed="false">
      <c r="A88" s="345" t="s">
        <v>108</v>
      </c>
      <c r="B88" s="102" t="n">
        <f aca="false">K49</f>
        <v>288.924242424242</v>
      </c>
      <c r="C88" s="12"/>
      <c r="D88" s="12"/>
      <c r="E88" s="308"/>
      <c r="F88" s="308"/>
      <c r="G88" s="308"/>
      <c r="H88" s="11"/>
      <c r="J88" s="345" t="s">
        <v>108</v>
      </c>
      <c r="K88" s="102" t="n">
        <f aca="false">K47</f>
        <v>0.363636363636364</v>
      </c>
      <c r="L88" s="12"/>
      <c r="M88" s="12"/>
      <c r="N88" s="308"/>
      <c r="O88" s="308"/>
      <c r="P88" s="308"/>
      <c r="Q88" s="11"/>
      <c r="S88" s="345" t="s">
        <v>108</v>
      </c>
      <c r="T88" s="102" t="n">
        <f aca="false">B60</f>
        <v>288.924242424242</v>
      </c>
      <c r="U88" s="12"/>
      <c r="V88" s="12"/>
      <c r="W88" s="308"/>
      <c r="X88" s="308"/>
      <c r="Y88" s="308"/>
      <c r="Z88" s="11"/>
      <c r="AB88" s="345" t="s">
        <v>108</v>
      </c>
      <c r="AC88" s="102" t="n">
        <f aca="false">B60</f>
        <v>288.924242424242</v>
      </c>
      <c r="AD88" s="12"/>
      <c r="AE88" s="12"/>
      <c r="AF88" s="308"/>
      <c r="AG88" s="308"/>
      <c r="AH88" s="308"/>
      <c r="AI88" s="11"/>
    </row>
    <row r="89" customFormat="false" ht="17.35" hidden="false" customHeight="false" outlineLevel="0" collapsed="false">
      <c r="A89" s="293"/>
      <c r="B89" s="12"/>
      <c r="C89" s="12"/>
      <c r="D89" s="12"/>
      <c r="E89" s="308"/>
      <c r="F89" s="308"/>
      <c r="G89" s="308"/>
      <c r="H89" s="11"/>
      <c r="J89" s="293"/>
      <c r="K89" s="12"/>
      <c r="L89" s="12"/>
      <c r="M89" s="12"/>
      <c r="N89" s="308"/>
      <c r="O89" s="308"/>
      <c r="P89" s="308"/>
      <c r="Q89" s="11"/>
      <c r="S89" s="293"/>
      <c r="T89" s="12"/>
      <c r="U89" s="12"/>
      <c r="V89" s="12"/>
      <c r="W89" s="308"/>
      <c r="X89" s="308"/>
      <c r="Y89" s="308"/>
      <c r="Z89" s="11"/>
      <c r="AB89" s="293"/>
      <c r="AC89" s="12"/>
      <c r="AD89" s="12"/>
      <c r="AE89" s="12"/>
      <c r="AF89" s="308"/>
      <c r="AG89" s="308"/>
      <c r="AH89" s="308"/>
      <c r="AI89" s="11"/>
    </row>
    <row r="90" customFormat="false" ht="17.35" hidden="false" customHeight="false" outlineLevel="0" collapsed="false">
      <c r="A90" s="310" t="s">
        <v>261</v>
      </c>
      <c r="B90" s="103" t="n">
        <f aca="false">F37</f>
        <v>47877.5</v>
      </c>
      <c r="C90" s="12"/>
      <c r="D90" s="12"/>
      <c r="E90" s="308"/>
      <c r="F90" s="308"/>
      <c r="G90" s="308"/>
      <c r="H90" s="11"/>
      <c r="J90" s="310" t="s">
        <v>261</v>
      </c>
      <c r="K90" s="103" t="n">
        <f aca="false">P167</f>
        <v>37655</v>
      </c>
      <c r="L90" s="12"/>
      <c r="M90" s="12"/>
      <c r="N90" s="308"/>
      <c r="O90" s="308"/>
      <c r="P90" s="308"/>
      <c r="Q90" s="11"/>
      <c r="S90" s="310" t="s">
        <v>261</v>
      </c>
      <c r="T90" s="103" t="n">
        <f aca="false">Y167</f>
        <v>45468.749</v>
      </c>
      <c r="U90" s="12"/>
      <c r="V90" s="12"/>
      <c r="W90" s="308"/>
      <c r="X90" s="308"/>
      <c r="Y90" s="308"/>
      <c r="Z90" s="11"/>
      <c r="AB90" s="310" t="s">
        <v>261</v>
      </c>
      <c r="AC90" s="103" t="n">
        <f aca="false">AH167</f>
        <v>45468.749</v>
      </c>
      <c r="AD90" s="12"/>
      <c r="AE90" s="12"/>
      <c r="AF90" s="308"/>
      <c r="AG90" s="308"/>
      <c r="AH90" s="308"/>
      <c r="AI90" s="11"/>
    </row>
    <row r="91" customFormat="false" ht="17.35" hidden="false" customHeight="false" outlineLevel="0" collapsed="false">
      <c r="A91" s="293" t="s">
        <v>229</v>
      </c>
      <c r="B91" s="11" t="str">
        <f aca="false">IF(A120 = "Yes", A43, 0)</f>
        <v>6000</v>
      </c>
      <c r="C91" s="12"/>
      <c r="D91" s="12"/>
      <c r="E91" s="308"/>
      <c r="F91" s="308"/>
      <c r="G91" s="308"/>
      <c r="H91" s="11"/>
      <c r="J91" s="293" t="s">
        <v>229</v>
      </c>
      <c r="K91" s="11" t="n">
        <f aca="false">IF(J120 = "YES", A40, 0)</f>
        <v>0</v>
      </c>
      <c r="L91" s="12"/>
      <c r="M91" s="12"/>
      <c r="N91" s="308"/>
      <c r="O91" s="308"/>
      <c r="P91" s="308"/>
      <c r="Q91" s="11"/>
      <c r="S91" s="293" t="s">
        <v>229</v>
      </c>
      <c r="T91" s="11" t="str">
        <f aca="false">A40</f>
        <v>12</v>
      </c>
      <c r="U91" s="12"/>
      <c r="V91" s="12"/>
      <c r="W91" s="308"/>
      <c r="X91" s="308"/>
      <c r="Y91" s="308"/>
      <c r="Z91" s="11"/>
      <c r="AB91" s="293" t="s">
        <v>229</v>
      </c>
      <c r="AC91" s="11" t="str">
        <f aca="false">A40</f>
        <v>12</v>
      </c>
      <c r="AD91" s="12"/>
      <c r="AE91" s="12"/>
      <c r="AF91" s="308"/>
      <c r="AG91" s="308"/>
      <c r="AH91" s="308"/>
      <c r="AI91" s="11"/>
    </row>
    <row r="92" customFormat="false" ht="17.35" hidden="false" customHeight="false" outlineLevel="0" collapsed="false">
      <c r="A92" s="293" t="s">
        <v>262</v>
      </c>
      <c r="B92" s="341" t="n">
        <f aca="false">B71+B72+B73</f>
        <v>0.137</v>
      </c>
      <c r="C92" s="12"/>
      <c r="D92" s="12"/>
      <c r="E92" s="308"/>
      <c r="F92" s="308"/>
      <c r="G92" s="308"/>
      <c r="H92" s="11"/>
      <c r="J92" s="293" t="s">
        <v>262</v>
      </c>
      <c r="K92" s="341" t="n">
        <f aca="false">K71+K72+K73</f>
        <v>0.24</v>
      </c>
      <c r="L92" s="12"/>
      <c r="M92" s="12"/>
      <c r="N92" s="308"/>
      <c r="O92" s="308"/>
      <c r="P92" s="308"/>
      <c r="Q92" s="11"/>
      <c r="S92" s="293" t="s">
        <v>262</v>
      </c>
      <c r="T92" s="341" t="n">
        <f aca="false">T71+T72+T73</f>
        <v>0.1235</v>
      </c>
      <c r="U92" s="12"/>
      <c r="V92" s="12"/>
      <c r="W92" s="308"/>
      <c r="X92" s="308"/>
      <c r="Y92" s="308"/>
      <c r="Z92" s="11"/>
      <c r="AB92" s="293" t="s">
        <v>262</v>
      </c>
      <c r="AC92" s="341" t="n">
        <f aca="false">AC71+AC72+AC73</f>
        <v>0.1235</v>
      </c>
      <c r="AD92" s="12"/>
      <c r="AE92" s="12"/>
      <c r="AF92" s="308"/>
      <c r="AG92" s="308"/>
      <c r="AH92" s="308"/>
      <c r="AI92" s="11"/>
    </row>
    <row r="93" customFormat="false" ht="17.35" hidden="false" customHeight="false" outlineLevel="0" collapsed="false">
      <c r="A93" s="293" t="s">
        <v>263</v>
      </c>
      <c r="B93" s="341" t="n">
        <f aca="false">B92/12</f>
        <v>0.0114166666666667</v>
      </c>
      <c r="C93" s="12"/>
      <c r="D93" s="12"/>
      <c r="E93" s="308"/>
      <c r="F93" s="308"/>
      <c r="G93" s="308"/>
      <c r="H93" s="11"/>
      <c r="J93" s="293" t="s">
        <v>263</v>
      </c>
      <c r="K93" s="341" t="n">
        <f aca="false">K92/12</f>
        <v>0.02</v>
      </c>
      <c r="L93" s="12"/>
      <c r="M93" s="12"/>
      <c r="N93" s="308"/>
      <c r="O93" s="308"/>
      <c r="P93" s="308"/>
      <c r="Q93" s="11"/>
      <c r="S93" s="293" t="s">
        <v>263</v>
      </c>
      <c r="T93" s="341" t="n">
        <f aca="false">T92/12</f>
        <v>0.0102916666666667</v>
      </c>
      <c r="U93" s="12"/>
      <c r="V93" s="12"/>
      <c r="W93" s="308"/>
      <c r="X93" s="308"/>
      <c r="Y93" s="308"/>
      <c r="Z93" s="11"/>
      <c r="AB93" s="293" t="s">
        <v>263</v>
      </c>
      <c r="AC93" s="341" t="n">
        <f aca="false">AC92/12</f>
        <v>0.0102916666666667</v>
      </c>
      <c r="AD93" s="12"/>
      <c r="AE93" s="12"/>
      <c r="AF93" s="308"/>
      <c r="AG93" s="308"/>
      <c r="AH93" s="308"/>
      <c r="AI93" s="11"/>
    </row>
    <row r="94" customFormat="false" ht="17.35" hidden="false" customHeight="false" outlineLevel="0" collapsed="false">
      <c r="A94" s="293" t="s">
        <v>264</v>
      </c>
      <c r="B94" s="11" t="n">
        <f aca="false">IF(B91=0, (B68+B67), (B68))</f>
        <v>32</v>
      </c>
      <c r="C94" s="12"/>
      <c r="D94" s="12"/>
      <c r="E94" s="308"/>
      <c r="F94" s="308"/>
      <c r="G94" s="308"/>
      <c r="H94" s="11"/>
      <c r="J94" s="293" t="s">
        <v>264</v>
      </c>
      <c r="K94" s="11" t="n">
        <f aca="false">IF(K91=0, (K68+K67), (K68))</f>
        <v>33</v>
      </c>
      <c r="L94" s="12"/>
      <c r="M94" s="12"/>
      <c r="N94" s="308"/>
      <c r="O94" s="308"/>
      <c r="P94" s="308"/>
      <c r="Q94" s="11"/>
      <c r="S94" s="293" t="s">
        <v>264</v>
      </c>
      <c r="T94" s="11" t="n">
        <f aca="false">T68</f>
        <v>32</v>
      </c>
      <c r="U94" s="12"/>
      <c r="V94" s="12"/>
      <c r="W94" s="308"/>
      <c r="X94" s="308"/>
      <c r="Y94" s="308"/>
      <c r="Z94" s="11"/>
      <c r="AB94" s="293" t="s">
        <v>264</v>
      </c>
      <c r="AC94" s="11" t="n">
        <f aca="false">AC68</f>
        <v>32</v>
      </c>
      <c r="AD94" s="12"/>
      <c r="AE94" s="12"/>
      <c r="AF94" s="308"/>
      <c r="AG94" s="308"/>
      <c r="AH94" s="308"/>
      <c r="AI94" s="11"/>
    </row>
    <row r="95" customFormat="false" ht="17.35" hidden="false" customHeight="false" outlineLevel="0" collapsed="false">
      <c r="A95" s="293" t="s">
        <v>265</v>
      </c>
      <c r="B95" s="11" t="n">
        <f aca="false">(B91/((1+B93)^(B94+1)))</f>
        <v>4125.32107917265</v>
      </c>
      <c r="C95" s="12"/>
      <c r="D95" s="12"/>
      <c r="E95" s="308"/>
      <c r="F95" s="308"/>
      <c r="G95" s="308"/>
      <c r="H95" s="11"/>
      <c r="J95" s="293" t="s">
        <v>265</v>
      </c>
      <c r="K95" s="11" t="n">
        <f aca="false">(K91/((1+K93)^(K94+1)))</f>
        <v>0</v>
      </c>
      <c r="L95" s="12"/>
      <c r="M95" s="12"/>
      <c r="N95" s="308"/>
      <c r="O95" s="308"/>
      <c r="P95" s="308"/>
      <c r="Q95" s="11"/>
      <c r="S95" s="293" t="s">
        <v>265</v>
      </c>
      <c r="T95" s="11" t="n">
        <f aca="false">(T91/((1+T93)^(T94+1)))</f>
        <v>8.55929138316766</v>
      </c>
      <c r="U95" s="12"/>
      <c r="V95" s="12"/>
      <c r="W95" s="308"/>
      <c r="X95" s="308"/>
      <c r="Y95" s="308"/>
      <c r="Z95" s="11"/>
      <c r="AB95" s="293" t="s">
        <v>265</v>
      </c>
      <c r="AC95" s="11" t="n">
        <f aca="false">(AC91/((1+AC93)^(AC94+1)))</f>
        <v>8.55929138316766</v>
      </c>
      <c r="AD95" s="12"/>
      <c r="AE95" s="12"/>
      <c r="AF95" s="308"/>
      <c r="AG95" s="308"/>
      <c r="AH95" s="308"/>
      <c r="AI95" s="11"/>
    </row>
    <row r="96" customFormat="false" ht="17.35" hidden="false" customHeight="false" outlineLevel="0" collapsed="false">
      <c r="A96" s="293" t="s">
        <v>266</v>
      </c>
      <c r="B96" s="11" t="n">
        <f aca="false">((1-(1/((1+B93)^B94)))/B93)</f>
        <v>26.6800219733353</v>
      </c>
      <c r="C96" s="12"/>
      <c r="D96" s="12"/>
      <c r="E96" s="308"/>
      <c r="F96" s="308"/>
      <c r="G96" s="308"/>
      <c r="H96" s="11"/>
      <c r="J96" s="293" t="s">
        <v>266</v>
      </c>
      <c r="K96" s="11" t="n">
        <f aca="false">((1-(1/((1+K93)^K94)))/K93)</f>
        <v>23.9885635530494</v>
      </c>
      <c r="L96" s="12"/>
      <c r="M96" s="12"/>
      <c r="N96" s="308"/>
      <c r="O96" s="308"/>
      <c r="P96" s="308"/>
      <c r="Q96" s="11"/>
      <c r="S96" s="293" t="s">
        <v>266</v>
      </c>
      <c r="T96" s="11" t="n">
        <f aca="false">((1-(1/((1+T93)^T94)))/T93)</f>
        <v>27.1467145183312</v>
      </c>
      <c r="U96" s="12"/>
      <c r="V96" s="12"/>
      <c r="W96" s="308"/>
      <c r="X96" s="308"/>
      <c r="Y96" s="308"/>
      <c r="Z96" s="11"/>
      <c r="AB96" s="293" t="s">
        <v>266</v>
      </c>
      <c r="AC96" s="11" t="n">
        <f aca="false">((1-(1/((1+AC93)^AC94)))/AC93)</f>
        <v>27.1467145183312</v>
      </c>
      <c r="AD96" s="12"/>
      <c r="AE96" s="12"/>
      <c r="AF96" s="308"/>
      <c r="AG96" s="308"/>
      <c r="AH96" s="308"/>
      <c r="AI96" s="11"/>
    </row>
    <row r="97" customFormat="false" ht="17.35" hidden="false" customHeight="false" outlineLevel="0" collapsed="false">
      <c r="A97" s="293" t="s">
        <v>267</v>
      </c>
      <c r="B97" s="11" t="n">
        <f aca="false">B90-B95</f>
        <v>43752.1789208274</v>
      </c>
      <c r="C97" s="12"/>
      <c r="D97" s="12"/>
      <c r="E97" s="308"/>
      <c r="F97" s="308"/>
      <c r="G97" s="308"/>
      <c r="H97" s="11"/>
      <c r="J97" s="293" t="s">
        <v>267</v>
      </c>
      <c r="K97" s="11" t="n">
        <f aca="false">K90-K95</f>
        <v>37655</v>
      </c>
      <c r="L97" s="12"/>
      <c r="M97" s="12"/>
      <c r="N97" s="308"/>
      <c r="O97" s="308"/>
      <c r="P97" s="308"/>
      <c r="Q97" s="11"/>
      <c r="S97" s="293" t="s">
        <v>267</v>
      </c>
      <c r="T97" s="11" t="n">
        <f aca="false">T90-T95</f>
        <v>45460.1897086168</v>
      </c>
      <c r="U97" s="12"/>
      <c r="V97" s="12"/>
      <c r="W97" s="308"/>
      <c r="X97" s="308"/>
      <c r="Y97" s="308"/>
      <c r="Z97" s="11"/>
      <c r="AB97" s="293" t="s">
        <v>267</v>
      </c>
      <c r="AC97" s="11" t="n">
        <f aca="false">AC90-AC95</f>
        <v>45460.1897086168</v>
      </c>
      <c r="AD97" s="12"/>
      <c r="AE97" s="12"/>
      <c r="AF97" s="308"/>
      <c r="AG97" s="308"/>
      <c r="AH97" s="308"/>
      <c r="AI97" s="11"/>
    </row>
    <row r="98" customFormat="false" ht="17.35" hidden="false" customHeight="false" outlineLevel="0" collapsed="false">
      <c r="A98" s="293" t="s">
        <v>268</v>
      </c>
      <c r="B98" s="11" t="n">
        <f aca="false">(B97/B96)</f>
        <v>1639.88541555755</v>
      </c>
      <c r="C98" s="12"/>
      <c r="D98" s="12"/>
      <c r="E98" s="308"/>
      <c r="F98" s="308"/>
      <c r="G98" s="308"/>
      <c r="H98" s="11"/>
      <c r="J98" s="293" t="s">
        <v>268</v>
      </c>
      <c r="K98" s="11" t="n">
        <f aca="false">(K97/K96)</f>
        <v>1569.706327631</v>
      </c>
      <c r="L98" s="12"/>
      <c r="M98" s="12"/>
      <c r="N98" s="308"/>
      <c r="O98" s="308"/>
      <c r="P98" s="308"/>
      <c r="Q98" s="11"/>
      <c r="S98" s="293" t="s">
        <v>268</v>
      </c>
      <c r="T98" s="11" t="n">
        <f aca="false">(T97/T96)</f>
        <v>1674.61110912406</v>
      </c>
      <c r="U98" s="12"/>
      <c r="V98" s="12"/>
      <c r="W98" s="308"/>
      <c r="X98" s="308"/>
      <c r="Y98" s="308"/>
      <c r="Z98" s="11"/>
      <c r="AB98" s="293" t="s">
        <v>268</v>
      </c>
      <c r="AC98" s="11" t="n">
        <f aca="false">(AC97/AC96)</f>
        <v>1674.61110912406</v>
      </c>
      <c r="AD98" s="12"/>
      <c r="AE98" s="12"/>
      <c r="AF98" s="308"/>
      <c r="AG98" s="308"/>
      <c r="AH98" s="308"/>
      <c r="AI98" s="11"/>
    </row>
    <row r="99" customFormat="false" ht="17.35" hidden="false" customHeight="false" outlineLevel="0" collapsed="false">
      <c r="A99" s="293" t="s">
        <v>109</v>
      </c>
      <c r="B99" s="11" t="n">
        <f aca="false">((B98*(B94))+B86)</f>
        <v>52476.3332978415</v>
      </c>
      <c r="C99" s="12"/>
      <c r="D99" s="12"/>
      <c r="E99" s="308"/>
      <c r="F99" s="308"/>
      <c r="G99" s="308"/>
      <c r="H99" s="11"/>
      <c r="J99" s="293" t="s">
        <v>109</v>
      </c>
      <c r="K99" s="11" t="n">
        <f aca="false">((K98*(K94))+K86)</f>
        <v>51800.308811823</v>
      </c>
      <c r="L99" s="12"/>
      <c r="M99" s="12"/>
      <c r="N99" s="308"/>
      <c r="O99" s="308"/>
      <c r="P99" s="308"/>
      <c r="Q99" s="11"/>
      <c r="S99" s="293" t="s">
        <v>109</v>
      </c>
      <c r="T99" s="11" t="n">
        <f aca="false">(T98*(T94))+T86</f>
        <v>53587.5554919699</v>
      </c>
      <c r="U99" s="12"/>
      <c r="V99" s="12"/>
      <c r="W99" s="308"/>
      <c r="X99" s="308"/>
      <c r="Y99" s="308"/>
      <c r="Z99" s="11"/>
      <c r="AB99" s="293" t="s">
        <v>109</v>
      </c>
      <c r="AC99" s="11" t="n">
        <f aca="false">(AC98*(AC68))+AC86</f>
        <v>53587.5554919699</v>
      </c>
      <c r="AD99" s="12"/>
      <c r="AE99" s="12"/>
      <c r="AF99" s="308"/>
      <c r="AG99" s="308"/>
      <c r="AH99" s="308"/>
      <c r="AI99" s="11"/>
    </row>
    <row r="100" customFormat="false" ht="17.35" hidden="false" customHeight="false" outlineLevel="0" collapsed="false">
      <c r="A100" s="293" t="s">
        <v>110</v>
      </c>
      <c r="B100" s="11" t="n">
        <f aca="false">(((B98*(B94))+B86)/(1-B80))*B80</f>
        <v>0</v>
      </c>
      <c r="C100" s="12"/>
      <c r="D100" s="12"/>
      <c r="E100" s="308"/>
      <c r="F100" s="308"/>
      <c r="G100" s="308"/>
      <c r="H100" s="11"/>
      <c r="J100" s="293" t="s">
        <v>110</v>
      </c>
      <c r="K100" s="11" t="n">
        <f aca="false">(K99/(1-K80))*K80</f>
        <v>0</v>
      </c>
      <c r="L100" s="12"/>
      <c r="M100" s="12"/>
      <c r="N100" s="308"/>
      <c r="O100" s="308"/>
      <c r="P100" s="308"/>
      <c r="Q100" s="11"/>
      <c r="S100" s="293" t="s">
        <v>110</v>
      </c>
      <c r="T100" s="11" t="n">
        <f aca="false">(T99/(1-T80))*T80</f>
        <v>0</v>
      </c>
      <c r="U100" s="12"/>
      <c r="V100" s="12"/>
      <c r="W100" s="308"/>
      <c r="X100" s="308"/>
      <c r="Y100" s="308"/>
      <c r="Z100" s="11"/>
      <c r="AB100" s="293" t="s">
        <v>110</v>
      </c>
      <c r="AC100" s="11" t="n">
        <f aca="false">(AC99/(1-AC80))*AC80</f>
        <v>0</v>
      </c>
      <c r="AD100" s="12"/>
      <c r="AE100" s="12"/>
      <c r="AF100" s="308"/>
      <c r="AG100" s="308"/>
      <c r="AH100" s="308"/>
      <c r="AI100" s="11"/>
    </row>
    <row r="101" customFormat="false" ht="17.35" hidden="false" customHeight="false" outlineLevel="0" collapsed="false">
      <c r="A101" s="321" t="s">
        <v>111</v>
      </c>
      <c r="B101" s="85" t="n">
        <f aca="false">(B99+B100)</f>
        <v>52476.3332978415</v>
      </c>
      <c r="C101" s="12"/>
      <c r="D101" s="12"/>
      <c r="E101" s="308"/>
      <c r="F101" s="308"/>
      <c r="G101" s="308"/>
      <c r="H101" s="11"/>
      <c r="J101" s="321" t="s">
        <v>111</v>
      </c>
      <c r="K101" s="85" t="n">
        <f aca="false">(K99+K100)</f>
        <v>51800.308811823</v>
      </c>
      <c r="L101" s="12"/>
      <c r="M101" s="12"/>
      <c r="N101" s="308"/>
      <c r="O101" s="308"/>
      <c r="P101" s="308"/>
      <c r="Q101" s="11"/>
      <c r="S101" s="321" t="s">
        <v>111</v>
      </c>
      <c r="T101" s="85" t="n">
        <f aca="false">(T99+T100)</f>
        <v>53587.5554919699</v>
      </c>
      <c r="U101" s="12"/>
      <c r="V101" s="12"/>
      <c r="W101" s="308"/>
      <c r="X101" s="308"/>
      <c r="Y101" s="308"/>
      <c r="Z101" s="11"/>
      <c r="AB101" s="321" t="s">
        <v>111</v>
      </c>
      <c r="AC101" s="85" t="n">
        <f aca="false">(AC99+AC100)</f>
        <v>53587.5554919699</v>
      </c>
      <c r="AD101" s="12"/>
      <c r="AE101" s="12"/>
      <c r="AF101" s="308"/>
      <c r="AG101" s="308"/>
      <c r="AH101" s="308"/>
      <c r="AI101" s="11"/>
    </row>
    <row r="102" customFormat="false" ht="17.35" hidden="false" customHeight="false" outlineLevel="0" collapsed="false">
      <c r="A102" s="293"/>
      <c r="B102" s="12"/>
      <c r="C102" s="12"/>
      <c r="D102" s="12"/>
      <c r="E102" s="308"/>
      <c r="F102" s="308"/>
      <c r="G102" s="308"/>
      <c r="H102" s="11"/>
      <c r="J102" s="293"/>
      <c r="K102" s="12"/>
      <c r="L102" s="12"/>
      <c r="M102" s="12"/>
      <c r="N102" s="308"/>
      <c r="O102" s="308"/>
      <c r="P102" s="308"/>
      <c r="Q102" s="11"/>
      <c r="S102" s="293"/>
      <c r="T102" s="12"/>
      <c r="U102" s="12"/>
      <c r="V102" s="12"/>
      <c r="W102" s="308"/>
      <c r="X102" s="308"/>
      <c r="Y102" s="308"/>
      <c r="Z102" s="11"/>
      <c r="AB102" s="293"/>
      <c r="AC102" s="12"/>
      <c r="AD102" s="12"/>
      <c r="AE102" s="12"/>
      <c r="AF102" s="308"/>
      <c r="AG102" s="308"/>
      <c r="AH102" s="308"/>
      <c r="AI102" s="11"/>
    </row>
    <row r="103" customFormat="false" ht="17.35" hidden="false" customHeight="false" outlineLevel="0" collapsed="false">
      <c r="A103" s="343" t="s">
        <v>67</v>
      </c>
      <c r="B103" s="344" t="n">
        <f aca="false">((A46 * A34) + ((A46 * A34)*A117))/(B68)</f>
        <v>61.875</v>
      </c>
      <c r="C103" s="12"/>
      <c r="D103" s="12"/>
      <c r="E103" s="308"/>
      <c r="F103" s="308"/>
      <c r="G103" s="308"/>
      <c r="H103" s="11"/>
      <c r="J103" s="343" t="s">
        <v>67</v>
      </c>
      <c r="K103" s="344" t="n">
        <f aca="false">((E40/K94)*(1+J117))*1.2</f>
        <v>0</v>
      </c>
      <c r="L103" s="12"/>
      <c r="M103" s="12"/>
      <c r="N103" s="308"/>
      <c r="O103" s="308"/>
      <c r="P103" s="308"/>
      <c r="Q103" s="11"/>
      <c r="S103" s="343" t="s">
        <v>67</v>
      </c>
      <c r="T103" s="344" t="n">
        <f aca="false">((E40/T94)*(1+S117))</f>
        <v>0</v>
      </c>
      <c r="U103" s="12"/>
      <c r="V103" s="12"/>
      <c r="W103" s="308"/>
      <c r="X103" s="308"/>
      <c r="Y103" s="308"/>
      <c r="Z103" s="11"/>
      <c r="AB103" s="343" t="s">
        <v>67</v>
      </c>
      <c r="AC103" s="344" t="n">
        <f aca="false">((E40/AC94)*(1+AB117))*1.2</f>
        <v>0</v>
      </c>
      <c r="AD103" s="12"/>
      <c r="AE103" s="12"/>
      <c r="AF103" s="308"/>
      <c r="AG103" s="308"/>
      <c r="AH103" s="308"/>
      <c r="AI103" s="11"/>
    </row>
    <row r="104" customFormat="false" ht="17.35" hidden="false" customHeight="false" outlineLevel="0" collapsed="false">
      <c r="A104" s="346" t="s">
        <v>112</v>
      </c>
      <c r="B104" s="347" t="n">
        <f aca="false">B101/(B94)</f>
        <v>1639.88541555755</v>
      </c>
      <c r="C104" s="12"/>
      <c r="D104" s="12"/>
      <c r="E104" s="308"/>
      <c r="F104" s="308"/>
      <c r="G104" s="308"/>
      <c r="H104" s="11"/>
      <c r="J104" s="346" t="s">
        <v>112</v>
      </c>
      <c r="K104" s="347" t="n">
        <f aca="false">K101/(K94)</f>
        <v>1569.706327631</v>
      </c>
      <c r="L104" s="12"/>
      <c r="M104" s="12"/>
      <c r="N104" s="308"/>
      <c r="O104" s="308"/>
      <c r="P104" s="308"/>
      <c r="Q104" s="11"/>
      <c r="S104" s="346" t="s">
        <v>112</v>
      </c>
      <c r="T104" s="347" t="n">
        <f aca="false">T101/(T94)</f>
        <v>1674.61110912406</v>
      </c>
      <c r="U104" s="12"/>
      <c r="V104" s="12"/>
      <c r="W104" s="308"/>
      <c r="X104" s="308"/>
      <c r="Y104" s="308"/>
      <c r="Z104" s="11"/>
      <c r="AB104" s="346" t="s">
        <v>112</v>
      </c>
      <c r="AC104" s="347" t="n">
        <f aca="false">AC101/(AC68)</f>
        <v>1674.61110912406</v>
      </c>
      <c r="AD104" s="12"/>
      <c r="AE104" s="12"/>
      <c r="AF104" s="308"/>
      <c r="AG104" s="308"/>
      <c r="AH104" s="308"/>
      <c r="AI104" s="11"/>
    </row>
    <row r="105" customFormat="false" ht="17.35" hidden="false" customHeight="false" outlineLevel="0" collapsed="false">
      <c r="A105" s="348" t="s">
        <v>113</v>
      </c>
      <c r="B105" s="349" t="n">
        <f aca="false">B103+B104</f>
        <v>1701.76041555755</v>
      </c>
      <c r="C105" s="12"/>
      <c r="D105" s="12"/>
      <c r="E105" s="308" t="s">
        <v>28</v>
      </c>
      <c r="F105" s="308"/>
      <c r="G105" s="308"/>
      <c r="H105" s="11"/>
      <c r="J105" s="348" t="s">
        <v>113</v>
      </c>
      <c r="K105" s="349" t="n">
        <f aca="false">(K103+K104)</f>
        <v>1569.706327631</v>
      </c>
      <c r="L105" s="12"/>
      <c r="M105" s="12"/>
      <c r="N105" s="308"/>
      <c r="O105" s="308"/>
      <c r="P105" s="308"/>
      <c r="Q105" s="11"/>
      <c r="S105" s="348" t="s">
        <v>113</v>
      </c>
      <c r="T105" s="349" t="n">
        <f aca="false">T103+T104</f>
        <v>1674.61110912406</v>
      </c>
      <c r="U105" s="12"/>
      <c r="V105" s="12"/>
      <c r="W105" s="308"/>
      <c r="X105" s="308"/>
      <c r="Y105" s="308"/>
      <c r="Z105" s="11"/>
      <c r="AB105" s="348" t="s">
        <v>113</v>
      </c>
      <c r="AC105" s="349" t="n">
        <f aca="false">AC103+AC104</f>
        <v>1674.61110912406</v>
      </c>
      <c r="AD105" s="12"/>
      <c r="AE105" s="12"/>
      <c r="AF105" s="308"/>
      <c r="AG105" s="308"/>
      <c r="AH105" s="308"/>
      <c r="AI105" s="11"/>
    </row>
    <row r="106" customFormat="false" ht="17.35" hidden="false" customHeight="false" outlineLevel="0" collapsed="false">
      <c r="A106" s="321"/>
      <c r="B106" s="322"/>
      <c r="C106" s="322"/>
      <c r="D106" s="322"/>
      <c r="E106" s="350"/>
      <c r="F106" s="350"/>
      <c r="G106" s="350"/>
      <c r="H106" s="85"/>
      <c r="J106" s="321"/>
      <c r="K106" s="322"/>
      <c r="L106" s="322"/>
      <c r="M106" s="322"/>
      <c r="N106" s="350"/>
      <c r="O106" s="350"/>
      <c r="P106" s="350"/>
      <c r="Q106" s="85"/>
      <c r="S106" s="321"/>
      <c r="T106" s="322"/>
      <c r="U106" s="322"/>
      <c r="V106" s="322"/>
      <c r="W106" s="350"/>
      <c r="X106" s="350"/>
      <c r="Y106" s="350"/>
      <c r="Z106" s="85"/>
      <c r="AB106" s="321"/>
      <c r="AC106" s="322"/>
      <c r="AD106" s="322"/>
      <c r="AE106" s="322"/>
      <c r="AF106" s="350"/>
      <c r="AG106" s="350"/>
      <c r="AH106" s="350"/>
      <c r="AI106" s="85"/>
    </row>
    <row r="107" customFormat="false" ht="13.8" hidden="false" customHeight="false" outlineLevel="0" collapsed="false">
      <c r="A107" s="308"/>
      <c r="B107" s="308"/>
      <c r="C107" s="308"/>
      <c r="D107" s="308"/>
      <c r="E107" s="308"/>
      <c r="F107" s="308"/>
      <c r="G107" s="308"/>
      <c r="H107" s="308"/>
      <c r="J107" s="308"/>
      <c r="K107" s="308"/>
      <c r="L107" s="308"/>
      <c r="M107" s="308"/>
      <c r="N107" s="308"/>
      <c r="O107" s="308"/>
      <c r="P107" s="308"/>
      <c r="Q107" s="308"/>
      <c r="S107" s="308"/>
      <c r="T107" s="308"/>
      <c r="U107" s="308"/>
      <c r="V107" s="308"/>
      <c r="W107" s="308"/>
      <c r="X107" s="308"/>
      <c r="Y107" s="308"/>
      <c r="Z107" s="308"/>
      <c r="AB107" s="308"/>
      <c r="AC107" s="308"/>
      <c r="AD107" s="308"/>
      <c r="AE107" s="308"/>
      <c r="AF107" s="308"/>
      <c r="AG107" s="308"/>
      <c r="AH107" s="308"/>
      <c r="AI107" s="308"/>
    </row>
    <row r="108" customFormat="false" ht="13.8" hidden="false" customHeight="false" outlineLevel="0" collapsed="false">
      <c r="A108" s="308" t="n">
        <v>0.2</v>
      </c>
      <c r="B108" s="308" t="s">
        <v>269</v>
      </c>
      <c r="C108" s="308"/>
      <c r="D108" s="308"/>
      <c r="E108" s="308"/>
      <c r="F108" s="308"/>
      <c r="G108" s="308"/>
      <c r="H108" s="308"/>
      <c r="J108" s="308"/>
      <c r="K108" s="308"/>
      <c r="L108" s="308"/>
      <c r="M108" s="308"/>
      <c r="N108" s="308"/>
      <c r="O108" s="308"/>
      <c r="P108" s="308"/>
      <c r="Q108" s="308"/>
      <c r="S108" s="308"/>
      <c r="T108" s="308"/>
      <c r="U108" s="308"/>
      <c r="V108" s="308"/>
      <c r="W108" s="308"/>
      <c r="X108" s="308"/>
      <c r="Y108" s="308"/>
      <c r="Z108" s="308"/>
      <c r="AB108" s="308"/>
      <c r="AC108" s="308"/>
      <c r="AD108" s="308"/>
      <c r="AE108" s="308"/>
      <c r="AF108" s="308"/>
      <c r="AG108" s="308"/>
      <c r="AH108" s="308"/>
      <c r="AI108" s="308"/>
    </row>
    <row r="109" customFormat="false" ht="47.25" hidden="false" customHeight="true" outlineLevel="0" collapsed="false">
      <c r="A109" s="289" t="s">
        <v>270</v>
      </c>
      <c r="B109" s="289"/>
      <c r="C109" s="289"/>
      <c r="D109" s="289"/>
      <c r="E109" s="289"/>
      <c r="F109" s="289"/>
      <c r="G109" s="289"/>
      <c r="H109" s="289"/>
      <c r="J109" s="309" t="s">
        <v>271</v>
      </c>
      <c r="K109" s="309"/>
      <c r="L109" s="309"/>
      <c r="M109" s="309"/>
      <c r="N109" s="309"/>
      <c r="O109" s="309"/>
      <c r="P109" s="309"/>
      <c r="Q109" s="309"/>
      <c r="S109" s="289" t="s">
        <v>272</v>
      </c>
      <c r="T109" s="289"/>
      <c r="U109" s="289"/>
      <c r="V109" s="289"/>
      <c r="W109" s="289"/>
      <c r="X109" s="289"/>
      <c r="Y109" s="289"/>
      <c r="Z109" s="289"/>
      <c r="AB109" s="289" t="s">
        <v>273</v>
      </c>
      <c r="AC109" s="289"/>
      <c r="AD109" s="289"/>
      <c r="AE109" s="289"/>
      <c r="AF109" s="289"/>
      <c r="AG109" s="289"/>
      <c r="AH109" s="289"/>
      <c r="AI109" s="289"/>
    </row>
    <row r="110" customFormat="false" ht="17.35" hidden="false" customHeight="false" outlineLevel="0" collapsed="false">
      <c r="A110" s="310"/>
      <c r="B110" s="311"/>
      <c r="C110" s="311"/>
      <c r="D110" s="311"/>
      <c r="E110" s="334"/>
      <c r="F110" s="334"/>
      <c r="G110" s="334"/>
      <c r="H110" s="351"/>
      <c r="J110" s="310"/>
      <c r="K110" s="311"/>
      <c r="L110" s="311"/>
      <c r="M110" s="311"/>
      <c r="N110" s="334"/>
      <c r="O110" s="334"/>
      <c r="P110" s="334"/>
      <c r="Q110" s="351"/>
      <c r="S110" s="310"/>
      <c r="T110" s="311"/>
      <c r="U110" s="311"/>
      <c r="V110" s="311"/>
      <c r="W110" s="334"/>
      <c r="X110" s="334"/>
      <c r="Y110" s="334"/>
      <c r="Z110" s="351"/>
      <c r="AB110" s="310"/>
      <c r="AC110" s="311"/>
      <c r="AD110" s="311"/>
      <c r="AE110" s="311"/>
      <c r="AF110" s="334"/>
      <c r="AG110" s="334"/>
      <c r="AH110" s="334"/>
      <c r="AI110" s="351"/>
    </row>
    <row r="111" customFormat="false" ht="22.05" hidden="false" customHeight="false" outlineLevel="0" collapsed="false">
      <c r="A111" s="312" t="s">
        <v>27</v>
      </c>
      <c r="B111" s="312" t="n">
        <v>0</v>
      </c>
      <c r="C111" s="312"/>
      <c r="D111" s="312"/>
      <c r="E111" s="312" t="n">
        <v>0</v>
      </c>
      <c r="F111" s="312"/>
      <c r="G111" s="312"/>
      <c r="H111" s="312"/>
      <c r="J111" s="312" t="s">
        <v>117</v>
      </c>
      <c r="K111" s="312"/>
      <c r="L111" s="312"/>
      <c r="M111" s="312"/>
      <c r="N111" s="312"/>
      <c r="O111" s="312"/>
      <c r="P111" s="312"/>
      <c r="Q111" s="312"/>
      <c r="S111" s="312" t="s">
        <v>117</v>
      </c>
      <c r="T111" s="312"/>
      <c r="U111" s="312"/>
      <c r="V111" s="312"/>
      <c r="W111" s="312"/>
      <c r="X111" s="312"/>
      <c r="Y111" s="312"/>
      <c r="Z111" s="312"/>
      <c r="AB111" s="312" t="s">
        <v>117</v>
      </c>
      <c r="AC111" s="312"/>
      <c r="AD111" s="312"/>
      <c r="AE111" s="312"/>
      <c r="AF111" s="312"/>
      <c r="AG111" s="312"/>
      <c r="AH111" s="312"/>
      <c r="AI111" s="312"/>
    </row>
    <row r="112" customFormat="false" ht="17.35" hidden="false" customHeight="false" outlineLevel="0" collapsed="false">
      <c r="A112" s="293"/>
      <c r="B112" s="12"/>
      <c r="C112" s="12"/>
      <c r="D112" s="12"/>
      <c r="E112" s="308"/>
      <c r="F112" s="308"/>
      <c r="G112" s="308"/>
      <c r="H112" s="352"/>
      <c r="J112" s="293"/>
      <c r="K112" s="12"/>
      <c r="L112" s="12"/>
      <c r="M112" s="12"/>
      <c r="N112" s="308"/>
      <c r="O112" s="308"/>
      <c r="P112" s="308"/>
      <c r="Q112" s="352"/>
      <c r="S112" s="293"/>
      <c r="T112" s="12"/>
      <c r="U112" s="12"/>
      <c r="V112" s="12"/>
      <c r="W112" s="308"/>
      <c r="X112" s="308"/>
      <c r="Y112" s="308"/>
      <c r="Z112" s="352"/>
      <c r="AB112" s="293"/>
      <c r="AC112" s="12"/>
      <c r="AD112" s="12"/>
      <c r="AE112" s="12"/>
      <c r="AF112" s="308"/>
      <c r="AG112" s="308"/>
      <c r="AH112" s="308"/>
      <c r="AI112" s="352"/>
    </row>
    <row r="113" customFormat="false" ht="17.35" hidden="false" customHeight="false" outlineLevel="0" collapsed="false">
      <c r="A113" s="293" t="s">
        <v>119</v>
      </c>
      <c r="B113" s="12" t="s">
        <v>32</v>
      </c>
      <c r="C113" s="12"/>
      <c r="D113" s="12"/>
      <c r="E113" s="12" t="s">
        <v>132</v>
      </c>
      <c r="F113" s="12"/>
      <c r="G113" s="12"/>
      <c r="H113" s="11"/>
      <c r="J113" s="293" t="s">
        <v>119</v>
      </c>
      <c r="K113" s="12" t="s">
        <v>32</v>
      </c>
      <c r="L113" s="12"/>
      <c r="M113" s="12"/>
      <c r="N113" s="12" t="s">
        <v>132</v>
      </c>
      <c r="O113" s="12"/>
      <c r="P113" s="12"/>
      <c r="Q113" s="11"/>
      <c r="S113" s="293" t="s">
        <v>119</v>
      </c>
      <c r="T113" s="12" t="s">
        <v>32</v>
      </c>
      <c r="U113" s="12"/>
      <c r="V113" s="12"/>
      <c r="W113" s="12" t="s">
        <v>132</v>
      </c>
      <c r="X113" s="12"/>
      <c r="Y113" s="12"/>
      <c r="Z113" s="11"/>
      <c r="AB113" s="293" t="s">
        <v>119</v>
      </c>
      <c r="AC113" s="12" t="s">
        <v>32</v>
      </c>
      <c r="AD113" s="12"/>
      <c r="AE113" s="12"/>
      <c r="AF113" s="12" t="s">
        <v>132</v>
      </c>
      <c r="AG113" s="12"/>
      <c r="AH113" s="12"/>
      <c r="AI113" s="11"/>
    </row>
    <row r="114" customFormat="false" ht="17.35" hidden="false" customHeight="false" outlineLevel="0" collapsed="false">
      <c r="A114" s="313" t="s">
        <v>274</v>
      </c>
      <c r="B114" s="164" t="s">
        <v>118</v>
      </c>
      <c r="C114" s="164"/>
      <c r="D114" s="164"/>
      <c r="E114" s="45" t="s">
        <v>27</v>
      </c>
      <c r="F114" s="45"/>
      <c r="G114" s="45"/>
      <c r="H114" s="352"/>
      <c r="J114" s="313" t="s">
        <v>274</v>
      </c>
      <c r="K114" s="146" t="s">
        <v>118</v>
      </c>
      <c r="L114" s="146"/>
      <c r="M114" s="146"/>
      <c r="N114" s="45" t="s">
        <v>27</v>
      </c>
      <c r="O114" s="45"/>
      <c r="P114" s="45"/>
      <c r="Q114" s="352"/>
      <c r="S114" s="313" t="s">
        <v>274</v>
      </c>
      <c r="T114" s="164" t="s">
        <v>118</v>
      </c>
      <c r="U114" s="164"/>
      <c r="V114" s="164"/>
      <c r="W114" s="45" t="s">
        <v>27</v>
      </c>
      <c r="X114" s="45"/>
      <c r="Y114" s="45"/>
      <c r="Z114" s="352"/>
      <c r="AB114" s="313" t="s">
        <v>274</v>
      </c>
      <c r="AC114" s="164" t="s">
        <v>118</v>
      </c>
      <c r="AD114" s="164"/>
      <c r="AE114" s="164"/>
      <c r="AF114" s="45" t="s">
        <v>27</v>
      </c>
      <c r="AG114" s="45"/>
      <c r="AH114" s="45"/>
      <c r="AI114" s="352"/>
    </row>
    <row r="115" customFormat="false" ht="17.35" hidden="false" customHeight="false" outlineLevel="0" collapsed="false">
      <c r="A115" s="293"/>
      <c r="B115" s="12"/>
      <c r="C115" s="12"/>
      <c r="D115" s="308"/>
      <c r="E115" s="12"/>
      <c r="F115" s="12"/>
      <c r="G115" s="308"/>
      <c r="H115" s="11"/>
      <c r="J115" s="293"/>
      <c r="K115" s="12"/>
      <c r="L115" s="12"/>
      <c r="M115" s="308"/>
      <c r="N115" s="12"/>
      <c r="O115" s="12"/>
      <c r="P115" s="308"/>
      <c r="Q115" s="11"/>
      <c r="S115" s="293"/>
      <c r="T115" s="12"/>
      <c r="U115" s="12"/>
      <c r="V115" s="308"/>
      <c r="W115" s="12"/>
      <c r="X115" s="12"/>
      <c r="Y115" s="308"/>
      <c r="Z115" s="11"/>
      <c r="AB115" s="293"/>
      <c r="AC115" s="12"/>
      <c r="AD115" s="12"/>
      <c r="AE115" s="308"/>
      <c r="AF115" s="12"/>
      <c r="AG115" s="12"/>
      <c r="AH115" s="308"/>
      <c r="AI115" s="11"/>
    </row>
    <row r="116" customFormat="false" ht="17.35" hidden="false" customHeight="false" outlineLevel="0" collapsed="false">
      <c r="A116" s="293" t="s">
        <v>133</v>
      </c>
      <c r="B116" s="12" t="s">
        <v>275</v>
      </c>
      <c r="C116" s="12"/>
      <c r="D116" s="308"/>
      <c r="E116" s="12" t="s">
        <v>276</v>
      </c>
      <c r="F116" s="12"/>
      <c r="G116" s="308"/>
      <c r="H116" s="352"/>
      <c r="J116" s="293" t="s">
        <v>133</v>
      </c>
      <c r="K116" s="12" t="s">
        <v>275</v>
      </c>
      <c r="L116" s="12"/>
      <c r="M116" s="308"/>
      <c r="N116" s="12" t="s">
        <v>276</v>
      </c>
      <c r="O116" s="12"/>
      <c r="P116" s="308"/>
      <c r="Q116" s="352"/>
      <c r="S116" s="293" t="s">
        <v>133</v>
      </c>
      <c r="T116" s="12" t="s">
        <v>275</v>
      </c>
      <c r="U116" s="12"/>
      <c r="V116" s="308"/>
      <c r="W116" s="12" t="s">
        <v>276</v>
      </c>
      <c r="X116" s="12"/>
      <c r="Y116" s="308"/>
      <c r="Z116" s="352"/>
      <c r="AB116" s="293" t="s">
        <v>133</v>
      </c>
      <c r="AC116" s="12" t="s">
        <v>275</v>
      </c>
      <c r="AD116" s="12"/>
      <c r="AE116" s="308"/>
      <c r="AF116" s="12" t="s">
        <v>276</v>
      </c>
      <c r="AG116" s="12"/>
      <c r="AH116" s="308"/>
      <c r="AI116" s="352"/>
    </row>
    <row r="117" customFormat="false" ht="17.35" hidden="false" customHeight="false" outlineLevel="0" collapsed="false">
      <c r="A117" s="353" t="n">
        <v>0.2</v>
      </c>
      <c r="B117" s="113" t="s">
        <v>277</v>
      </c>
      <c r="C117" s="113"/>
      <c r="D117" s="113"/>
      <c r="E117" s="354" t="n">
        <f aca="false">B92</f>
        <v>0.137</v>
      </c>
      <c r="F117" s="354"/>
      <c r="G117" s="354"/>
      <c r="H117" s="318"/>
      <c r="J117" s="353" t="n">
        <v>0.3</v>
      </c>
      <c r="K117" s="113" t="s">
        <v>277</v>
      </c>
      <c r="L117" s="113"/>
      <c r="M117" s="113"/>
      <c r="N117" s="354" t="n">
        <f aca="false">K92</f>
        <v>0.24</v>
      </c>
      <c r="O117" s="354"/>
      <c r="P117" s="354"/>
      <c r="Q117" s="318"/>
      <c r="S117" s="353" t="n">
        <v>0.2</v>
      </c>
      <c r="T117" s="113" t="s">
        <v>278</v>
      </c>
      <c r="U117" s="113"/>
      <c r="V117" s="113"/>
      <c r="W117" s="354" t="n">
        <f aca="false">T92</f>
        <v>0.1235</v>
      </c>
      <c r="X117" s="354"/>
      <c r="Y117" s="354"/>
      <c r="Z117" s="318"/>
      <c r="AB117" s="353" t="n">
        <v>0.2</v>
      </c>
      <c r="AC117" s="113" t="s">
        <v>278</v>
      </c>
      <c r="AD117" s="113"/>
      <c r="AE117" s="113"/>
      <c r="AF117" s="355" t="n">
        <f aca="false">AC92</f>
        <v>0.1235</v>
      </c>
      <c r="AG117" s="355"/>
      <c r="AH117" s="355"/>
      <c r="AI117" s="318"/>
      <c r="AP117" s="288" t="s">
        <v>279</v>
      </c>
    </row>
    <row r="118" customFormat="false" ht="17.35" hidden="false" customHeight="false" outlineLevel="0" collapsed="false">
      <c r="A118" s="293"/>
      <c r="B118" s="12"/>
      <c r="C118" s="12"/>
      <c r="D118" s="12"/>
      <c r="E118" s="12"/>
      <c r="F118" s="12"/>
      <c r="G118" s="12"/>
      <c r="H118" s="11"/>
      <c r="J118" s="293"/>
      <c r="K118" s="12"/>
      <c r="L118" s="12"/>
      <c r="M118" s="12"/>
      <c r="N118" s="12"/>
      <c r="O118" s="12"/>
      <c r="P118" s="12"/>
      <c r="Q118" s="11"/>
      <c r="S118" s="293"/>
      <c r="T118" s="12"/>
      <c r="U118" s="12"/>
      <c r="V118" s="12"/>
      <c r="W118" s="12"/>
      <c r="X118" s="12"/>
      <c r="Y118" s="12"/>
      <c r="Z118" s="11"/>
      <c r="AB118" s="293"/>
      <c r="AC118" s="12"/>
      <c r="AD118" s="12"/>
      <c r="AE118" s="12"/>
      <c r="AF118" s="12"/>
      <c r="AG118" s="12"/>
      <c r="AH118" s="12"/>
      <c r="AI118" s="11"/>
      <c r="AP118" s="288" t="s">
        <v>277</v>
      </c>
    </row>
    <row r="119" customFormat="false" ht="17.35" hidden="false" customHeight="false" outlineLevel="0" collapsed="false">
      <c r="A119" s="293" t="s">
        <v>280</v>
      </c>
      <c r="B119" s="12" t="s">
        <v>145</v>
      </c>
      <c r="C119" s="12"/>
      <c r="D119" s="12"/>
      <c r="E119" s="12" t="s">
        <v>281</v>
      </c>
      <c r="F119" s="12"/>
      <c r="G119" s="12"/>
      <c r="H119" s="11"/>
      <c r="J119" s="293" t="s">
        <v>280</v>
      </c>
      <c r="K119" s="12" t="s">
        <v>145</v>
      </c>
      <c r="L119" s="12"/>
      <c r="M119" s="12"/>
      <c r="N119" s="12" t="s">
        <v>281</v>
      </c>
      <c r="O119" s="12"/>
      <c r="P119" s="12"/>
      <c r="Q119" s="11"/>
      <c r="S119" s="293" t="s">
        <v>280</v>
      </c>
      <c r="T119" s="12" t="s">
        <v>145</v>
      </c>
      <c r="U119" s="12"/>
      <c r="V119" s="12"/>
      <c r="W119" s="12" t="s">
        <v>281</v>
      </c>
      <c r="X119" s="12"/>
      <c r="Y119" s="12"/>
      <c r="Z119" s="11"/>
      <c r="AB119" s="293" t="s">
        <v>280</v>
      </c>
      <c r="AC119" s="12" t="s">
        <v>145</v>
      </c>
      <c r="AD119" s="12"/>
      <c r="AE119" s="12"/>
      <c r="AF119" s="12" t="s">
        <v>281</v>
      </c>
      <c r="AG119" s="12"/>
      <c r="AH119" s="12"/>
      <c r="AI119" s="11"/>
    </row>
    <row r="120" customFormat="false" ht="17.35" hidden="false" customHeight="false" outlineLevel="0" collapsed="false">
      <c r="A120" s="314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352"/>
      <c r="J120" s="314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352"/>
      <c r="S120" s="314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352"/>
      <c r="AB120" s="314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352"/>
    </row>
    <row r="121" customFormat="false" ht="17.35" hidden="false" customHeight="false" outlineLevel="0" collapsed="false">
      <c r="A121" s="293"/>
      <c r="B121" s="12"/>
      <c r="C121" s="12"/>
      <c r="D121" s="12"/>
      <c r="E121" s="12"/>
      <c r="F121" s="12"/>
      <c r="G121" s="308"/>
      <c r="H121" s="352"/>
      <c r="J121" s="293"/>
      <c r="K121" s="12"/>
      <c r="L121" s="12"/>
      <c r="M121" s="12"/>
      <c r="N121" s="12"/>
      <c r="O121" s="12"/>
      <c r="P121" s="308"/>
      <c r="Q121" s="352"/>
      <c r="S121" s="293"/>
      <c r="T121" s="12"/>
      <c r="U121" s="12"/>
      <c r="V121" s="12"/>
      <c r="W121" s="12"/>
      <c r="X121" s="12"/>
      <c r="Y121" s="308"/>
      <c r="Z121" s="352"/>
      <c r="AB121" s="293"/>
      <c r="AC121" s="12"/>
      <c r="AD121" s="12"/>
      <c r="AE121" s="12"/>
      <c r="AF121" s="12"/>
      <c r="AG121" s="12"/>
      <c r="AH121" s="308"/>
      <c r="AI121" s="352"/>
    </row>
    <row r="122" customFormat="false" ht="17.35" hidden="false" customHeight="false" outlineLevel="0" collapsed="false">
      <c r="A122" s="54" t="s">
        <v>282</v>
      </c>
      <c r="B122" s="12" t="s">
        <v>176</v>
      </c>
      <c r="C122" s="12"/>
      <c r="D122" s="12"/>
      <c r="E122" s="12" t="s">
        <v>134</v>
      </c>
      <c r="F122" s="12"/>
      <c r="G122" s="308"/>
      <c r="H122" s="352"/>
      <c r="J122" s="54" t="s">
        <v>282</v>
      </c>
      <c r="K122" s="12" t="s">
        <v>176</v>
      </c>
      <c r="L122" s="12"/>
      <c r="M122" s="12"/>
      <c r="N122" s="12" t="s">
        <v>134</v>
      </c>
      <c r="O122" s="12"/>
      <c r="P122" s="308"/>
      <c r="Q122" s="352"/>
      <c r="S122" s="54" t="s">
        <v>282</v>
      </c>
      <c r="T122" s="12" t="s">
        <v>176</v>
      </c>
      <c r="U122" s="12"/>
      <c r="V122" s="12"/>
      <c r="W122" s="12" t="s">
        <v>134</v>
      </c>
      <c r="X122" s="12"/>
      <c r="Y122" s="308"/>
      <c r="Z122" s="352"/>
      <c r="AB122" s="54" t="s">
        <v>282</v>
      </c>
      <c r="AC122" s="12" t="s">
        <v>176</v>
      </c>
      <c r="AD122" s="12"/>
      <c r="AE122" s="12"/>
      <c r="AF122" s="12" t="s">
        <v>134</v>
      </c>
      <c r="AG122" s="12"/>
      <c r="AH122" s="308"/>
      <c r="AI122" s="352"/>
    </row>
    <row r="123" customFormat="false" ht="17.35" hidden="false" customHeight="false" outlineLevel="0" collapsed="false">
      <c r="A123" s="141" t="n">
        <f aca="false">B120+E120</f>
        <v>0</v>
      </c>
      <c r="B123" s="113" t="n">
        <v>416.67</v>
      </c>
      <c r="C123" s="113"/>
      <c r="D123" s="113"/>
      <c r="E123" s="113" t="n">
        <v>0</v>
      </c>
      <c r="F123" s="113"/>
      <c r="G123" s="113"/>
      <c r="H123" s="352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352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352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352"/>
    </row>
    <row r="124" customFormat="false" ht="13.8" hidden="false" customHeight="false" outlineLevel="0" collapsed="false">
      <c r="A124" s="356"/>
      <c r="B124" s="308"/>
      <c r="C124" s="308"/>
      <c r="D124" s="308"/>
      <c r="E124" s="308"/>
      <c r="F124" s="308"/>
      <c r="G124" s="308"/>
      <c r="H124" s="352"/>
      <c r="J124" s="356"/>
      <c r="K124" s="308"/>
      <c r="L124" s="308"/>
      <c r="M124" s="308"/>
      <c r="N124" s="308"/>
      <c r="O124" s="308"/>
      <c r="P124" s="308"/>
      <c r="Q124" s="352"/>
      <c r="S124" s="356"/>
      <c r="T124" s="308"/>
      <c r="U124" s="308"/>
      <c r="V124" s="308"/>
      <c r="W124" s="308"/>
      <c r="X124" s="308"/>
      <c r="Y124" s="308"/>
      <c r="Z124" s="352"/>
      <c r="AB124" s="356"/>
      <c r="AC124" s="308"/>
      <c r="AD124" s="308"/>
      <c r="AE124" s="308"/>
      <c r="AF124" s="308"/>
      <c r="AG124" s="308"/>
      <c r="AH124" s="308"/>
      <c r="AI124" s="352"/>
    </row>
    <row r="125" customFormat="false" ht="13.8" hidden="false" customHeight="false" outlineLevel="0" collapsed="false">
      <c r="A125" s="356"/>
      <c r="B125" s="308"/>
      <c r="C125" s="308"/>
      <c r="D125" s="308"/>
      <c r="E125" s="308"/>
      <c r="F125" s="308"/>
      <c r="G125" s="308"/>
      <c r="H125" s="352"/>
      <c r="J125" s="356"/>
      <c r="K125" s="308"/>
      <c r="L125" s="308"/>
      <c r="M125" s="308"/>
      <c r="N125" s="308"/>
      <c r="O125" s="308"/>
      <c r="P125" s="308"/>
      <c r="Q125" s="352"/>
      <c r="S125" s="356"/>
      <c r="T125" s="308"/>
      <c r="U125" s="308"/>
      <c r="V125" s="308"/>
      <c r="W125" s="308"/>
      <c r="X125" s="308"/>
      <c r="Y125" s="308"/>
      <c r="Z125" s="352"/>
      <c r="AB125" s="356"/>
      <c r="AC125" s="308"/>
      <c r="AD125" s="308"/>
      <c r="AE125" s="308"/>
      <c r="AF125" s="308"/>
      <c r="AG125" s="308"/>
      <c r="AH125" s="308"/>
      <c r="AI125" s="352"/>
    </row>
    <row r="126" customFormat="false" ht="22.05" hidden="false" customHeight="false" outlineLevel="0" collapsed="false">
      <c r="A126" s="312" t="s">
        <v>283</v>
      </c>
      <c r="B126" s="312"/>
      <c r="C126" s="312"/>
      <c r="D126" s="312"/>
      <c r="E126" s="312"/>
      <c r="F126" s="312"/>
      <c r="G126" s="312"/>
      <c r="H126" s="312"/>
      <c r="J126" s="312" t="s">
        <v>283</v>
      </c>
      <c r="K126" s="312"/>
      <c r="L126" s="312"/>
      <c r="M126" s="312"/>
      <c r="N126" s="312"/>
      <c r="O126" s="312"/>
      <c r="P126" s="312"/>
      <c r="Q126" s="312"/>
      <c r="S126" s="312" t="s">
        <v>283</v>
      </c>
      <c r="T126" s="312"/>
      <c r="U126" s="312"/>
      <c r="V126" s="312"/>
      <c r="W126" s="312"/>
      <c r="X126" s="312"/>
      <c r="Y126" s="312"/>
      <c r="Z126" s="312"/>
      <c r="AB126" s="312" t="s">
        <v>283</v>
      </c>
      <c r="AC126" s="312"/>
      <c r="AD126" s="312"/>
      <c r="AE126" s="312"/>
      <c r="AF126" s="312"/>
      <c r="AG126" s="312"/>
      <c r="AH126" s="312"/>
      <c r="AI126" s="312"/>
    </row>
    <row r="127" customFormat="false" ht="13.8" hidden="false" customHeight="false" outlineLevel="0" collapsed="false">
      <c r="A127" s="356"/>
      <c r="B127" s="308"/>
      <c r="C127" s="308"/>
      <c r="D127" s="308"/>
      <c r="E127" s="308"/>
      <c r="F127" s="308"/>
      <c r="G127" s="308"/>
      <c r="H127" s="352"/>
      <c r="J127" s="356"/>
      <c r="K127" s="308"/>
      <c r="L127" s="308"/>
      <c r="M127" s="308"/>
      <c r="N127" s="308"/>
      <c r="O127" s="308"/>
      <c r="P127" s="308"/>
      <c r="Q127" s="352"/>
      <c r="S127" s="356"/>
      <c r="T127" s="308"/>
      <c r="U127" s="308"/>
      <c r="V127" s="308"/>
      <c r="W127" s="308"/>
      <c r="X127" s="308"/>
      <c r="Y127" s="308"/>
      <c r="Z127" s="352"/>
      <c r="AB127" s="356"/>
      <c r="AC127" s="308"/>
      <c r="AD127" s="308"/>
      <c r="AE127" s="308"/>
      <c r="AF127" s="308"/>
      <c r="AG127" s="308"/>
      <c r="AH127" s="308"/>
      <c r="AI127" s="352"/>
    </row>
    <row r="128" customFormat="false" ht="19.7" hidden="false" customHeight="false" outlineLevel="0" collapsed="false">
      <c r="A128" s="336"/>
      <c r="B128" s="357" t="s">
        <v>1</v>
      </c>
      <c r="C128" s="357"/>
      <c r="D128" s="357" t="s">
        <v>2</v>
      </c>
      <c r="E128" s="357"/>
      <c r="F128" s="357" t="s">
        <v>3</v>
      </c>
      <c r="G128" s="357"/>
      <c r="H128" s="358" t="s">
        <v>4</v>
      </c>
      <c r="J128" s="336"/>
      <c r="K128" s="357" t="s">
        <v>1</v>
      </c>
      <c r="L128" s="357"/>
      <c r="M128" s="357" t="s">
        <v>2</v>
      </c>
      <c r="N128" s="357"/>
      <c r="O128" s="357" t="s">
        <v>3</v>
      </c>
      <c r="P128" s="357"/>
      <c r="Q128" s="358" t="s">
        <v>4</v>
      </c>
      <c r="S128" s="336"/>
      <c r="T128" s="357" t="s">
        <v>1</v>
      </c>
      <c r="U128" s="357"/>
      <c r="V128" s="357" t="s">
        <v>2</v>
      </c>
      <c r="W128" s="357"/>
      <c r="X128" s="357" t="s">
        <v>3</v>
      </c>
      <c r="Y128" s="357"/>
      <c r="Z128" s="358" t="s">
        <v>4</v>
      </c>
      <c r="AB128" s="336"/>
      <c r="AC128" s="357" t="s">
        <v>1</v>
      </c>
      <c r="AD128" s="357"/>
      <c r="AE128" s="357" t="s">
        <v>2</v>
      </c>
      <c r="AF128" s="357"/>
      <c r="AG128" s="357" t="s">
        <v>3</v>
      </c>
      <c r="AH128" s="357"/>
      <c r="AI128" s="358" t="s">
        <v>4</v>
      </c>
    </row>
    <row r="129" customFormat="false" ht="19.7" hidden="false" customHeight="false" outlineLevel="0" collapsed="false">
      <c r="A129" s="290"/>
      <c r="B129" s="359" t="s">
        <v>284</v>
      </c>
      <c r="C129" s="360" t="s">
        <v>285</v>
      </c>
      <c r="D129" s="359" t="s">
        <v>284</v>
      </c>
      <c r="E129" s="361" t="s">
        <v>285</v>
      </c>
      <c r="F129" s="359" t="s">
        <v>284</v>
      </c>
      <c r="G129" s="361" t="s">
        <v>285</v>
      </c>
      <c r="H129" s="362"/>
      <c r="J129" s="290"/>
      <c r="K129" s="359" t="s">
        <v>284</v>
      </c>
      <c r="L129" s="360" t="s">
        <v>285</v>
      </c>
      <c r="M129" s="359" t="s">
        <v>284</v>
      </c>
      <c r="N129" s="361" t="s">
        <v>285</v>
      </c>
      <c r="O129" s="359" t="s">
        <v>284</v>
      </c>
      <c r="P129" s="361" t="s">
        <v>285</v>
      </c>
      <c r="Q129" s="362"/>
      <c r="S129" s="290"/>
      <c r="T129" s="359" t="s">
        <v>284</v>
      </c>
      <c r="U129" s="360" t="s">
        <v>285</v>
      </c>
      <c r="V129" s="359" t="s">
        <v>284</v>
      </c>
      <c r="W129" s="361" t="s">
        <v>285</v>
      </c>
      <c r="X129" s="359" t="s">
        <v>284</v>
      </c>
      <c r="Y129" s="361" t="s">
        <v>285</v>
      </c>
      <c r="Z129" s="362"/>
      <c r="AB129" s="290"/>
      <c r="AC129" s="359" t="s">
        <v>284</v>
      </c>
      <c r="AD129" s="360" t="s">
        <v>285</v>
      </c>
      <c r="AE129" s="359" t="s">
        <v>284</v>
      </c>
      <c r="AF129" s="361" t="s">
        <v>285</v>
      </c>
      <c r="AG129" s="359" t="s">
        <v>284</v>
      </c>
      <c r="AH129" s="361" t="s">
        <v>285</v>
      </c>
      <c r="AI129" s="362"/>
    </row>
    <row r="130" customFormat="false" ht="17.35" hidden="false" customHeight="false" outlineLevel="0" collapsed="false">
      <c r="A130" s="310" t="s">
        <v>5</v>
      </c>
      <c r="B130" s="310" t="n">
        <f aca="false">B3</f>
        <v>46854.17</v>
      </c>
      <c r="C130" s="314" t="n">
        <f aca="false">B130</f>
        <v>46854.17</v>
      </c>
      <c r="D130" s="310" t="n">
        <f aca="false">D3</f>
        <v>0</v>
      </c>
      <c r="E130" s="314" t="n">
        <f aca="false">D130</f>
        <v>0</v>
      </c>
      <c r="F130" s="310" t="n">
        <f aca="false">F3</f>
        <v>833.33</v>
      </c>
      <c r="G130" s="314" t="n">
        <f aca="false">F130</f>
        <v>833.33</v>
      </c>
      <c r="H130" s="363" t="n">
        <f aca="false">H3</f>
        <v>0</v>
      </c>
      <c r="J130" s="310" t="s">
        <v>5</v>
      </c>
      <c r="K130" s="310" t="n">
        <f aca="false">B3</f>
        <v>46854.17</v>
      </c>
      <c r="L130" s="314" t="n">
        <v>28629.17</v>
      </c>
      <c r="M130" s="310" t="n">
        <f aca="false">D3</f>
        <v>0</v>
      </c>
      <c r="N130" s="314" t="n">
        <f aca="false">M130</f>
        <v>0</v>
      </c>
      <c r="O130" s="310" t="n">
        <f aca="false">F3</f>
        <v>833.33</v>
      </c>
      <c r="P130" s="314" t="n">
        <f aca="false">O130</f>
        <v>833.33</v>
      </c>
      <c r="Q130" s="363" t="n">
        <f aca="false">H3</f>
        <v>0</v>
      </c>
      <c r="S130" s="310" t="s">
        <v>5</v>
      </c>
      <c r="T130" s="310" t="n">
        <f aca="false">B3</f>
        <v>46854.17</v>
      </c>
      <c r="U130" s="314" t="n">
        <f aca="false">T130</f>
        <v>46854.17</v>
      </c>
      <c r="V130" s="310" t="n">
        <f aca="false">D3</f>
        <v>0</v>
      </c>
      <c r="W130" s="314" t="n">
        <f aca="false">V130</f>
        <v>0</v>
      </c>
      <c r="X130" s="310" t="n">
        <f aca="false">F3</f>
        <v>833.33</v>
      </c>
      <c r="Y130" s="314" t="n">
        <f aca="false">X130</f>
        <v>833.33</v>
      </c>
      <c r="Z130" s="363" t="n">
        <f aca="false">H3</f>
        <v>0</v>
      </c>
      <c r="AB130" s="310" t="s">
        <v>5</v>
      </c>
      <c r="AC130" s="310" t="n">
        <f aca="false">B3</f>
        <v>46854.17</v>
      </c>
      <c r="AD130" s="314" t="n">
        <f aca="false">AC130</f>
        <v>46854.17</v>
      </c>
      <c r="AE130" s="310" t="n">
        <f aca="false">D3</f>
        <v>0</v>
      </c>
      <c r="AF130" s="314" t="n">
        <f aca="false">AE130</f>
        <v>0</v>
      </c>
      <c r="AG130" s="310" t="n">
        <f aca="false">F3</f>
        <v>833.33</v>
      </c>
      <c r="AH130" s="314" t="n">
        <f aca="false">AG130</f>
        <v>833.33</v>
      </c>
      <c r="AI130" s="363" t="n">
        <f aca="false">H3</f>
        <v>0</v>
      </c>
    </row>
    <row r="131" customFormat="false" ht="17.35" hidden="false" customHeight="false" outlineLevel="0" collapsed="false">
      <c r="A131" s="293" t="s">
        <v>6</v>
      </c>
      <c r="B131" s="364" t="n">
        <f aca="false">B4</f>
        <v>0</v>
      </c>
      <c r="C131" s="365" t="n">
        <v>0</v>
      </c>
      <c r="D131" s="364" t="n">
        <f aca="false">D4</f>
        <v>0</v>
      </c>
      <c r="E131" s="365" t="n">
        <v>0</v>
      </c>
      <c r="F131" s="364" t="n">
        <f aca="false">F4</f>
        <v>0</v>
      </c>
      <c r="G131" s="365" t="n">
        <v>0</v>
      </c>
      <c r="H131" s="297"/>
      <c r="J131" s="293" t="s">
        <v>6</v>
      </c>
      <c r="K131" s="364" t="n">
        <f aca="false">B4</f>
        <v>0</v>
      </c>
      <c r="L131" s="365" t="n">
        <v>0</v>
      </c>
      <c r="M131" s="364" t="n">
        <f aca="false">D4</f>
        <v>0</v>
      </c>
      <c r="N131" s="365" t="n">
        <f aca="false">M131</f>
        <v>0</v>
      </c>
      <c r="O131" s="364" t="n">
        <f aca="false">F4</f>
        <v>0</v>
      </c>
      <c r="P131" s="365" t="n">
        <f aca="false">O131</f>
        <v>0</v>
      </c>
      <c r="Q131" s="297"/>
      <c r="S131" s="293" t="s">
        <v>6</v>
      </c>
      <c r="T131" s="364" t="n">
        <f aca="false">B4</f>
        <v>0</v>
      </c>
      <c r="U131" s="365" t="n">
        <v>0.25</v>
      </c>
      <c r="V131" s="364" t="n">
        <f aca="false">D4</f>
        <v>0</v>
      </c>
      <c r="W131" s="365" t="n">
        <f aca="false">V131</f>
        <v>0</v>
      </c>
      <c r="X131" s="364" t="n">
        <f aca="false">F4</f>
        <v>0</v>
      </c>
      <c r="Y131" s="365" t="n">
        <f aca="false">X131</f>
        <v>0</v>
      </c>
      <c r="Z131" s="297"/>
      <c r="AB131" s="293" t="s">
        <v>6</v>
      </c>
      <c r="AC131" s="364" t="n">
        <f aca="false">B4</f>
        <v>0</v>
      </c>
      <c r="AD131" s="365" t="n">
        <v>0.25</v>
      </c>
      <c r="AE131" s="364" t="n">
        <f aca="false">D4</f>
        <v>0</v>
      </c>
      <c r="AF131" s="365" t="n">
        <f aca="false">AE131</f>
        <v>0</v>
      </c>
      <c r="AG131" s="364" t="n">
        <f aca="false">F4</f>
        <v>0</v>
      </c>
      <c r="AH131" s="365" t="n">
        <f aca="false">AG131</f>
        <v>0</v>
      </c>
      <c r="AI131" s="297"/>
    </row>
    <row r="132" customFormat="false" ht="17.35" hidden="false" customHeight="false" outlineLevel="0" collapsed="false">
      <c r="A132" s="293" t="s">
        <v>7</v>
      </c>
      <c r="B132" s="293" t="n">
        <f aca="false">B5</f>
        <v>0</v>
      </c>
      <c r="C132" s="314" t="n">
        <v>0</v>
      </c>
      <c r="D132" s="293" t="n">
        <f aca="false">D5</f>
        <v>0</v>
      </c>
      <c r="E132" s="314" t="n">
        <v>0</v>
      </c>
      <c r="F132" s="293" t="n">
        <f aca="false">F5</f>
        <v>0</v>
      </c>
      <c r="G132" s="314" t="n">
        <v>0</v>
      </c>
      <c r="H132" s="11"/>
      <c r="J132" s="293" t="s">
        <v>7</v>
      </c>
      <c r="K132" s="293" t="n">
        <f aca="false">B5</f>
        <v>0</v>
      </c>
      <c r="L132" s="314" t="n">
        <v>0</v>
      </c>
      <c r="M132" s="293" t="n">
        <f aca="false">D5</f>
        <v>0</v>
      </c>
      <c r="N132" s="314" t="n">
        <f aca="false">M132</f>
        <v>0</v>
      </c>
      <c r="O132" s="293" t="n">
        <f aca="false">F5</f>
        <v>0</v>
      </c>
      <c r="P132" s="314" t="n">
        <f aca="false">O132</f>
        <v>0</v>
      </c>
      <c r="Q132" s="11"/>
      <c r="S132" s="293" t="s">
        <v>7</v>
      </c>
      <c r="T132" s="293" t="n">
        <f aca="false">B5</f>
        <v>0</v>
      </c>
      <c r="U132" s="314" t="n">
        <v>0</v>
      </c>
      <c r="V132" s="293" t="n">
        <f aca="false">D5</f>
        <v>0</v>
      </c>
      <c r="W132" s="314" t="n">
        <f aca="false">V132</f>
        <v>0</v>
      </c>
      <c r="X132" s="293" t="n">
        <f aca="false">F5</f>
        <v>0</v>
      </c>
      <c r="Y132" s="314" t="n">
        <f aca="false">X132</f>
        <v>0</v>
      </c>
      <c r="Z132" s="11"/>
      <c r="AB132" s="293" t="s">
        <v>7</v>
      </c>
      <c r="AC132" s="293" t="n">
        <f aca="false">B5</f>
        <v>0</v>
      </c>
      <c r="AD132" s="314" t="n">
        <v>0</v>
      </c>
      <c r="AE132" s="293" t="n">
        <f aca="false">D5</f>
        <v>0</v>
      </c>
      <c r="AF132" s="314" t="n">
        <f aca="false">AE132</f>
        <v>0</v>
      </c>
      <c r="AG132" s="293" t="n">
        <f aca="false">F5</f>
        <v>0</v>
      </c>
      <c r="AH132" s="314" t="n">
        <f aca="false">AG132</f>
        <v>0</v>
      </c>
      <c r="AI132" s="11"/>
    </row>
    <row r="133" customFormat="false" ht="17.35" hidden="false" customHeight="false" outlineLevel="0" collapsed="false">
      <c r="A133" s="293" t="s">
        <v>8</v>
      </c>
      <c r="B133" s="293" t="n">
        <f aca="false">(B130*B131)+B132</f>
        <v>0</v>
      </c>
      <c r="C133" s="103" t="n">
        <f aca="false">(C130*C131)+C132</f>
        <v>0</v>
      </c>
      <c r="D133" s="293" t="n">
        <f aca="false">(D130*D131)+D132</f>
        <v>0</v>
      </c>
      <c r="E133" s="103" t="n">
        <f aca="false">(E130*E131)+E132</f>
        <v>0</v>
      </c>
      <c r="F133" s="293" t="n">
        <f aca="false">(F130*F131)+F132</f>
        <v>0</v>
      </c>
      <c r="G133" s="103" t="n">
        <f aca="false">(G130*G131)+G132</f>
        <v>0</v>
      </c>
      <c r="H133" s="11"/>
      <c r="J133" s="293" t="s">
        <v>8</v>
      </c>
      <c r="K133" s="293" t="n">
        <f aca="false">(K130*K131)+K132</f>
        <v>0</v>
      </c>
      <c r="L133" s="103" t="n">
        <f aca="false">(L130*L131)+L132</f>
        <v>0</v>
      </c>
      <c r="M133" s="293" t="n">
        <f aca="false">(M130*M131)+M132</f>
        <v>0</v>
      </c>
      <c r="N133" s="103" t="n">
        <f aca="false">(N130*N131)+N132</f>
        <v>0</v>
      </c>
      <c r="O133" s="293" t="n">
        <f aca="false">(O130*O131)+O132</f>
        <v>0</v>
      </c>
      <c r="P133" s="103" t="n">
        <f aca="false">(P130*P131)+P132</f>
        <v>0</v>
      </c>
      <c r="Q133" s="11"/>
      <c r="S133" s="293" t="s">
        <v>8</v>
      </c>
      <c r="T133" s="293" t="n">
        <f aca="false">(T130*T131)+T132</f>
        <v>0</v>
      </c>
      <c r="U133" s="103" t="n">
        <f aca="false">(U130*U131)+U132</f>
        <v>11713.5425</v>
      </c>
      <c r="V133" s="293" t="n">
        <f aca="false">(V130*V131)+V132</f>
        <v>0</v>
      </c>
      <c r="W133" s="103" t="n">
        <f aca="false">(W130*W131)+W132</f>
        <v>0</v>
      </c>
      <c r="X133" s="293" t="n">
        <f aca="false">(X130*X131)+X132</f>
        <v>0</v>
      </c>
      <c r="Y133" s="103" t="n">
        <f aca="false">(Y130*Y131)+Y132</f>
        <v>0</v>
      </c>
      <c r="Z133" s="11"/>
      <c r="AB133" s="293" t="s">
        <v>8</v>
      </c>
      <c r="AC133" s="293" t="n">
        <f aca="false">(AC130*AC131)+AC132</f>
        <v>0</v>
      </c>
      <c r="AD133" s="103" t="n">
        <f aca="false">(AD130*AD131)+AD132</f>
        <v>11713.5425</v>
      </c>
      <c r="AE133" s="293" t="n">
        <f aca="false">(AE130*AE131)+AE132</f>
        <v>0</v>
      </c>
      <c r="AF133" s="103" t="n">
        <f aca="false">(AF130*AF131)+AF132</f>
        <v>0</v>
      </c>
      <c r="AG133" s="293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321" t="s">
        <v>9</v>
      </c>
      <c r="B134" s="321" t="n">
        <f aca="false">B130-B133</f>
        <v>46854.17</v>
      </c>
      <c r="C134" s="85" t="n">
        <f aca="false">C130-C133</f>
        <v>46854.17</v>
      </c>
      <c r="D134" s="321" t="n">
        <f aca="false">D130-D133</f>
        <v>0</v>
      </c>
      <c r="E134" s="85" t="n">
        <f aca="false">E130-E133</f>
        <v>0</v>
      </c>
      <c r="F134" s="321" t="n">
        <f aca="false">F130-F133</f>
        <v>833.33</v>
      </c>
      <c r="G134" s="85" t="n">
        <f aca="false">G130-G133</f>
        <v>833.33</v>
      </c>
      <c r="H134" s="85"/>
      <c r="J134" s="321" t="s">
        <v>9</v>
      </c>
      <c r="K134" s="321" t="n">
        <f aca="false">K130-K133</f>
        <v>46854.17</v>
      </c>
      <c r="L134" s="85" t="n">
        <f aca="false">L130-L133</f>
        <v>28629.17</v>
      </c>
      <c r="M134" s="321" t="n">
        <f aca="false">M130-M133</f>
        <v>0</v>
      </c>
      <c r="N134" s="85" t="n">
        <f aca="false">N130-N133</f>
        <v>0</v>
      </c>
      <c r="O134" s="321" t="n">
        <f aca="false">O130-O133</f>
        <v>833.33</v>
      </c>
      <c r="P134" s="85" t="n">
        <f aca="false">P130-P133</f>
        <v>833.33</v>
      </c>
      <c r="Q134" s="85"/>
      <c r="S134" s="321" t="s">
        <v>9</v>
      </c>
      <c r="T134" s="321" t="n">
        <f aca="false">T130-T133</f>
        <v>46854.17</v>
      </c>
      <c r="U134" s="85" t="n">
        <f aca="false">U130-U133</f>
        <v>35140.6275</v>
      </c>
      <c r="V134" s="321" t="n">
        <f aca="false">V130-V133</f>
        <v>0</v>
      </c>
      <c r="W134" s="85" t="n">
        <f aca="false">W130-W133</f>
        <v>0</v>
      </c>
      <c r="X134" s="321" t="n">
        <f aca="false">X130-X133</f>
        <v>833.33</v>
      </c>
      <c r="Y134" s="85" t="n">
        <f aca="false">Y130-Y133</f>
        <v>833.33</v>
      </c>
      <c r="Z134" s="85"/>
      <c r="AB134" s="321" t="s">
        <v>9</v>
      </c>
      <c r="AC134" s="321" t="n">
        <f aca="false">AC130-AC133</f>
        <v>46854.17</v>
      </c>
      <c r="AD134" s="85" t="n">
        <f aca="false">AD130-AD133</f>
        <v>35140.6275</v>
      </c>
      <c r="AE134" s="321" t="n">
        <f aca="false">AE130-AE133</f>
        <v>0</v>
      </c>
      <c r="AF134" s="85" t="n">
        <f aca="false">AF130-AF133</f>
        <v>0</v>
      </c>
      <c r="AG134" s="321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293"/>
      <c r="B135" s="12"/>
      <c r="C135" s="12"/>
      <c r="D135" s="12"/>
      <c r="E135" s="12"/>
      <c r="F135" s="12"/>
      <c r="G135" s="12"/>
      <c r="H135" s="11"/>
      <c r="J135" s="293"/>
      <c r="K135" s="12"/>
      <c r="L135" s="12"/>
      <c r="M135" s="12"/>
      <c r="N135" s="12"/>
      <c r="O135" s="12"/>
      <c r="P135" s="12"/>
      <c r="Q135" s="11"/>
      <c r="S135" s="293"/>
      <c r="T135" s="12"/>
      <c r="U135" s="12"/>
      <c r="V135" s="12"/>
      <c r="W135" s="12"/>
      <c r="X135" s="12"/>
      <c r="Y135" s="12"/>
      <c r="Z135" s="11"/>
      <c r="AB135" s="293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366"/>
      <c r="B136" s="367"/>
      <c r="C136" s="367"/>
      <c r="D136" s="367"/>
      <c r="E136" s="367"/>
      <c r="F136" s="367"/>
      <c r="G136" s="299" t="s">
        <v>284</v>
      </c>
      <c r="H136" s="368" t="s">
        <v>285</v>
      </c>
      <c r="J136" s="366"/>
      <c r="K136" s="367"/>
      <c r="L136" s="367"/>
      <c r="M136" s="367"/>
      <c r="N136" s="367"/>
      <c r="O136" s="367"/>
      <c r="P136" s="299" t="s">
        <v>284</v>
      </c>
      <c r="Q136" s="368" t="s">
        <v>285</v>
      </c>
      <c r="S136" s="366"/>
      <c r="T136" s="367"/>
      <c r="U136" s="367"/>
      <c r="V136" s="367"/>
      <c r="W136" s="367"/>
      <c r="X136" s="367"/>
      <c r="Y136" s="299" t="s">
        <v>284</v>
      </c>
      <c r="Z136" s="368" t="s">
        <v>285</v>
      </c>
      <c r="AB136" s="366"/>
      <c r="AC136" s="367"/>
      <c r="AD136" s="367"/>
      <c r="AE136" s="367"/>
      <c r="AF136" s="367"/>
      <c r="AG136" s="367"/>
      <c r="AH136" s="299" t="s">
        <v>284</v>
      </c>
      <c r="AI136" s="368" t="s">
        <v>285</v>
      </c>
    </row>
    <row r="137" customFormat="false" ht="17.35" hidden="false" customHeight="false" outlineLevel="0" collapsed="false">
      <c r="A137" s="369" t="s">
        <v>286</v>
      </c>
      <c r="B137" s="370"/>
      <c r="C137" s="370"/>
      <c r="D137" s="370"/>
      <c r="E137" s="370"/>
      <c r="F137" s="370"/>
      <c r="G137" s="371" t="n">
        <f aca="false">H130</f>
        <v>0</v>
      </c>
      <c r="H137" s="372" t="n">
        <f aca="false">SUM(H140:H142)</f>
        <v>0</v>
      </c>
      <c r="J137" s="369" t="s">
        <v>286</v>
      </c>
      <c r="K137" s="370"/>
      <c r="L137" s="370"/>
      <c r="M137" s="370"/>
      <c r="N137" s="370"/>
      <c r="O137" s="370"/>
      <c r="P137" s="371" t="n">
        <f aca="false">Q130</f>
        <v>0</v>
      </c>
      <c r="Q137" s="372" t="n">
        <f aca="false">SUM(Q140:Q142)</f>
        <v>0</v>
      </c>
      <c r="S137" s="369" t="s">
        <v>286</v>
      </c>
      <c r="T137" s="370"/>
      <c r="U137" s="370"/>
      <c r="V137" s="370"/>
      <c r="W137" s="370"/>
      <c r="X137" s="370"/>
      <c r="Y137" s="371" t="n">
        <f aca="false">Z130</f>
        <v>0</v>
      </c>
      <c r="Z137" s="372" t="n">
        <f aca="false">SUM(Z140:Z142)</f>
        <v>0</v>
      </c>
      <c r="AB137" s="369" t="s">
        <v>286</v>
      </c>
      <c r="AC137" s="370"/>
      <c r="AD137" s="370"/>
      <c r="AE137" s="370"/>
      <c r="AF137" s="370"/>
      <c r="AG137" s="370"/>
      <c r="AH137" s="371" t="n">
        <f aca="false">AI130</f>
        <v>0</v>
      </c>
      <c r="AI137" s="372" t="n">
        <f aca="false">SUM(AI140:AI142)</f>
        <v>0</v>
      </c>
    </row>
    <row r="138" customFormat="false" ht="17.35" hidden="false" customHeight="false" outlineLevel="0" collapsed="false">
      <c r="A138" s="293"/>
      <c r="B138" s="12"/>
      <c r="C138" s="12"/>
      <c r="D138" s="12"/>
      <c r="E138" s="12"/>
      <c r="F138" s="12"/>
      <c r="G138" s="373"/>
      <c r="H138" s="374"/>
      <c r="J138" s="293"/>
      <c r="K138" s="12"/>
      <c r="L138" s="12"/>
      <c r="M138" s="12"/>
      <c r="N138" s="12"/>
      <c r="O138" s="12"/>
      <c r="P138" s="373"/>
      <c r="Q138" s="374"/>
      <c r="S138" s="293"/>
      <c r="T138" s="12"/>
      <c r="U138" s="12"/>
      <c r="V138" s="12"/>
      <c r="W138" s="12"/>
      <c r="X138" s="12"/>
      <c r="Y138" s="373"/>
      <c r="Z138" s="374"/>
      <c r="AB138" s="293"/>
      <c r="AC138" s="12"/>
      <c r="AD138" s="12"/>
      <c r="AE138" s="12"/>
      <c r="AF138" s="12"/>
      <c r="AG138" s="12"/>
      <c r="AH138" s="373"/>
      <c r="AI138" s="374"/>
    </row>
    <row r="139" customFormat="false" ht="17.35" hidden="false" customHeight="false" outlineLevel="0" collapsed="false">
      <c r="A139" s="375" t="s">
        <v>287</v>
      </c>
      <c r="B139" s="376" t="s">
        <v>288</v>
      </c>
      <c r="C139" s="376"/>
      <c r="D139" s="376" t="s">
        <v>289</v>
      </c>
      <c r="E139" s="376"/>
      <c r="F139" s="376" t="s">
        <v>7</v>
      </c>
      <c r="G139" s="376"/>
      <c r="H139" s="374" t="s">
        <v>285</v>
      </c>
      <c r="J139" s="375" t="s">
        <v>287</v>
      </c>
      <c r="K139" s="377" t="s">
        <v>288</v>
      </c>
      <c r="L139" s="377"/>
      <c r="M139" s="376" t="s">
        <v>289</v>
      </c>
      <c r="N139" s="376"/>
      <c r="O139" s="376" t="s">
        <v>7</v>
      </c>
      <c r="P139" s="376"/>
      <c r="Q139" s="374" t="s">
        <v>285</v>
      </c>
      <c r="S139" s="375" t="s">
        <v>287</v>
      </c>
      <c r="T139" s="376" t="s">
        <v>288</v>
      </c>
      <c r="U139" s="376"/>
      <c r="V139" s="376" t="s">
        <v>289</v>
      </c>
      <c r="W139" s="376"/>
      <c r="X139" s="376" t="s">
        <v>7</v>
      </c>
      <c r="Y139" s="376"/>
      <c r="Z139" s="374" t="s">
        <v>285</v>
      </c>
      <c r="AB139" s="375" t="s">
        <v>287</v>
      </c>
      <c r="AC139" s="376" t="s">
        <v>288</v>
      </c>
      <c r="AD139" s="376"/>
      <c r="AE139" s="376" t="s">
        <v>289</v>
      </c>
      <c r="AF139" s="376"/>
      <c r="AG139" s="376" t="s">
        <v>7</v>
      </c>
      <c r="AH139" s="376"/>
      <c r="AI139" s="374" t="s">
        <v>285</v>
      </c>
    </row>
    <row r="140" customFormat="false" ht="17.35" hidden="false" customHeight="false" outlineLevel="0" collapsed="false">
      <c r="A140" s="293" t="s">
        <v>290</v>
      </c>
      <c r="B140" s="182" t="n">
        <f aca="false">G137</f>
        <v>0</v>
      </c>
      <c r="C140" s="182"/>
      <c r="D140" s="378" t="n">
        <v>0</v>
      </c>
      <c r="E140" s="378"/>
      <c r="F140" s="182" t="n">
        <v>0</v>
      </c>
      <c r="G140" s="182"/>
      <c r="H140" s="151" t="n">
        <f aca="false">(B140-(B140*D140))-F140</f>
        <v>0</v>
      </c>
      <c r="J140" s="293" t="s">
        <v>290</v>
      </c>
      <c r="K140" s="182" t="n">
        <f aca="false">P137</f>
        <v>0</v>
      </c>
      <c r="L140" s="182"/>
      <c r="M140" s="378" t="n">
        <v>0</v>
      </c>
      <c r="N140" s="378"/>
      <c r="O140" s="182" t="n">
        <v>0</v>
      </c>
      <c r="P140" s="182"/>
      <c r="Q140" s="151" t="n">
        <f aca="false">(K140-(K140*M140))-O140</f>
        <v>0</v>
      </c>
      <c r="S140" s="293" t="s">
        <v>290</v>
      </c>
      <c r="T140" s="182" t="n">
        <f aca="false">Y137</f>
        <v>0</v>
      </c>
      <c r="U140" s="182"/>
      <c r="V140" s="378" t="n">
        <v>0</v>
      </c>
      <c r="W140" s="378"/>
      <c r="X140" s="182" t="n">
        <v>0</v>
      </c>
      <c r="Y140" s="182"/>
      <c r="Z140" s="151" t="n">
        <f aca="false">(T140-(T140*V140))-X140</f>
        <v>0</v>
      </c>
      <c r="AB140" s="293" t="s">
        <v>290</v>
      </c>
      <c r="AC140" s="182" t="n">
        <f aca="false">AH137</f>
        <v>0</v>
      </c>
      <c r="AD140" s="182"/>
      <c r="AE140" s="378" t="n">
        <v>0</v>
      </c>
      <c r="AF140" s="378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293" t="s">
        <v>291</v>
      </c>
      <c r="B141" s="182" t="n">
        <v>0</v>
      </c>
      <c r="C141" s="182"/>
      <c r="D141" s="378" t="n">
        <v>0</v>
      </c>
      <c r="E141" s="378"/>
      <c r="F141" s="182" t="n">
        <v>0</v>
      </c>
      <c r="G141" s="182"/>
      <c r="H141" s="151" t="n">
        <f aca="false">(B141-(B141*D141))-F141</f>
        <v>0</v>
      </c>
      <c r="J141" s="293" t="s">
        <v>291</v>
      </c>
      <c r="K141" s="182" t="n">
        <v>0</v>
      </c>
      <c r="L141" s="182"/>
      <c r="M141" s="378" t="n">
        <v>0</v>
      </c>
      <c r="N141" s="378"/>
      <c r="O141" s="182" t="n">
        <v>0</v>
      </c>
      <c r="P141" s="182"/>
      <c r="Q141" s="151" t="n">
        <f aca="false">(K141-(K141*M141))-O141</f>
        <v>0</v>
      </c>
      <c r="S141" s="293" t="s">
        <v>291</v>
      </c>
      <c r="T141" s="182" t="n">
        <v>0</v>
      </c>
      <c r="U141" s="182"/>
      <c r="V141" s="378" t="n">
        <v>0</v>
      </c>
      <c r="W141" s="378"/>
      <c r="X141" s="182" t="n">
        <v>0</v>
      </c>
      <c r="Y141" s="182"/>
      <c r="Z141" s="151" t="n">
        <f aca="false">(T141-(T141*V141))-X141</f>
        <v>0</v>
      </c>
      <c r="AB141" s="293" t="s">
        <v>291</v>
      </c>
      <c r="AC141" s="182" t="n">
        <v>0</v>
      </c>
      <c r="AD141" s="182"/>
      <c r="AE141" s="378" t="n">
        <v>0</v>
      </c>
      <c r="AF141" s="378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293" t="s">
        <v>292</v>
      </c>
      <c r="B142" s="182" t="n">
        <v>0</v>
      </c>
      <c r="C142" s="182"/>
      <c r="D142" s="378" t="n">
        <v>0</v>
      </c>
      <c r="E142" s="378"/>
      <c r="F142" s="182" t="n">
        <v>0</v>
      </c>
      <c r="G142" s="182"/>
      <c r="H142" s="151" t="n">
        <f aca="false">(B142-(B142*D142))-F142</f>
        <v>0</v>
      </c>
      <c r="J142" s="293" t="s">
        <v>292</v>
      </c>
      <c r="K142" s="182" t="n">
        <v>0</v>
      </c>
      <c r="L142" s="182"/>
      <c r="M142" s="378" t="n">
        <v>0</v>
      </c>
      <c r="N142" s="378"/>
      <c r="O142" s="182" t="n">
        <v>0</v>
      </c>
      <c r="P142" s="182"/>
      <c r="Q142" s="151" t="n">
        <f aca="false">(K142-(K142*M142))-O142</f>
        <v>0</v>
      </c>
      <c r="S142" s="293" t="s">
        <v>292</v>
      </c>
      <c r="T142" s="182" t="n">
        <v>0</v>
      </c>
      <c r="U142" s="182"/>
      <c r="V142" s="378" t="n">
        <v>0</v>
      </c>
      <c r="W142" s="378"/>
      <c r="X142" s="182" t="n">
        <v>0</v>
      </c>
      <c r="Y142" s="182"/>
      <c r="Z142" s="151" t="n">
        <f aca="false">(T142-(T142*V142))-X142</f>
        <v>0</v>
      </c>
      <c r="AB142" s="293" t="s">
        <v>292</v>
      </c>
      <c r="AC142" s="182" t="n">
        <v>0</v>
      </c>
      <c r="AD142" s="182"/>
      <c r="AE142" s="378" t="n">
        <v>0</v>
      </c>
      <c r="AF142" s="378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293"/>
      <c r="B143" s="12"/>
      <c r="C143" s="12"/>
      <c r="D143" s="12"/>
      <c r="E143" s="12"/>
      <c r="F143" s="12"/>
      <c r="G143" s="373"/>
      <c r="H143" s="374"/>
      <c r="J143" s="293"/>
      <c r="K143" s="12"/>
      <c r="L143" s="12"/>
      <c r="M143" s="12"/>
      <c r="N143" s="12"/>
      <c r="O143" s="12"/>
      <c r="P143" s="373"/>
      <c r="Q143" s="374"/>
      <c r="S143" s="293"/>
      <c r="T143" s="12"/>
      <c r="U143" s="12"/>
      <c r="V143" s="12"/>
      <c r="W143" s="12"/>
      <c r="X143" s="12"/>
      <c r="Y143" s="373"/>
      <c r="Z143" s="374"/>
      <c r="AB143" s="293"/>
      <c r="AC143" s="12"/>
      <c r="AD143" s="12"/>
      <c r="AE143" s="12"/>
      <c r="AF143" s="12"/>
      <c r="AG143" s="12"/>
      <c r="AH143" s="373"/>
      <c r="AI143" s="374"/>
    </row>
    <row r="144" customFormat="false" ht="19.7" hidden="false" customHeight="false" outlineLevel="0" collapsed="false">
      <c r="A144" s="298" t="s">
        <v>11</v>
      </c>
      <c r="B144" s="298"/>
      <c r="C144" s="298"/>
      <c r="D144" s="298"/>
      <c r="E144" s="298"/>
      <c r="F144" s="298"/>
      <c r="G144" s="299" t="n">
        <f aca="false">H9</f>
        <v>47687.5</v>
      </c>
      <c r="H144" s="379" t="n">
        <f aca="false">C134+E134+G134+H137</f>
        <v>47687.5</v>
      </c>
      <c r="J144" s="298" t="s">
        <v>11</v>
      </c>
      <c r="K144" s="298"/>
      <c r="L144" s="298"/>
      <c r="M144" s="298"/>
      <c r="N144" s="298"/>
      <c r="O144" s="298"/>
      <c r="P144" s="299" t="n">
        <f aca="false">H9</f>
        <v>47687.5</v>
      </c>
      <c r="Q144" s="379" t="n">
        <f aca="false">L134+N134+P134+Q137</f>
        <v>29462.5</v>
      </c>
      <c r="S144" s="298" t="s">
        <v>11</v>
      </c>
      <c r="T144" s="298"/>
      <c r="U144" s="298"/>
      <c r="V144" s="298"/>
      <c r="W144" s="298"/>
      <c r="X144" s="298"/>
      <c r="Y144" s="299" t="n">
        <f aca="false">H9</f>
        <v>47687.5</v>
      </c>
      <c r="Z144" s="379" t="n">
        <f aca="false">U134+W134+Y134+Z137</f>
        <v>35973.9575</v>
      </c>
      <c r="AB144" s="298" t="s">
        <v>11</v>
      </c>
      <c r="AC144" s="298"/>
      <c r="AD144" s="298"/>
      <c r="AE144" s="298"/>
      <c r="AF144" s="298"/>
      <c r="AG144" s="298"/>
      <c r="AH144" s="299" t="n">
        <f aca="false">H9</f>
        <v>47687.5</v>
      </c>
      <c r="AI144" s="379" t="n">
        <f aca="false">AD134+AF134+AH134+AI137</f>
        <v>35973.9575</v>
      </c>
    </row>
    <row r="145" customFormat="false" ht="17.35" hidden="false" customHeight="false" outlineLevel="0" collapsed="false">
      <c r="A145" s="301" t="s">
        <v>12</v>
      </c>
      <c r="B145" s="301"/>
      <c r="C145" s="301"/>
      <c r="D145" s="301"/>
      <c r="E145" s="301"/>
      <c r="F145" s="301"/>
      <c r="G145" s="302" t="n">
        <f aca="false">H10</f>
        <v>550</v>
      </c>
      <c r="H145" s="11" t="n">
        <f aca="false">G145</f>
        <v>550</v>
      </c>
      <c r="J145" s="301" t="s">
        <v>12</v>
      </c>
      <c r="K145" s="301"/>
      <c r="L145" s="301"/>
      <c r="M145" s="301"/>
      <c r="N145" s="301"/>
      <c r="O145" s="301"/>
      <c r="P145" s="302" t="n">
        <f aca="false">H10</f>
        <v>550</v>
      </c>
      <c r="Q145" s="11" t="n">
        <f aca="false">P145</f>
        <v>550</v>
      </c>
      <c r="S145" s="301" t="s">
        <v>12</v>
      </c>
      <c r="T145" s="301"/>
      <c r="U145" s="301"/>
      <c r="V145" s="301"/>
      <c r="W145" s="301"/>
      <c r="X145" s="301"/>
      <c r="Y145" s="302" t="n">
        <f aca="false">H10</f>
        <v>550</v>
      </c>
      <c r="Z145" s="11" t="n">
        <f aca="false">Y145</f>
        <v>550</v>
      </c>
      <c r="AB145" s="301" t="s">
        <v>12</v>
      </c>
      <c r="AC145" s="301"/>
      <c r="AD145" s="301"/>
      <c r="AE145" s="301"/>
      <c r="AF145" s="301"/>
      <c r="AG145" s="301"/>
      <c r="AH145" s="302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301" t="s">
        <v>14</v>
      </c>
      <c r="B146" s="301"/>
      <c r="C146" s="301"/>
      <c r="D146" s="301"/>
      <c r="E146" s="301"/>
      <c r="F146" s="301"/>
      <c r="G146" s="302" t="n">
        <f aca="false">H11</f>
        <v>9647.5</v>
      </c>
      <c r="H146" s="11" t="n">
        <f aca="false">(H144+H145)*20%</f>
        <v>9647.5</v>
      </c>
      <c r="J146" s="301" t="s">
        <v>14</v>
      </c>
      <c r="K146" s="301"/>
      <c r="L146" s="301"/>
      <c r="M146" s="301"/>
      <c r="N146" s="301"/>
      <c r="O146" s="301"/>
      <c r="P146" s="302" t="n">
        <f aca="false">H11</f>
        <v>9647.5</v>
      </c>
      <c r="Q146" s="11" t="n">
        <f aca="false">(Q144+Q145)*20%</f>
        <v>6002.5</v>
      </c>
      <c r="S146" s="301" t="s">
        <v>14</v>
      </c>
      <c r="T146" s="301"/>
      <c r="U146" s="301"/>
      <c r="V146" s="301"/>
      <c r="W146" s="301"/>
      <c r="X146" s="301"/>
      <c r="Y146" s="302" t="n">
        <f aca="false">H11</f>
        <v>9647.5</v>
      </c>
      <c r="Z146" s="11" t="n">
        <f aca="false">(Z144+Z145)*20%</f>
        <v>7304.7915</v>
      </c>
      <c r="AB146" s="301" t="s">
        <v>14</v>
      </c>
      <c r="AC146" s="301"/>
      <c r="AD146" s="301"/>
      <c r="AE146" s="301"/>
      <c r="AF146" s="301"/>
      <c r="AG146" s="301"/>
      <c r="AH146" s="302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301" t="s">
        <v>15</v>
      </c>
      <c r="B147" s="301"/>
      <c r="C147" s="301"/>
      <c r="D147" s="301"/>
      <c r="E147" s="301"/>
      <c r="F147" s="301"/>
      <c r="G147" s="302" t="n">
        <f aca="false">H12</f>
        <v>0</v>
      </c>
      <c r="H147" s="11" t="n">
        <v>0</v>
      </c>
      <c r="J147" s="301" t="s">
        <v>15</v>
      </c>
      <c r="K147" s="301"/>
      <c r="L147" s="301"/>
      <c r="M147" s="301"/>
      <c r="N147" s="301"/>
      <c r="O147" s="301"/>
      <c r="P147" s="302" t="n">
        <f aca="false">H12</f>
        <v>0</v>
      </c>
      <c r="Q147" s="11" t="n">
        <f aca="false">P147</f>
        <v>0</v>
      </c>
      <c r="S147" s="301" t="s">
        <v>15</v>
      </c>
      <c r="T147" s="301"/>
      <c r="U147" s="301"/>
      <c r="V147" s="301"/>
      <c r="W147" s="301"/>
      <c r="X147" s="301"/>
      <c r="Y147" s="302" t="n">
        <f aca="false">H12</f>
        <v>0</v>
      </c>
      <c r="Z147" s="11" t="n">
        <f aca="false">Y147</f>
        <v>0</v>
      </c>
      <c r="AB147" s="301" t="s">
        <v>15</v>
      </c>
      <c r="AC147" s="301"/>
      <c r="AD147" s="301"/>
      <c r="AE147" s="301"/>
      <c r="AF147" s="301"/>
      <c r="AG147" s="301"/>
      <c r="AH147" s="302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301" t="s">
        <v>16</v>
      </c>
      <c r="B148" s="301"/>
      <c r="C148" s="301"/>
      <c r="D148" s="301"/>
      <c r="E148" s="301"/>
      <c r="F148" s="301"/>
      <c r="G148" s="302" t="n">
        <f aca="false">H13</f>
        <v>585</v>
      </c>
      <c r="H148" s="11" t="n">
        <f aca="false">G148</f>
        <v>585</v>
      </c>
      <c r="J148" s="301" t="s">
        <v>16</v>
      </c>
      <c r="K148" s="301"/>
      <c r="L148" s="301"/>
      <c r="M148" s="301"/>
      <c r="N148" s="301"/>
      <c r="O148" s="301"/>
      <c r="P148" s="302" t="n">
        <f aca="false">H13</f>
        <v>585</v>
      </c>
      <c r="Q148" s="11" t="n">
        <f aca="false">P148</f>
        <v>585</v>
      </c>
      <c r="S148" s="301" t="s">
        <v>16</v>
      </c>
      <c r="T148" s="301"/>
      <c r="U148" s="301"/>
      <c r="V148" s="301"/>
      <c r="W148" s="301"/>
      <c r="X148" s="301"/>
      <c r="Y148" s="302" t="n">
        <f aca="false">H13</f>
        <v>585</v>
      </c>
      <c r="Z148" s="11" t="n">
        <f aca="false">Y148</f>
        <v>585</v>
      </c>
      <c r="AB148" s="301" t="s">
        <v>16</v>
      </c>
      <c r="AC148" s="301"/>
      <c r="AD148" s="301"/>
      <c r="AE148" s="301"/>
      <c r="AF148" s="301"/>
      <c r="AG148" s="301"/>
      <c r="AH148" s="302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301" t="s">
        <v>17</v>
      </c>
      <c r="B149" s="301"/>
      <c r="C149" s="301"/>
      <c r="D149" s="301"/>
      <c r="E149" s="301"/>
      <c r="F149" s="301"/>
      <c r="G149" s="302" t="n">
        <f aca="false">H14</f>
        <v>55</v>
      </c>
      <c r="H149" s="11" t="n">
        <v>55</v>
      </c>
      <c r="J149" s="301" t="s">
        <v>17</v>
      </c>
      <c r="K149" s="301"/>
      <c r="L149" s="301"/>
      <c r="M149" s="301"/>
      <c r="N149" s="301"/>
      <c r="O149" s="301"/>
      <c r="P149" s="302" t="n">
        <f aca="false">H14</f>
        <v>55</v>
      </c>
      <c r="Q149" s="11" t="n">
        <v>55</v>
      </c>
      <c r="S149" s="301" t="s">
        <v>17</v>
      </c>
      <c r="T149" s="301"/>
      <c r="U149" s="301"/>
      <c r="V149" s="301"/>
      <c r="W149" s="301"/>
      <c r="X149" s="301"/>
      <c r="Y149" s="302" t="n">
        <f aca="false">H14</f>
        <v>55</v>
      </c>
      <c r="Z149" s="11" t="n">
        <v>55</v>
      </c>
      <c r="AB149" s="301" t="s">
        <v>17</v>
      </c>
      <c r="AC149" s="301"/>
      <c r="AD149" s="301"/>
      <c r="AE149" s="301"/>
      <c r="AF149" s="301"/>
      <c r="AG149" s="301"/>
      <c r="AH149" s="302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301" t="s">
        <v>19</v>
      </c>
      <c r="B150" s="301"/>
      <c r="C150" s="301"/>
      <c r="D150" s="301"/>
      <c r="E150" s="301"/>
      <c r="F150" s="301"/>
      <c r="G150" s="380" t="n">
        <f aca="false">H15</f>
        <v>58525</v>
      </c>
      <c r="H150" s="381" t="n">
        <f aca="false">(H144+H145+H148+H149+H146)-H147</f>
        <v>58525</v>
      </c>
      <c r="J150" s="301" t="s">
        <v>19</v>
      </c>
      <c r="K150" s="301"/>
      <c r="L150" s="301"/>
      <c r="M150" s="301"/>
      <c r="N150" s="301"/>
      <c r="O150" s="301"/>
      <c r="P150" s="380" t="n">
        <f aca="false">H15</f>
        <v>58525</v>
      </c>
      <c r="Q150" s="381" t="n">
        <f aca="false">(Q144+Q145+Q148+Q149+Q146)-Q147</f>
        <v>36655</v>
      </c>
      <c r="S150" s="301" t="s">
        <v>19</v>
      </c>
      <c r="T150" s="301"/>
      <c r="U150" s="301"/>
      <c r="V150" s="301"/>
      <c r="W150" s="301"/>
      <c r="X150" s="301"/>
      <c r="Y150" s="380" t="n">
        <f aca="false">H15</f>
        <v>58525</v>
      </c>
      <c r="Z150" s="381" t="n">
        <f aca="false">(Z144+Z145+Z148+Z149+Z146)-Z147</f>
        <v>44468.749</v>
      </c>
      <c r="AB150" s="301" t="s">
        <v>19</v>
      </c>
      <c r="AC150" s="301"/>
      <c r="AD150" s="301"/>
      <c r="AE150" s="301"/>
      <c r="AF150" s="301"/>
      <c r="AG150" s="301"/>
      <c r="AH150" s="380" t="n">
        <f aca="false">H15</f>
        <v>58525</v>
      </c>
      <c r="AI150" s="381" t="n">
        <f aca="false">(AI144+AI145+AI148+AI149+AI146)-AI147</f>
        <v>44468.749</v>
      </c>
    </row>
    <row r="151" customFormat="false" ht="17.35" hidden="false" customHeight="false" outlineLevel="0" collapsed="false">
      <c r="A151" s="301" t="s">
        <v>20</v>
      </c>
      <c r="B151" s="301"/>
      <c r="C151" s="301"/>
      <c r="D151" s="301"/>
      <c r="E151" s="301"/>
      <c r="F151" s="301"/>
      <c r="G151" s="302" t="n">
        <f aca="false">H16</f>
        <v>0</v>
      </c>
      <c r="H151" s="314" t="n">
        <f aca="false">G151</f>
        <v>0</v>
      </c>
      <c r="J151" s="301" t="s">
        <v>20</v>
      </c>
      <c r="K151" s="301"/>
      <c r="L151" s="301"/>
      <c r="M151" s="301"/>
      <c r="N151" s="301"/>
      <c r="O151" s="301"/>
      <c r="P151" s="302" t="n">
        <f aca="false">H16</f>
        <v>0</v>
      </c>
      <c r="Q151" s="314" t="n">
        <f aca="false">P151</f>
        <v>0</v>
      </c>
      <c r="S151" s="301" t="s">
        <v>20</v>
      </c>
      <c r="T151" s="301"/>
      <c r="U151" s="301"/>
      <c r="V151" s="301"/>
      <c r="W151" s="301"/>
      <c r="X151" s="301"/>
      <c r="Y151" s="302" t="n">
        <f aca="false">H16</f>
        <v>0</v>
      </c>
      <c r="Z151" s="314" t="n">
        <f aca="false">Y151</f>
        <v>0</v>
      </c>
      <c r="AB151" s="301" t="s">
        <v>20</v>
      </c>
      <c r="AC151" s="301"/>
      <c r="AD151" s="301"/>
      <c r="AE151" s="301"/>
      <c r="AF151" s="301"/>
      <c r="AG151" s="301"/>
      <c r="AH151" s="302" t="n">
        <f aca="false">H16</f>
        <v>0</v>
      </c>
      <c r="AI151" s="314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382" t="s">
        <v>22</v>
      </c>
      <c r="K152" s="382"/>
      <c r="L152" s="382"/>
      <c r="M152" s="382"/>
      <c r="N152" s="382"/>
      <c r="O152" s="382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304" t="s">
        <v>21</v>
      </c>
      <c r="B153" s="305" t="s">
        <v>25</v>
      </c>
      <c r="C153" s="305"/>
      <c r="D153" s="305"/>
      <c r="E153" s="305"/>
      <c r="F153" s="305"/>
      <c r="G153" s="302" t="n">
        <f aca="false">H18</f>
        <v>0</v>
      </c>
      <c r="H153" s="314" t="n">
        <f aca="false">G153</f>
        <v>0</v>
      </c>
      <c r="J153" s="304" t="s">
        <v>21</v>
      </c>
      <c r="K153" s="305" t="s">
        <v>25</v>
      </c>
      <c r="L153" s="305"/>
      <c r="M153" s="305"/>
      <c r="N153" s="305"/>
      <c r="O153" s="305"/>
      <c r="P153" s="302" t="n">
        <f aca="false">H18</f>
        <v>0</v>
      </c>
      <c r="Q153" s="314" t="n">
        <f aca="false">P153</f>
        <v>0</v>
      </c>
      <c r="S153" s="304" t="s">
        <v>21</v>
      </c>
      <c r="T153" s="305" t="s">
        <v>25</v>
      </c>
      <c r="U153" s="305"/>
      <c r="V153" s="305"/>
      <c r="W153" s="305"/>
      <c r="X153" s="305"/>
      <c r="Y153" s="302" t="n">
        <f aca="false">H18</f>
        <v>0</v>
      </c>
      <c r="Z153" s="314" t="n">
        <f aca="false">Y153</f>
        <v>0</v>
      </c>
      <c r="AB153" s="304" t="s">
        <v>21</v>
      </c>
      <c r="AC153" s="305" t="s">
        <v>25</v>
      </c>
      <c r="AD153" s="305"/>
      <c r="AE153" s="305"/>
      <c r="AF153" s="305"/>
      <c r="AG153" s="305"/>
      <c r="AH153" s="302" t="n">
        <f aca="false">H18</f>
        <v>0</v>
      </c>
      <c r="AI153" s="314" t="n">
        <f aca="false">AH153</f>
        <v>0</v>
      </c>
    </row>
    <row r="154" customFormat="false" ht="17.35" hidden="false" customHeight="false" outlineLevel="0" collapsed="false">
      <c r="A154" s="304" t="s">
        <v>24</v>
      </c>
      <c r="B154" s="305" t="s">
        <v>25</v>
      </c>
      <c r="C154" s="305"/>
      <c r="D154" s="305"/>
      <c r="E154" s="305"/>
      <c r="F154" s="305"/>
      <c r="G154" s="302" t="n">
        <f aca="false">H19</f>
        <v>0</v>
      </c>
      <c r="H154" s="314" t="n">
        <v>0</v>
      </c>
      <c r="I154" s="288" t="n">
        <f aca="false">(G151+G154+G155+G153)</f>
        <v>0</v>
      </c>
      <c r="J154" s="304" t="s">
        <v>24</v>
      </c>
      <c r="K154" s="305" t="s">
        <v>25</v>
      </c>
      <c r="L154" s="305"/>
      <c r="M154" s="305"/>
      <c r="N154" s="305"/>
      <c r="O154" s="305"/>
      <c r="P154" s="302" t="n">
        <f aca="false">H19</f>
        <v>0</v>
      </c>
      <c r="Q154" s="314" t="n">
        <f aca="false">P154</f>
        <v>0</v>
      </c>
      <c r="S154" s="304" t="s">
        <v>24</v>
      </c>
      <c r="T154" s="305" t="s">
        <v>25</v>
      </c>
      <c r="U154" s="305"/>
      <c r="V154" s="305"/>
      <c r="W154" s="305"/>
      <c r="X154" s="305"/>
      <c r="Y154" s="302" t="n">
        <f aca="false">H19</f>
        <v>0</v>
      </c>
      <c r="Z154" s="314" t="n">
        <f aca="false">Y154</f>
        <v>0</v>
      </c>
      <c r="AB154" s="304" t="s">
        <v>24</v>
      </c>
      <c r="AC154" s="305" t="s">
        <v>25</v>
      </c>
      <c r="AD154" s="305"/>
      <c r="AE154" s="305"/>
      <c r="AF154" s="305"/>
      <c r="AG154" s="305"/>
      <c r="AH154" s="302" t="n">
        <f aca="false">H19</f>
        <v>0</v>
      </c>
      <c r="AI154" s="314" t="n">
        <f aca="false">AH154</f>
        <v>0</v>
      </c>
    </row>
    <row r="155" customFormat="false" ht="17.35" hidden="false" customHeight="false" outlineLevel="0" collapsed="false">
      <c r="A155" s="383" t="s">
        <v>26</v>
      </c>
      <c r="B155" s="384" t="s">
        <v>25</v>
      </c>
      <c r="C155" s="384"/>
      <c r="D155" s="384"/>
      <c r="E155" s="384"/>
      <c r="F155" s="384"/>
      <c r="G155" s="302" t="n">
        <f aca="false">H20</f>
        <v>0</v>
      </c>
      <c r="H155" s="314" t="n">
        <v>0</v>
      </c>
      <c r="I155" s="288" t="n">
        <f aca="false">(H151+H153+H154+H155)</f>
        <v>0</v>
      </c>
      <c r="J155" s="383" t="s">
        <v>26</v>
      </c>
      <c r="K155" s="384" t="s">
        <v>25</v>
      </c>
      <c r="L155" s="384"/>
      <c r="M155" s="384"/>
      <c r="N155" s="384"/>
      <c r="O155" s="384"/>
      <c r="P155" s="302" t="n">
        <f aca="false">H20</f>
        <v>0</v>
      </c>
      <c r="Q155" s="314" t="n">
        <f aca="false">P155</f>
        <v>0</v>
      </c>
      <c r="S155" s="383" t="s">
        <v>26</v>
      </c>
      <c r="T155" s="384" t="s">
        <v>25</v>
      </c>
      <c r="U155" s="384"/>
      <c r="V155" s="384"/>
      <c r="W155" s="384"/>
      <c r="X155" s="384"/>
      <c r="Y155" s="302" t="n">
        <f aca="false">H20</f>
        <v>0</v>
      </c>
      <c r="Z155" s="314" t="n">
        <f aca="false">Y155</f>
        <v>0</v>
      </c>
      <c r="AB155" s="383" t="s">
        <v>26</v>
      </c>
      <c r="AC155" s="384" t="s">
        <v>25</v>
      </c>
      <c r="AD155" s="384"/>
      <c r="AE155" s="384"/>
      <c r="AF155" s="384"/>
      <c r="AG155" s="384"/>
      <c r="AH155" s="302" t="n">
        <f aca="false">H20</f>
        <v>0</v>
      </c>
      <c r="AI155" s="314" t="n">
        <f aca="false">AH155</f>
        <v>0</v>
      </c>
    </row>
    <row r="156" customFormat="false" ht="19.7" hidden="false" customHeight="false" outlineLevel="0" collapsed="false">
      <c r="A156" s="301" t="s">
        <v>29</v>
      </c>
      <c r="B156" s="301"/>
      <c r="C156" s="301"/>
      <c r="D156" s="301"/>
      <c r="E156" s="301"/>
      <c r="F156" s="301"/>
      <c r="G156" s="380" t="n">
        <f aca="false">G150-((G153*1.2)+(G154*1.2)+(G155*1.2)+(G151*1.2))</f>
        <v>58525</v>
      </c>
      <c r="H156" s="385" t="n">
        <f aca="false">H150-((H153*1.2)+(H154*1.2)+(H155*1.2)+(H151*1.2))</f>
        <v>58525</v>
      </c>
      <c r="J156" s="386" t="s">
        <v>29</v>
      </c>
      <c r="K156" s="386"/>
      <c r="L156" s="386"/>
      <c r="M156" s="386"/>
      <c r="N156" s="386"/>
      <c r="O156" s="386"/>
      <c r="P156" s="380" t="n">
        <f aca="false">P150-((P153*1.2)+(P154*1.2)+(P155*1.2)+(P151*1.2))</f>
        <v>58525</v>
      </c>
      <c r="Q156" s="385" t="n">
        <f aca="false">Q150-((Q153*1.2)+(Q154*1.2)+(Q155*1.2)+(Q151*1.2))</f>
        <v>36655</v>
      </c>
      <c r="S156" s="301" t="s">
        <v>29</v>
      </c>
      <c r="T156" s="301"/>
      <c r="U156" s="301"/>
      <c r="V156" s="301"/>
      <c r="W156" s="301"/>
      <c r="X156" s="301"/>
      <c r="Y156" s="380" t="n">
        <f aca="false">Y150-((Y153*1.2)+(Y154*1.2)+(Y155*1.2)+(Y151*1.2))</f>
        <v>58525</v>
      </c>
      <c r="Z156" s="385" t="n">
        <f aca="false">Z150-((Z153*1.2)+(Z154*1.2)+(Z155*1.2)+(Z151*1.2))</f>
        <v>44468.749</v>
      </c>
      <c r="AB156" s="301" t="s">
        <v>29</v>
      </c>
      <c r="AC156" s="301"/>
      <c r="AD156" s="301"/>
      <c r="AE156" s="301"/>
      <c r="AF156" s="301"/>
      <c r="AG156" s="301"/>
      <c r="AH156" s="380" t="n">
        <f aca="false">AH150-((AH153*1.2)+(AH154*1.2)+(AH155*1.2)+(AH151*1.2))</f>
        <v>58525</v>
      </c>
      <c r="AI156" s="385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301" t="s">
        <v>293</v>
      </c>
      <c r="B157" s="301"/>
      <c r="C157" s="301"/>
      <c r="D157" s="301"/>
      <c r="E157" s="301"/>
      <c r="F157" s="301"/>
      <c r="G157" s="302"/>
      <c r="H157" s="314" t="n">
        <f aca="false">((H156-G156)-(H146-G146))+((I155-I154)*0.2)</f>
        <v>0</v>
      </c>
      <c r="I157" s="288" t="n">
        <f aca="false">(H157-G90)/1.2</f>
        <v>0</v>
      </c>
      <c r="J157" s="301" t="s">
        <v>293</v>
      </c>
      <c r="K157" s="301"/>
      <c r="L157" s="301"/>
      <c r="M157" s="301"/>
      <c r="N157" s="301"/>
      <c r="O157" s="301"/>
      <c r="P157" s="302"/>
      <c r="Q157" s="314" t="n">
        <f aca="false">Q156-P156</f>
        <v>-21870</v>
      </c>
      <c r="S157" s="301" t="s">
        <v>293</v>
      </c>
      <c r="T157" s="301"/>
      <c r="U157" s="301"/>
      <c r="V157" s="301"/>
      <c r="W157" s="301"/>
      <c r="X157" s="301"/>
      <c r="Y157" s="302"/>
      <c r="Z157" s="314" t="n">
        <f aca="false">Z156-Y156</f>
        <v>-14056.251</v>
      </c>
      <c r="AB157" s="301" t="s">
        <v>293</v>
      </c>
      <c r="AC157" s="301"/>
      <c r="AD157" s="301"/>
      <c r="AE157" s="301"/>
      <c r="AF157" s="301"/>
      <c r="AG157" s="301"/>
      <c r="AH157" s="302"/>
      <c r="AI157" s="314" t="n">
        <f aca="false">AI156-AH156</f>
        <v>-14056.251</v>
      </c>
    </row>
    <row r="158" customFormat="false" ht="17.35" hidden="false" customHeight="false" outlineLevel="0" collapsed="false">
      <c r="A158" s="293"/>
      <c r="B158" s="12"/>
      <c r="C158" s="12"/>
      <c r="D158" s="12"/>
      <c r="E158" s="308"/>
      <c r="F158" s="308"/>
      <c r="G158" s="308"/>
      <c r="H158" s="11"/>
      <c r="J158" s="293"/>
      <c r="K158" s="12"/>
      <c r="L158" s="12"/>
      <c r="M158" s="12"/>
      <c r="N158" s="308"/>
      <c r="O158" s="308"/>
      <c r="P158" s="308"/>
      <c r="Q158" s="11"/>
      <c r="S158" s="293"/>
      <c r="T158" s="12"/>
      <c r="U158" s="12"/>
      <c r="V158" s="12"/>
      <c r="W158" s="308"/>
      <c r="X158" s="308"/>
      <c r="Y158" s="308"/>
      <c r="Z158" s="11"/>
      <c r="AB158" s="293"/>
      <c r="AC158" s="12"/>
      <c r="AD158" s="12"/>
      <c r="AE158" s="12"/>
      <c r="AF158" s="308"/>
      <c r="AG158" s="308"/>
      <c r="AH158" s="308"/>
      <c r="AI158" s="11"/>
    </row>
    <row r="159" customFormat="false" ht="22.05" hidden="false" customHeight="false" outlineLevel="0" collapsed="false">
      <c r="A159" s="312" t="s">
        <v>294</v>
      </c>
      <c r="B159" s="312"/>
      <c r="C159" s="312"/>
      <c r="D159" s="312"/>
      <c r="E159" s="312"/>
      <c r="F159" s="312"/>
      <c r="G159" s="312"/>
      <c r="H159" s="312"/>
      <c r="J159" s="312" t="s">
        <v>294</v>
      </c>
      <c r="K159" s="312"/>
      <c r="L159" s="312"/>
      <c r="M159" s="312"/>
      <c r="N159" s="312"/>
      <c r="O159" s="312"/>
      <c r="P159" s="312"/>
      <c r="Q159" s="312"/>
      <c r="S159" s="312" t="s">
        <v>294</v>
      </c>
      <c r="T159" s="312"/>
      <c r="U159" s="312"/>
      <c r="V159" s="312"/>
      <c r="W159" s="312"/>
      <c r="X159" s="312"/>
      <c r="Y159" s="312"/>
      <c r="Z159" s="312"/>
      <c r="AB159" s="312" t="s">
        <v>294</v>
      </c>
      <c r="AC159" s="312"/>
      <c r="AD159" s="312"/>
      <c r="AE159" s="312"/>
      <c r="AF159" s="312"/>
      <c r="AG159" s="312"/>
      <c r="AH159" s="312"/>
      <c r="AI159" s="312"/>
    </row>
    <row r="160" customFormat="false" ht="17.35" hidden="false" customHeight="false" outlineLevel="0" collapsed="false">
      <c r="A160" s="293"/>
      <c r="B160" s="12"/>
      <c r="C160" s="12"/>
      <c r="D160" s="12"/>
      <c r="E160" s="308"/>
      <c r="F160" s="308"/>
      <c r="G160" s="308"/>
      <c r="H160" s="11"/>
      <c r="J160" s="293"/>
      <c r="K160" s="12"/>
      <c r="L160" s="12"/>
      <c r="M160" s="12"/>
      <c r="N160" s="308"/>
      <c r="O160" s="308"/>
      <c r="P160" s="308"/>
      <c r="Q160" s="11"/>
      <c r="S160" s="293"/>
      <c r="T160" s="12"/>
      <c r="U160" s="12"/>
      <c r="V160" s="12"/>
      <c r="W160" s="308"/>
      <c r="X160" s="308"/>
      <c r="Y160" s="308"/>
      <c r="Z160" s="11"/>
      <c r="AB160" s="293"/>
      <c r="AC160" s="12"/>
      <c r="AD160" s="12"/>
      <c r="AE160" s="12"/>
      <c r="AF160" s="308"/>
      <c r="AG160" s="308"/>
      <c r="AH160" s="308"/>
      <c r="AI160" s="11"/>
    </row>
    <row r="161" customFormat="false" ht="17.35" hidden="false" customHeight="false" outlineLevel="0" collapsed="false">
      <c r="A161" s="293" t="s">
        <v>141</v>
      </c>
      <c r="B161" s="12"/>
      <c r="C161" s="12"/>
      <c r="D161" s="308"/>
      <c r="E161" s="113" t="n">
        <v>0</v>
      </c>
      <c r="F161" s="113"/>
      <c r="G161" s="113" t="n">
        <v>0</v>
      </c>
      <c r="H161" s="113"/>
      <c r="J161" s="293" t="s">
        <v>141</v>
      </c>
      <c r="K161" s="12"/>
      <c r="L161" s="12"/>
      <c r="M161" s="308"/>
      <c r="N161" s="113" t="n">
        <v>10000</v>
      </c>
      <c r="O161" s="113"/>
      <c r="P161" s="113" t="n">
        <v>5000</v>
      </c>
      <c r="Q161" s="113"/>
      <c r="S161" s="293" t="s">
        <v>141</v>
      </c>
      <c r="T161" s="12"/>
      <c r="U161" s="12"/>
      <c r="V161" s="308"/>
      <c r="W161" s="113" t="n">
        <v>10000</v>
      </c>
      <c r="X161" s="113"/>
      <c r="Y161" s="113" t="n">
        <v>5000</v>
      </c>
      <c r="Z161" s="113"/>
      <c r="AB161" s="293" t="s">
        <v>141</v>
      </c>
      <c r="AC161" s="12"/>
      <c r="AD161" s="12"/>
      <c r="AE161" s="308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293" t="s">
        <v>142</v>
      </c>
      <c r="B162" s="12"/>
      <c r="C162" s="12"/>
      <c r="D162" s="308"/>
      <c r="E162" s="165" t="n">
        <f aca="false">G162</f>
        <v>0</v>
      </c>
      <c r="F162" s="165"/>
      <c r="G162" s="113" t="n">
        <v>0</v>
      </c>
      <c r="H162" s="113"/>
      <c r="J162" s="293" t="s">
        <v>142</v>
      </c>
      <c r="K162" s="12"/>
      <c r="L162" s="12"/>
      <c r="M162" s="308"/>
      <c r="N162" s="165" t="n">
        <f aca="false">P162</f>
        <v>7000</v>
      </c>
      <c r="O162" s="165"/>
      <c r="P162" s="113" t="n">
        <v>7000</v>
      </c>
      <c r="Q162" s="113"/>
      <c r="S162" s="293" t="s">
        <v>142</v>
      </c>
      <c r="T162" s="12"/>
      <c r="U162" s="12"/>
      <c r="V162" s="308"/>
      <c r="W162" s="165" t="n">
        <f aca="false">Y162</f>
        <v>7000</v>
      </c>
      <c r="X162" s="165"/>
      <c r="Y162" s="113" t="n">
        <v>7000</v>
      </c>
      <c r="Z162" s="113"/>
      <c r="AB162" s="293" t="s">
        <v>142</v>
      </c>
      <c r="AC162" s="12"/>
      <c r="AD162" s="12"/>
      <c r="AE162" s="308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293" t="s">
        <v>143</v>
      </c>
      <c r="B163" s="12"/>
      <c r="C163" s="12"/>
      <c r="D163" s="308"/>
      <c r="E163" s="165" t="n">
        <f aca="false">E161-E162</f>
        <v>0</v>
      </c>
      <c r="F163" s="165"/>
      <c r="G163" s="116" t="n">
        <f aca="false">G161-G162</f>
        <v>0</v>
      </c>
      <c r="H163" s="116"/>
      <c r="J163" s="293" t="s">
        <v>143</v>
      </c>
      <c r="K163" s="12"/>
      <c r="L163" s="12"/>
      <c r="M163" s="308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293" t="s">
        <v>143</v>
      </c>
      <c r="T163" s="12"/>
      <c r="U163" s="12"/>
      <c r="V163" s="308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293" t="s">
        <v>143</v>
      </c>
      <c r="AC163" s="12"/>
      <c r="AD163" s="12"/>
      <c r="AE163" s="308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293" t="s">
        <v>144</v>
      </c>
      <c r="B164" s="12"/>
      <c r="C164" s="12"/>
      <c r="D164" s="308"/>
      <c r="E164" s="165" t="n">
        <f aca="false">E163-G163</f>
        <v>0</v>
      </c>
      <c r="F164" s="165"/>
      <c r="G164" s="308"/>
      <c r="H164" s="11"/>
      <c r="J164" s="293" t="s">
        <v>144</v>
      </c>
      <c r="K164" s="12"/>
      <c r="L164" s="12"/>
      <c r="M164" s="308"/>
      <c r="N164" s="165" t="n">
        <f aca="false">N163-P163</f>
        <v>5000</v>
      </c>
      <c r="O164" s="165"/>
      <c r="P164" s="308"/>
      <c r="Q164" s="11"/>
      <c r="S164" s="293" t="s">
        <v>144</v>
      </c>
      <c r="T164" s="12"/>
      <c r="U164" s="12"/>
      <c r="V164" s="308"/>
      <c r="W164" s="165" t="n">
        <f aca="false">W163-Y163</f>
        <v>5000</v>
      </c>
      <c r="X164" s="165"/>
      <c r="Y164" s="308"/>
      <c r="Z164" s="11"/>
      <c r="AB164" s="293" t="s">
        <v>144</v>
      </c>
      <c r="AC164" s="12"/>
      <c r="AD164" s="12"/>
      <c r="AE164" s="308"/>
      <c r="AF164" s="165" t="n">
        <f aca="false">AF163-AH163</f>
        <v>5000</v>
      </c>
      <c r="AG164" s="165"/>
      <c r="AH164" s="308"/>
      <c r="AI164" s="11"/>
    </row>
    <row r="165" customFormat="false" ht="17.35" hidden="false" customHeight="false" outlineLevel="0" collapsed="false">
      <c r="A165" s="293"/>
      <c r="B165" s="12"/>
      <c r="C165" s="12"/>
      <c r="D165" s="308"/>
      <c r="E165" s="12"/>
      <c r="F165" s="308"/>
      <c r="G165" s="308"/>
      <c r="H165" s="11"/>
      <c r="J165" s="293"/>
      <c r="K165" s="12"/>
      <c r="L165" s="12"/>
      <c r="M165" s="308"/>
      <c r="N165" s="12"/>
      <c r="O165" s="308"/>
      <c r="P165" s="308"/>
      <c r="Q165" s="11"/>
      <c r="S165" s="293"/>
      <c r="T165" s="12"/>
      <c r="U165" s="12"/>
      <c r="V165" s="308"/>
      <c r="W165" s="12"/>
      <c r="X165" s="308"/>
      <c r="Y165" s="308"/>
      <c r="Z165" s="11"/>
      <c r="AB165" s="293"/>
      <c r="AC165" s="12"/>
      <c r="AD165" s="12"/>
      <c r="AE165" s="308"/>
      <c r="AF165" s="12"/>
      <c r="AG165" s="308"/>
      <c r="AH165" s="308"/>
      <c r="AI165" s="11"/>
    </row>
    <row r="166" customFormat="false" ht="17.35" hidden="false" customHeight="false" outlineLevel="0" collapsed="false">
      <c r="A166" s="310" t="s">
        <v>295</v>
      </c>
      <c r="B166" s="311"/>
      <c r="C166" s="311"/>
      <c r="D166" s="334"/>
      <c r="E166" s="311"/>
      <c r="F166" s="334"/>
      <c r="G166" s="387" t="n">
        <f aca="false">B120</f>
        <v>0</v>
      </c>
      <c r="H166" s="387"/>
      <c r="J166" s="310" t="s">
        <v>295</v>
      </c>
      <c r="K166" s="311"/>
      <c r="L166" s="311"/>
      <c r="M166" s="334"/>
      <c r="N166" s="311"/>
      <c r="O166" s="334"/>
      <c r="P166" s="387" t="n">
        <f aca="false">K120</f>
        <v>1000</v>
      </c>
      <c r="Q166" s="387"/>
      <c r="S166" s="310" t="s">
        <v>295</v>
      </c>
      <c r="T166" s="311"/>
      <c r="U166" s="311"/>
      <c r="V166" s="334"/>
      <c r="W166" s="311"/>
      <c r="X166" s="334"/>
      <c r="Y166" s="387" t="n">
        <f aca="false">T120</f>
        <v>1000</v>
      </c>
      <c r="Z166" s="387"/>
      <c r="AB166" s="310" t="s">
        <v>295</v>
      </c>
      <c r="AC166" s="311"/>
      <c r="AD166" s="311"/>
      <c r="AE166" s="334"/>
      <c r="AF166" s="311"/>
      <c r="AG166" s="334"/>
      <c r="AH166" s="387" t="n">
        <f aca="false">AC120</f>
        <v>1000</v>
      </c>
      <c r="AI166" s="387"/>
    </row>
    <row r="167" customFormat="false" ht="19.7" hidden="false" customHeight="false" outlineLevel="0" collapsed="false">
      <c r="A167" s="388" t="s">
        <v>296</v>
      </c>
      <c r="B167" s="12"/>
      <c r="C167" s="12"/>
      <c r="D167" s="308"/>
      <c r="E167" s="12"/>
      <c r="F167" s="308"/>
      <c r="G167" s="389" t="n">
        <f aca="false">H156-G163-G166</f>
        <v>58525</v>
      </c>
      <c r="H167" s="389"/>
      <c r="J167" s="388" t="s">
        <v>296</v>
      </c>
      <c r="K167" s="12"/>
      <c r="L167" s="12"/>
      <c r="M167" s="308"/>
      <c r="N167" s="12"/>
      <c r="O167" s="308"/>
      <c r="P167" s="389" t="n">
        <f aca="false">Q156-P163-P166</f>
        <v>37655</v>
      </c>
      <c r="Q167" s="389"/>
      <c r="S167" s="388" t="s">
        <v>296</v>
      </c>
      <c r="T167" s="12"/>
      <c r="U167" s="12"/>
      <c r="V167" s="308"/>
      <c r="W167" s="12"/>
      <c r="X167" s="308"/>
      <c r="Y167" s="389" t="n">
        <f aca="false">Z156-Y163-Y166</f>
        <v>45468.749</v>
      </c>
      <c r="Z167" s="389"/>
      <c r="AB167" s="388" t="s">
        <v>296</v>
      </c>
      <c r="AC167" s="12"/>
      <c r="AD167" s="12"/>
      <c r="AE167" s="308"/>
      <c r="AF167" s="12"/>
      <c r="AG167" s="308"/>
      <c r="AH167" s="389" t="n">
        <f aca="false">AI156-AH163-AH166</f>
        <v>45468.749</v>
      </c>
      <c r="AI167" s="389"/>
    </row>
    <row r="168" customFormat="false" ht="17.35" hidden="false" customHeight="false" outlineLevel="0" collapsed="false">
      <c r="A168" s="321" t="s">
        <v>54</v>
      </c>
      <c r="B168" s="322"/>
      <c r="C168" s="322"/>
      <c r="D168" s="350"/>
      <c r="E168" s="322"/>
      <c r="F168" s="350"/>
      <c r="G168" s="390" t="n">
        <f aca="false">B123</f>
        <v>416.67</v>
      </c>
      <c r="H168" s="390"/>
      <c r="J168" s="321" t="s">
        <v>54</v>
      </c>
      <c r="K168" s="322"/>
      <c r="L168" s="322"/>
      <c r="M168" s="350"/>
      <c r="N168" s="322"/>
      <c r="O168" s="350"/>
      <c r="P168" s="390" t="n">
        <f aca="false">K123</f>
        <v>239.99</v>
      </c>
      <c r="Q168" s="390"/>
      <c r="S168" s="321" t="s">
        <v>54</v>
      </c>
      <c r="T168" s="322"/>
      <c r="U168" s="322"/>
      <c r="V168" s="350"/>
      <c r="W168" s="322"/>
      <c r="X168" s="350"/>
      <c r="Y168" s="390" t="n">
        <f aca="false">T123</f>
        <v>199.99</v>
      </c>
      <c r="Z168" s="390"/>
      <c r="AB168" s="321" t="s">
        <v>54</v>
      </c>
      <c r="AC168" s="322"/>
      <c r="AD168" s="322"/>
      <c r="AE168" s="350"/>
      <c r="AF168" s="322"/>
      <c r="AG168" s="350"/>
      <c r="AH168" s="390" t="n">
        <f aca="false">AC123</f>
        <v>239.99</v>
      </c>
      <c r="AI168" s="390"/>
    </row>
    <row r="169" customFormat="false" ht="17.35" hidden="false" customHeight="false" outlineLevel="0" collapsed="false">
      <c r="A169" s="293"/>
      <c r="B169" s="12"/>
      <c r="C169" s="12"/>
      <c r="D169" s="12"/>
      <c r="E169" s="308"/>
      <c r="F169" s="308"/>
      <c r="G169" s="308"/>
      <c r="H169" s="11"/>
      <c r="J169" s="293"/>
      <c r="K169" s="12"/>
      <c r="L169" s="12"/>
      <c r="M169" s="12"/>
      <c r="N169" s="308"/>
      <c r="O169" s="308"/>
      <c r="P169" s="308"/>
      <c r="Q169" s="11"/>
      <c r="S169" s="293"/>
      <c r="T169" s="12"/>
      <c r="U169" s="12"/>
      <c r="V169" s="12"/>
      <c r="W169" s="308"/>
      <c r="X169" s="308"/>
      <c r="Y169" s="308"/>
      <c r="Z169" s="11"/>
      <c r="AB169" s="293"/>
      <c r="AC169" s="12"/>
      <c r="AD169" s="12"/>
      <c r="AE169" s="12"/>
      <c r="AF169" s="308"/>
      <c r="AG169" s="308"/>
      <c r="AH169" s="308"/>
      <c r="AI169" s="11"/>
    </row>
    <row r="170" customFormat="false" ht="17.35" hidden="false" customHeight="false" outlineLevel="0" collapsed="false">
      <c r="A170" s="293"/>
      <c r="B170" s="12"/>
      <c r="C170" s="12"/>
      <c r="D170" s="12"/>
      <c r="E170" s="308"/>
      <c r="F170" s="308"/>
      <c r="G170" s="308"/>
      <c r="H170" s="11"/>
      <c r="J170" s="293"/>
      <c r="K170" s="12"/>
      <c r="L170" s="12"/>
      <c r="M170" s="12"/>
      <c r="N170" s="308"/>
      <c r="O170" s="308"/>
      <c r="P170" s="308"/>
      <c r="Q170" s="11"/>
      <c r="S170" s="293"/>
      <c r="T170" s="12"/>
      <c r="U170" s="12"/>
      <c r="V170" s="12"/>
      <c r="W170" s="308"/>
      <c r="X170" s="308"/>
      <c r="Y170" s="308"/>
      <c r="Z170" s="11"/>
      <c r="AB170" s="293"/>
      <c r="AC170" s="12"/>
      <c r="AD170" s="12"/>
      <c r="AE170" s="12"/>
      <c r="AF170" s="308"/>
      <c r="AG170" s="308"/>
      <c r="AH170" s="308"/>
      <c r="AI170" s="11"/>
    </row>
    <row r="171" customFormat="false" ht="22.05" hidden="false" customHeight="false" outlineLevel="0" collapsed="false">
      <c r="A171" s="312" t="s">
        <v>218</v>
      </c>
      <c r="B171" s="312"/>
      <c r="C171" s="312"/>
      <c r="D171" s="312"/>
      <c r="E171" s="312"/>
      <c r="F171" s="312"/>
      <c r="G171" s="312"/>
      <c r="H171" s="312"/>
      <c r="J171" s="312" t="s">
        <v>218</v>
      </c>
      <c r="K171" s="312"/>
      <c r="L171" s="312"/>
      <c r="M171" s="312"/>
      <c r="N171" s="312"/>
      <c r="O171" s="312"/>
      <c r="P171" s="312"/>
      <c r="Q171" s="312"/>
      <c r="S171" s="312" t="s">
        <v>218</v>
      </c>
      <c r="T171" s="312"/>
      <c r="U171" s="312"/>
      <c r="V171" s="312"/>
      <c r="W171" s="312"/>
      <c r="X171" s="312"/>
      <c r="Y171" s="312"/>
      <c r="Z171" s="312"/>
      <c r="AB171" s="312" t="s">
        <v>218</v>
      </c>
      <c r="AC171" s="312"/>
      <c r="AD171" s="312"/>
      <c r="AE171" s="312"/>
      <c r="AF171" s="312"/>
      <c r="AG171" s="312"/>
      <c r="AH171" s="312"/>
      <c r="AI171" s="312"/>
    </row>
    <row r="172" customFormat="false" ht="17.35" hidden="false" customHeight="false" outlineLevel="0" collapsed="false">
      <c r="A172" s="293"/>
      <c r="B172" s="12"/>
      <c r="C172" s="12"/>
      <c r="D172" s="12"/>
      <c r="E172" s="308"/>
      <c r="F172" s="308"/>
      <c r="G172" s="308"/>
      <c r="H172" s="11"/>
      <c r="J172" s="293"/>
      <c r="K172" s="12"/>
      <c r="L172" s="12"/>
      <c r="M172" s="12"/>
      <c r="N172" s="308"/>
      <c r="O172" s="308"/>
      <c r="P172" s="308"/>
      <c r="Q172" s="11"/>
      <c r="S172" s="293"/>
      <c r="T172" s="12"/>
      <c r="U172" s="12"/>
      <c r="V172" s="12"/>
      <c r="W172" s="308"/>
      <c r="X172" s="308"/>
      <c r="Y172" s="308"/>
      <c r="Z172" s="11"/>
      <c r="AB172" s="293"/>
      <c r="AC172" s="12"/>
      <c r="AD172" s="12"/>
      <c r="AE172" s="12"/>
      <c r="AF172" s="308"/>
      <c r="AG172" s="308"/>
      <c r="AH172" s="308"/>
      <c r="AI172" s="11"/>
    </row>
    <row r="173" customFormat="false" ht="17.35" hidden="false" customHeight="false" outlineLevel="0" collapsed="false">
      <c r="A173" s="293" t="s">
        <v>148</v>
      </c>
      <c r="B173" s="122" t="n">
        <v>0</v>
      </c>
      <c r="C173" s="122"/>
      <c r="D173" s="12"/>
      <c r="E173" s="308"/>
      <c r="F173" s="308"/>
      <c r="G173" s="308"/>
      <c r="H173" s="11"/>
      <c r="J173" s="293" t="s">
        <v>148</v>
      </c>
      <c r="K173" s="122" t="n">
        <v>0</v>
      </c>
      <c r="L173" s="122"/>
      <c r="M173" s="12"/>
      <c r="N173" s="308"/>
      <c r="O173" s="308"/>
      <c r="P173" s="308"/>
      <c r="Q173" s="11"/>
      <c r="S173" s="293" t="s">
        <v>148</v>
      </c>
      <c r="T173" s="122" t="n">
        <v>0</v>
      </c>
      <c r="U173" s="122"/>
      <c r="V173" s="12"/>
      <c r="W173" s="308"/>
      <c r="X173" s="308"/>
      <c r="Y173" s="308"/>
      <c r="Z173" s="11"/>
      <c r="AB173" s="293" t="s">
        <v>148</v>
      </c>
      <c r="AC173" s="122" t="n">
        <v>0</v>
      </c>
      <c r="AD173" s="122"/>
      <c r="AE173" s="12"/>
      <c r="AF173" s="308"/>
      <c r="AG173" s="308"/>
      <c r="AH173" s="308"/>
      <c r="AI173" s="11"/>
    </row>
    <row r="174" customFormat="false" ht="17.35" hidden="false" customHeight="false" outlineLevel="0" collapsed="false">
      <c r="A174" s="293"/>
      <c r="B174" s="12"/>
      <c r="C174" s="12"/>
      <c r="D174" s="12"/>
      <c r="E174" s="308"/>
      <c r="F174" s="308"/>
      <c r="G174" s="308"/>
      <c r="H174" s="11"/>
      <c r="J174" s="293"/>
      <c r="K174" s="12"/>
      <c r="L174" s="12"/>
      <c r="M174" s="12"/>
      <c r="N174" s="308"/>
      <c r="O174" s="308"/>
      <c r="P174" s="308"/>
      <c r="Q174" s="11"/>
      <c r="S174" s="293"/>
      <c r="T174" s="12"/>
      <c r="U174" s="12"/>
      <c r="V174" s="12"/>
      <c r="W174" s="308"/>
      <c r="X174" s="308"/>
      <c r="Y174" s="308"/>
      <c r="Z174" s="11"/>
      <c r="AB174" s="293"/>
      <c r="AC174" s="12"/>
      <c r="AD174" s="12"/>
      <c r="AE174" s="12"/>
      <c r="AF174" s="308"/>
      <c r="AG174" s="308"/>
      <c r="AH174" s="308"/>
      <c r="AI174" s="11"/>
    </row>
    <row r="175" customFormat="false" ht="17.35" hidden="false" customHeight="false" outlineLevel="0" collapsed="false">
      <c r="A175" s="391" t="s">
        <v>297</v>
      </c>
      <c r="B175" s="392" t="s">
        <v>298</v>
      </c>
      <c r="C175" s="392"/>
      <c r="D175" s="392"/>
      <c r="E175" s="392" t="s">
        <v>299</v>
      </c>
      <c r="F175" s="308"/>
      <c r="G175" s="308"/>
      <c r="H175" s="11"/>
      <c r="J175" s="391" t="s">
        <v>297</v>
      </c>
      <c r="K175" s="392" t="s">
        <v>298</v>
      </c>
      <c r="L175" s="392"/>
      <c r="M175" s="392"/>
      <c r="N175" s="392" t="s">
        <v>299</v>
      </c>
      <c r="O175" s="308"/>
      <c r="P175" s="308"/>
      <c r="Q175" s="11"/>
      <c r="S175" s="391" t="s">
        <v>297</v>
      </c>
      <c r="T175" s="392" t="s">
        <v>298</v>
      </c>
      <c r="U175" s="392"/>
      <c r="V175" s="392"/>
      <c r="W175" s="392" t="s">
        <v>299</v>
      </c>
      <c r="X175" s="308"/>
      <c r="Y175" s="308"/>
      <c r="Z175" s="11"/>
      <c r="AB175" s="391" t="s">
        <v>297</v>
      </c>
      <c r="AC175" s="392" t="s">
        <v>298</v>
      </c>
      <c r="AD175" s="392"/>
      <c r="AE175" s="392"/>
      <c r="AF175" s="392" t="s">
        <v>299</v>
      </c>
      <c r="AG175" s="308"/>
      <c r="AH175" s="308"/>
      <c r="AI175" s="11"/>
    </row>
    <row r="176" customFormat="false" ht="17.35" hidden="false" customHeight="false" outlineLevel="0" collapsed="false">
      <c r="A176" s="393" t="n">
        <f aca="false">B104</f>
        <v>1639.88541555755</v>
      </c>
      <c r="B176" s="133" t="n">
        <f aca="false">B103</f>
        <v>61.875</v>
      </c>
      <c r="C176" s="392"/>
      <c r="D176" s="392"/>
      <c r="E176" s="133" t="n">
        <f aca="false">B105</f>
        <v>1701.76041555755</v>
      </c>
      <c r="F176" s="308"/>
      <c r="G176" s="308"/>
      <c r="H176" s="11"/>
      <c r="J176" s="393" t="n">
        <f aca="false">K104</f>
        <v>1569.706327631</v>
      </c>
      <c r="K176" s="133" t="n">
        <f aca="false">K103</f>
        <v>0</v>
      </c>
      <c r="L176" s="392"/>
      <c r="M176" s="392"/>
      <c r="N176" s="133" t="n">
        <f aca="false">K105</f>
        <v>1569.706327631</v>
      </c>
      <c r="O176" s="308"/>
      <c r="P176" s="308"/>
      <c r="Q176" s="11"/>
      <c r="S176" s="393" t="n">
        <f aca="false">T104</f>
        <v>1674.61110912406</v>
      </c>
      <c r="T176" s="133" t="n">
        <f aca="false">T103</f>
        <v>0</v>
      </c>
      <c r="U176" s="392"/>
      <c r="V176" s="392"/>
      <c r="W176" s="133" t="n">
        <f aca="false">T105</f>
        <v>1674.61110912406</v>
      </c>
      <c r="X176" s="308"/>
      <c r="Y176" s="308"/>
      <c r="Z176" s="11"/>
      <c r="AB176" s="393" t="n">
        <f aca="false">AC104</f>
        <v>1674.61110912406</v>
      </c>
      <c r="AC176" s="133" t="n">
        <f aca="false">AC103</f>
        <v>0</v>
      </c>
      <c r="AD176" s="392"/>
      <c r="AE176" s="392"/>
      <c r="AF176" s="133" t="n">
        <f aca="false">AC105</f>
        <v>1674.61110912406</v>
      </c>
      <c r="AG176" s="308"/>
      <c r="AH176" s="308"/>
      <c r="AI176" s="11"/>
    </row>
    <row r="177" customFormat="false" ht="17.35" hidden="false" customHeight="false" outlineLevel="0" collapsed="false">
      <c r="A177" s="293"/>
      <c r="B177" s="12"/>
      <c r="C177" s="12"/>
      <c r="D177" s="12"/>
      <c r="E177" s="308"/>
      <c r="F177" s="308"/>
      <c r="G177" s="308"/>
      <c r="H177" s="11"/>
      <c r="J177" s="293"/>
      <c r="K177" s="12"/>
      <c r="L177" s="12"/>
      <c r="M177" s="12"/>
      <c r="N177" s="308"/>
      <c r="O177" s="308"/>
      <c r="P177" s="308"/>
      <c r="Q177" s="11"/>
      <c r="S177" s="293"/>
      <c r="T177" s="12"/>
      <c r="U177" s="12"/>
      <c r="V177" s="12"/>
      <c r="W177" s="308"/>
      <c r="X177" s="308"/>
      <c r="Y177" s="308"/>
      <c r="Z177" s="11"/>
      <c r="AB177" s="293"/>
      <c r="AC177" s="12"/>
      <c r="AD177" s="12"/>
      <c r="AE177" s="12"/>
      <c r="AF177" s="308"/>
      <c r="AG177" s="308"/>
      <c r="AH177" s="308"/>
      <c r="AI177" s="11"/>
    </row>
    <row r="178" customFormat="false" ht="17.35" hidden="false" customHeight="false" outlineLevel="0" collapsed="false">
      <c r="A178" s="293" t="s">
        <v>81</v>
      </c>
      <c r="B178" s="12" t="s">
        <v>82</v>
      </c>
      <c r="C178" s="12"/>
      <c r="D178" s="308"/>
      <c r="E178" s="12" t="s">
        <v>300</v>
      </c>
      <c r="F178" s="308"/>
      <c r="G178" s="308"/>
      <c r="H178" s="11"/>
      <c r="J178" s="293" t="s">
        <v>81</v>
      </c>
      <c r="K178" s="12" t="s">
        <v>82</v>
      </c>
      <c r="L178" s="12"/>
      <c r="M178" s="308"/>
      <c r="N178" s="12" t="s">
        <v>300</v>
      </c>
      <c r="O178" s="308"/>
      <c r="P178" s="308"/>
      <c r="Q178" s="11"/>
      <c r="S178" s="293" t="s">
        <v>81</v>
      </c>
      <c r="T178" s="12" t="s">
        <v>82</v>
      </c>
      <c r="U178" s="12"/>
      <c r="V178" s="308"/>
      <c r="W178" s="12" t="s">
        <v>300</v>
      </c>
      <c r="X178" s="308"/>
      <c r="Y178" s="308"/>
      <c r="Z178" s="11"/>
      <c r="AB178" s="293" t="s">
        <v>81</v>
      </c>
      <c r="AC178" s="12" t="s">
        <v>82</v>
      </c>
      <c r="AD178" s="12"/>
      <c r="AE178" s="308"/>
      <c r="AF178" s="12" t="s">
        <v>300</v>
      </c>
      <c r="AG178" s="308"/>
      <c r="AH178" s="308"/>
      <c r="AI178" s="11"/>
    </row>
    <row r="179" customFormat="false" ht="17.35" hidden="false" customHeight="false" outlineLevel="0" collapsed="false">
      <c r="A179" s="394" t="str">
        <f aca="false">K29</f>
        <v>33</v>
      </c>
      <c r="B179" s="126" t="str">
        <f aca="false">K30</f>
        <v>5000</v>
      </c>
      <c r="C179" s="395"/>
      <c r="D179" s="308"/>
      <c r="E179" s="140" t="str">
        <f aca="false">IF(A120="YES", A40, 0)</f>
        <v>12</v>
      </c>
      <c r="F179" s="308"/>
      <c r="G179" s="308"/>
      <c r="H179" s="11"/>
      <c r="J179" s="394" t="str">
        <f aca="false">K29</f>
        <v>33</v>
      </c>
      <c r="K179" s="396" t="str">
        <f aca="false">K30</f>
        <v>5000</v>
      </c>
      <c r="L179" s="395"/>
      <c r="M179" s="308"/>
      <c r="N179" s="140" t="str">
        <f aca="false">IF(A120="YES", A40, 0)</f>
        <v>12</v>
      </c>
      <c r="O179" s="308"/>
      <c r="P179" s="308"/>
      <c r="Q179" s="11"/>
      <c r="S179" s="394" t="str">
        <f aca="false">K29</f>
        <v>33</v>
      </c>
      <c r="T179" s="396" t="str">
        <f aca="false">K30</f>
        <v>5000</v>
      </c>
      <c r="U179" s="395"/>
      <c r="V179" s="308"/>
      <c r="W179" s="140" t="str">
        <f aca="false">IF(A120="YES", A40, 0)</f>
        <v>12</v>
      </c>
      <c r="X179" s="308"/>
      <c r="Y179" s="308"/>
      <c r="Z179" s="11"/>
      <c r="AB179" s="394" t="str">
        <f aca="false">K29</f>
        <v>33</v>
      </c>
      <c r="AC179" s="396" t="str">
        <f aca="false">K30</f>
        <v>5000</v>
      </c>
      <c r="AD179" s="395"/>
      <c r="AE179" s="308"/>
      <c r="AF179" s="140" t="str">
        <f aca="false">IF(A120="YES", A40, 0)</f>
        <v>12</v>
      </c>
      <c r="AG179" s="308"/>
      <c r="AH179" s="308"/>
      <c r="AI179" s="11"/>
    </row>
    <row r="180" customFormat="false" ht="17.35" hidden="false" customHeight="false" outlineLevel="0" collapsed="false">
      <c r="A180" s="293"/>
      <c r="B180" s="12"/>
      <c r="C180" s="12"/>
      <c r="D180" s="308"/>
      <c r="E180" s="12"/>
      <c r="F180" s="308"/>
      <c r="G180" s="308"/>
      <c r="H180" s="11"/>
      <c r="J180" s="293"/>
      <c r="K180" s="12"/>
      <c r="L180" s="12"/>
      <c r="M180" s="308"/>
      <c r="N180" s="12"/>
      <c r="O180" s="308"/>
      <c r="P180" s="308"/>
      <c r="Q180" s="11"/>
      <c r="S180" s="293"/>
      <c r="T180" s="12"/>
      <c r="U180" s="12"/>
      <c r="V180" s="308"/>
      <c r="W180" s="12"/>
      <c r="X180" s="308"/>
      <c r="Y180" s="308"/>
      <c r="Z180" s="11"/>
      <c r="AB180" s="293"/>
      <c r="AC180" s="12"/>
      <c r="AD180" s="12"/>
      <c r="AE180" s="308"/>
      <c r="AF180" s="12"/>
      <c r="AG180" s="308"/>
      <c r="AH180" s="308"/>
      <c r="AI180" s="11"/>
    </row>
    <row r="181" customFormat="false" ht="17.35" hidden="false" customHeight="false" outlineLevel="0" collapsed="false">
      <c r="A181" s="293" t="s">
        <v>301</v>
      </c>
      <c r="B181" s="12" t="s">
        <v>302</v>
      </c>
      <c r="C181" s="12"/>
      <c r="D181" s="308"/>
      <c r="E181" s="12" t="s">
        <v>303</v>
      </c>
      <c r="F181" s="308"/>
      <c r="G181" s="308"/>
      <c r="H181" s="11"/>
      <c r="J181" s="293" t="s">
        <v>301</v>
      </c>
      <c r="K181" s="12" t="s">
        <v>302</v>
      </c>
      <c r="L181" s="12"/>
      <c r="M181" s="308"/>
      <c r="N181" s="12" t="s">
        <v>303</v>
      </c>
      <c r="O181" s="308"/>
      <c r="P181" s="308"/>
      <c r="Q181" s="11"/>
      <c r="S181" s="293" t="s">
        <v>301</v>
      </c>
      <c r="T181" s="12" t="s">
        <v>302</v>
      </c>
      <c r="U181" s="12"/>
      <c r="V181" s="308"/>
      <c r="W181" s="12" t="s">
        <v>303</v>
      </c>
      <c r="X181" s="308"/>
      <c r="Y181" s="308"/>
      <c r="Z181" s="11"/>
      <c r="AB181" s="293" t="s">
        <v>301</v>
      </c>
      <c r="AC181" s="12" t="s">
        <v>302</v>
      </c>
      <c r="AD181" s="12"/>
      <c r="AE181" s="308"/>
      <c r="AF181" s="12" t="s">
        <v>303</v>
      </c>
      <c r="AG181" s="308"/>
      <c r="AH181" s="308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36" t="n">
        <f aca="false">H146</f>
        <v>9647.5</v>
      </c>
      <c r="C182" s="316"/>
      <c r="D182" s="308"/>
      <c r="E182" s="140" t="n">
        <f aca="false">H148+H149</f>
        <v>640</v>
      </c>
      <c r="F182" s="308"/>
      <c r="G182" s="308"/>
      <c r="H182" s="11"/>
      <c r="J182" s="139" t="n">
        <f aca="false">Q150-Q146-Q148-Q149</f>
        <v>30012.5</v>
      </c>
      <c r="K182" s="136" t="n">
        <f aca="false">Q146</f>
        <v>6002.5</v>
      </c>
      <c r="L182" s="316"/>
      <c r="M182" s="308"/>
      <c r="N182" s="140" t="n">
        <f aca="false">Q148+Q149</f>
        <v>640</v>
      </c>
      <c r="O182" s="308"/>
      <c r="P182" s="308"/>
      <c r="Q182" s="11"/>
      <c r="S182" s="139" t="n">
        <f aca="false">Z150-Z146-Z148-Z149</f>
        <v>36523.9575</v>
      </c>
      <c r="T182" s="136" t="n">
        <f aca="false">Z146</f>
        <v>7304.7915</v>
      </c>
      <c r="U182" s="316"/>
      <c r="V182" s="308"/>
      <c r="W182" s="140" t="n">
        <f aca="false">Z148+Z149</f>
        <v>640</v>
      </c>
      <c r="X182" s="308"/>
      <c r="Y182" s="308"/>
      <c r="Z182" s="11"/>
      <c r="AB182" s="139" t="n">
        <f aca="false">AI150-AI146-AI148-AI149</f>
        <v>36523.9575</v>
      </c>
      <c r="AC182" s="136" t="n">
        <f aca="false">AI146</f>
        <v>7304.7915</v>
      </c>
      <c r="AD182" s="316"/>
      <c r="AE182" s="308"/>
      <c r="AF182" s="140" t="n">
        <f aca="false">AI148+AI149</f>
        <v>640</v>
      </c>
      <c r="AG182" s="308"/>
      <c r="AH182" s="308"/>
      <c r="AI182" s="11"/>
    </row>
    <row r="183" customFormat="false" ht="17.35" hidden="false" customHeight="false" outlineLevel="0" collapsed="false">
      <c r="A183" s="293"/>
      <c r="B183" s="12"/>
      <c r="C183" s="12"/>
      <c r="D183" s="308"/>
      <c r="E183" s="12"/>
      <c r="F183" s="308"/>
      <c r="G183" s="308"/>
      <c r="H183" s="11"/>
      <c r="J183" s="293"/>
      <c r="K183" s="12"/>
      <c r="L183" s="12"/>
      <c r="M183" s="308"/>
      <c r="N183" s="12"/>
      <c r="O183" s="308"/>
      <c r="P183" s="308"/>
      <c r="Q183" s="11"/>
      <c r="S183" s="293"/>
      <c r="T183" s="12"/>
      <c r="U183" s="12"/>
      <c r="V183" s="308"/>
      <c r="W183" s="12"/>
      <c r="X183" s="308"/>
      <c r="Y183" s="308"/>
      <c r="Z183" s="11"/>
      <c r="AB183" s="293"/>
      <c r="AC183" s="12"/>
      <c r="AD183" s="12"/>
      <c r="AE183" s="308"/>
      <c r="AF183" s="12"/>
      <c r="AG183" s="308"/>
      <c r="AH183" s="308"/>
      <c r="AI183" s="11"/>
    </row>
    <row r="184" customFormat="false" ht="17.35" hidden="false" customHeight="false" outlineLevel="0" collapsed="false">
      <c r="A184" s="293" t="s">
        <v>304</v>
      </c>
      <c r="B184" s="12" t="s">
        <v>145</v>
      </c>
      <c r="C184" s="12"/>
      <c r="D184" s="308"/>
      <c r="E184" s="12" t="s">
        <v>281</v>
      </c>
      <c r="F184" s="308"/>
      <c r="G184" s="308"/>
      <c r="H184" s="11"/>
      <c r="J184" s="293" t="s">
        <v>304</v>
      </c>
      <c r="K184" s="12" t="s">
        <v>145</v>
      </c>
      <c r="L184" s="12"/>
      <c r="M184" s="308"/>
      <c r="N184" s="12" t="s">
        <v>281</v>
      </c>
      <c r="O184" s="308"/>
      <c r="P184" s="308"/>
      <c r="Q184" s="11"/>
      <c r="S184" s="293" t="s">
        <v>304</v>
      </c>
      <c r="T184" s="12" t="s">
        <v>145</v>
      </c>
      <c r="U184" s="12"/>
      <c r="V184" s="308"/>
      <c r="W184" s="12" t="s">
        <v>281</v>
      </c>
      <c r="X184" s="308"/>
      <c r="Y184" s="308"/>
      <c r="Z184" s="11"/>
      <c r="AB184" s="293" t="s">
        <v>304</v>
      </c>
      <c r="AC184" s="12" t="s">
        <v>145</v>
      </c>
      <c r="AD184" s="12"/>
      <c r="AE184" s="308"/>
      <c r="AF184" s="12" t="s">
        <v>281</v>
      </c>
      <c r="AG184" s="308"/>
      <c r="AH184" s="308"/>
      <c r="AI184" s="11"/>
    </row>
    <row r="185" customFormat="false" ht="17.35" hidden="false" customHeight="false" outlineLevel="0" collapsed="false">
      <c r="A185" s="139" t="n">
        <f aca="false">H156</f>
        <v>58525</v>
      </c>
      <c r="B185" s="136" t="n">
        <f aca="false">B120</f>
        <v>0</v>
      </c>
      <c r="C185" s="136"/>
      <c r="D185" s="308"/>
      <c r="E185" s="136" t="n">
        <f aca="false">E120</f>
        <v>0</v>
      </c>
      <c r="F185" s="308"/>
      <c r="G185" s="308"/>
      <c r="H185" s="146"/>
      <c r="J185" s="139" t="n">
        <f aca="false">Q150</f>
        <v>36655</v>
      </c>
      <c r="K185" s="136" t="n">
        <f aca="false">K120</f>
        <v>1000</v>
      </c>
      <c r="L185" s="136"/>
      <c r="M185" s="308"/>
      <c r="N185" s="136" t="n">
        <f aca="false">N120</f>
        <v>0</v>
      </c>
      <c r="O185" s="308"/>
      <c r="P185" s="308"/>
      <c r="Q185" s="146"/>
      <c r="S185" s="139" t="n">
        <f aca="false">Z150</f>
        <v>44468.749</v>
      </c>
      <c r="T185" s="136" t="n">
        <f aca="false">T120</f>
        <v>1000</v>
      </c>
      <c r="U185" s="136"/>
      <c r="V185" s="308"/>
      <c r="W185" s="136" t="n">
        <f aca="false">W120</f>
        <v>0</v>
      </c>
      <c r="X185" s="308"/>
      <c r="Y185" s="308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308"/>
      <c r="AF185" s="136" t="n">
        <f aca="false">AF120</f>
        <v>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12"/>
      <c r="C186" s="12"/>
      <c r="D186" s="308"/>
      <c r="E186" s="12"/>
      <c r="F186" s="308"/>
      <c r="G186" s="308"/>
      <c r="H186" s="11"/>
      <c r="J186" s="293"/>
      <c r="K186" s="12"/>
      <c r="L186" s="12"/>
      <c r="M186" s="308"/>
      <c r="N186" s="12"/>
      <c r="O186" s="308"/>
      <c r="P186" s="308"/>
      <c r="Q186" s="11"/>
      <c r="S186" s="293"/>
      <c r="T186" s="12"/>
      <c r="U186" s="12"/>
      <c r="V186" s="308"/>
      <c r="W186" s="12"/>
      <c r="X186" s="308"/>
      <c r="Y186" s="308"/>
      <c r="Z186" s="11"/>
      <c r="AB186" s="293"/>
      <c r="AC186" s="12"/>
      <c r="AD186" s="12"/>
      <c r="AE186" s="308"/>
      <c r="AF186" s="12"/>
      <c r="AG186" s="308"/>
      <c r="AH186" s="308"/>
      <c r="AI186" s="11"/>
    </row>
    <row r="187" customFormat="false" ht="17.35" hidden="false" customHeight="false" outlineLevel="0" collapsed="false">
      <c r="A187" s="293" t="s">
        <v>282</v>
      </c>
      <c r="B187" s="12" t="s">
        <v>141</v>
      </c>
      <c r="C187" s="12"/>
      <c r="D187" s="308"/>
      <c r="E187" s="12" t="s">
        <v>296</v>
      </c>
      <c r="F187" s="308"/>
      <c r="G187" s="308"/>
      <c r="H187" s="11"/>
      <c r="J187" s="293" t="s">
        <v>282</v>
      </c>
      <c r="K187" s="12" t="s">
        <v>141</v>
      </c>
      <c r="L187" s="12"/>
      <c r="M187" s="308"/>
      <c r="N187" s="12" t="s">
        <v>296</v>
      </c>
      <c r="O187" s="308"/>
      <c r="P187" s="308"/>
      <c r="Q187" s="11"/>
      <c r="S187" s="293" t="s">
        <v>282</v>
      </c>
      <c r="T187" s="12" t="s">
        <v>141</v>
      </c>
      <c r="U187" s="12"/>
      <c r="V187" s="308"/>
      <c r="W187" s="12" t="s">
        <v>296</v>
      </c>
      <c r="X187" s="308"/>
      <c r="Y187" s="308"/>
      <c r="Z187" s="11"/>
      <c r="AB187" s="293" t="s">
        <v>282</v>
      </c>
      <c r="AC187" s="12" t="s">
        <v>141</v>
      </c>
      <c r="AD187" s="12"/>
      <c r="AE187" s="308"/>
      <c r="AF187" s="12" t="s">
        <v>296</v>
      </c>
      <c r="AG187" s="308"/>
      <c r="AH187" s="308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36" t="n">
        <f aca="false">G163</f>
        <v>0</v>
      </c>
      <c r="C188" s="136"/>
      <c r="D188" s="308"/>
      <c r="E188" s="136" t="n">
        <f aca="false">A185-A188-B188</f>
        <v>58525</v>
      </c>
      <c r="F188" s="308"/>
      <c r="G188" s="308"/>
      <c r="H188" s="146"/>
      <c r="J188" s="141" t="n">
        <f aca="false">K185+N185</f>
        <v>1000</v>
      </c>
      <c r="K188" s="136" t="n">
        <f aca="false">P163</f>
        <v>-2000</v>
      </c>
      <c r="L188" s="136"/>
      <c r="M188" s="308"/>
      <c r="N188" s="136" t="n">
        <f aca="false">J185-J188-K188</f>
        <v>37655</v>
      </c>
      <c r="O188" s="308"/>
      <c r="P188" s="308"/>
      <c r="Q188" s="146"/>
      <c r="S188" s="141" t="n">
        <f aca="false">T185+W185</f>
        <v>1000</v>
      </c>
      <c r="T188" s="136" t="n">
        <f aca="false">Y163</f>
        <v>-2000</v>
      </c>
      <c r="U188" s="136"/>
      <c r="V188" s="308"/>
      <c r="W188" s="136" t="n">
        <f aca="false">S185-S188-T188</f>
        <v>45468.749</v>
      </c>
      <c r="X188" s="308"/>
      <c r="Y188" s="308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308"/>
      <c r="AF188" s="136" t="n">
        <f aca="false">AB185-AB188-AC188</f>
        <v>45468.749</v>
      </c>
      <c r="AG188" s="308"/>
      <c r="AH188" s="308"/>
      <c r="AI188" s="146"/>
    </row>
    <row r="189" customFormat="false" ht="17.35" hidden="false" customHeight="false" outlineLevel="0" collapsed="false">
      <c r="A189" s="293"/>
      <c r="B189" s="12"/>
      <c r="C189" s="12"/>
      <c r="D189" s="308"/>
      <c r="E189" s="12"/>
      <c r="F189" s="308"/>
      <c r="G189" s="308"/>
      <c r="H189" s="11"/>
      <c r="J189" s="293"/>
      <c r="K189" s="12"/>
      <c r="L189" s="12"/>
      <c r="M189" s="308"/>
      <c r="N189" s="12"/>
      <c r="O189" s="308"/>
      <c r="P189" s="308"/>
      <c r="Q189" s="11"/>
      <c r="S189" s="293"/>
      <c r="T189" s="12"/>
      <c r="U189" s="12"/>
      <c r="V189" s="308"/>
      <c r="W189" s="12"/>
      <c r="X189" s="308"/>
      <c r="Y189" s="308"/>
      <c r="Z189" s="11"/>
      <c r="AB189" s="293"/>
      <c r="AC189" s="12"/>
      <c r="AD189" s="12"/>
      <c r="AE189" s="308"/>
      <c r="AF189" s="12"/>
      <c r="AG189" s="308"/>
      <c r="AH189" s="308"/>
      <c r="AI189" s="11"/>
    </row>
    <row r="190" customFormat="false" ht="17.35" hidden="false" customHeight="false" outlineLevel="0" collapsed="false">
      <c r="A190" s="293" t="s">
        <v>305</v>
      </c>
      <c r="B190" s="12" t="s">
        <v>54</v>
      </c>
      <c r="C190" s="12"/>
      <c r="D190" s="308"/>
      <c r="E190" s="12" t="s">
        <v>306</v>
      </c>
      <c r="F190" s="308"/>
      <c r="G190" s="308"/>
      <c r="H190" s="11"/>
      <c r="J190" s="293" t="s">
        <v>305</v>
      </c>
      <c r="K190" s="12" t="s">
        <v>54</v>
      </c>
      <c r="L190" s="12"/>
      <c r="M190" s="308"/>
      <c r="N190" s="12" t="s">
        <v>306</v>
      </c>
      <c r="O190" s="308"/>
      <c r="P190" s="308"/>
      <c r="Q190" s="11"/>
      <c r="S190" s="293" t="s">
        <v>305</v>
      </c>
      <c r="T190" s="12" t="s">
        <v>54</v>
      </c>
      <c r="U190" s="12"/>
      <c r="V190" s="308"/>
      <c r="W190" s="12" t="s">
        <v>306</v>
      </c>
      <c r="X190" s="308"/>
      <c r="Y190" s="308"/>
      <c r="Z190" s="11"/>
      <c r="AB190" s="293" t="s">
        <v>305</v>
      </c>
      <c r="AC190" s="12" t="s">
        <v>54</v>
      </c>
      <c r="AD190" s="12"/>
      <c r="AE190" s="308"/>
      <c r="AF190" s="12" t="s">
        <v>306</v>
      </c>
      <c r="AG190" s="308"/>
      <c r="AH190" s="308"/>
      <c r="AI190" s="11"/>
    </row>
    <row r="191" customFormat="false" ht="17.35" hidden="false" customHeight="false" outlineLevel="0" collapsed="false">
      <c r="A191" s="141" t="n">
        <f aca="false">(A176*B68)+E194-E188-A194</f>
        <v>-6036.66670215851</v>
      </c>
      <c r="B191" s="136" t="n">
        <f aca="false">B123</f>
        <v>416.67</v>
      </c>
      <c r="C191" s="136"/>
      <c r="D191" s="308"/>
      <c r="E191" s="136" t="n">
        <f aca="false">E188+A191+B191+A194</f>
        <v>52915.0032978415</v>
      </c>
      <c r="F191" s="308"/>
      <c r="G191" s="308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308"/>
      <c r="N191" s="136" t="n">
        <f aca="false">N188+J191+K191+J194</f>
        <v>50502.592484192</v>
      </c>
      <c r="O191" s="308"/>
      <c r="P191" s="308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308"/>
      <c r="W191" s="136" t="n">
        <f aca="false">W188+S191+T191+S194</f>
        <v>53809.5454919699</v>
      </c>
      <c r="X191" s="308"/>
      <c r="Y191" s="308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308"/>
      <c r="AF191" s="136" t="n">
        <f aca="false">AF188+AB191+AC191+AB194</f>
        <v>53849.5454919699</v>
      </c>
      <c r="AG191" s="308"/>
      <c r="AH191" s="308"/>
      <c r="AI191" s="146"/>
    </row>
    <row r="192" customFormat="false" ht="17.35" hidden="false" customHeight="false" outlineLevel="0" collapsed="false">
      <c r="A192" s="293"/>
      <c r="B192" s="12"/>
      <c r="C192" s="12"/>
      <c r="D192" s="308"/>
      <c r="E192" s="12"/>
      <c r="F192" s="308"/>
      <c r="G192" s="308"/>
      <c r="H192" s="11"/>
      <c r="J192" s="293"/>
      <c r="K192" s="12"/>
      <c r="L192" s="12"/>
      <c r="M192" s="308"/>
      <c r="N192" s="12"/>
      <c r="O192" s="308"/>
      <c r="P192" s="308"/>
      <c r="Q192" s="11"/>
      <c r="S192" s="293"/>
      <c r="T192" s="12"/>
      <c r="U192" s="12"/>
      <c r="V192" s="308"/>
      <c r="W192" s="12"/>
      <c r="X192" s="308"/>
      <c r="Y192" s="308"/>
      <c r="Z192" s="11"/>
      <c r="AB192" s="293"/>
      <c r="AC192" s="12"/>
      <c r="AD192" s="12"/>
      <c r="AE192" s="308"/>
      <c r="AF192" s="12"/>
      <c r="AG192" s="308"/>
      <c r="AH192" s="308"/>
      <c r="AI192" s="11"/>
    </row>
    <row r="193" customFormat="false" ht="17.35" hidden="false" customHeight="false" outlineLevel="0" collapsed="false">
      <c r="A193" s="293" t="s">
        <v>307</v>
      </c>
      <c r="B193" s="12" t="s">
        <v>308</v>
      </c>
      <c r="C193" s="12"/>
      <c r="D193" s="308"/>
      <c r="E193" s="12" t="s">
        <v>309</v>
      </c>
      <c r="F193" s="308"/>
      <c r="G193" s="308"/>
      <c r="H193" s="11"/>
      <c r="J193" s="293" t="s">
        <v>307</v>
      </c>
      <c r="K193" s="12" t="s">
        <v>308</v>
      </c>
      <c r="L193" s="12"/>
      <c r="M193" s="308"/>
      <c r="N193" s="12" t="s">
        <v>309</v>
      </c>
      <c r="O193" s="308"/>
      <c r="P193" s="308"/>
      <c r="Q193" s="11"/>
      <c r="S193" s="293" t="s">
        <v>307</v>
      </c>
      <c r="T193" s="12" t="s">
        <v>308</v>
      </c>
      <c r="U193" s="12"/>
      <c r="V193" s="308"/>
      <c r="W193" s="12" t="s">
        <v>309</v>
      </c>
      <c r="X193" s="308"/>
      <c r="Y193" s="308"/>
      <c r="Z193" s="11"/>
      <c r="AB193" s="293" t="s">
        <v>307</v>
      </c>
      <c r="AC193" s="12" t="s">
        <v>308</v>
      </c>
      <c r="AD193" s="12"/>
      <c r="AE193" s="308"/>
      <c r="AF193" s="12" t="s">
        <v>309</v>
      </c>
      <c r="AG193" s="308"/>
      <c r="AH193" s="308"/>
      <c r="AI193" s="11"/>
    </row>
    <row r="194" customFormat="false" ht="17.35" hidden="false" customHeight="false" outlineLevel="0" collapsed="false">
      <c r="A194" s="141" t="n">
        <f aca="false">B69</f>
        <v>10</v>
      </c>
      <c r="B194" s="136" t="n">
        <f aca="false">A188+B191</f>
        <v>416.67</v>
      </c>
      <c r="C194" s="136"/>
      <c r="D194" s="308"/>
      <c r="E194" s="136" t="n">
        <f aca="false">E179+A194</f>
        <v>22</v>
      </c>
      <c r="F194" s="308"/>
      <c r="G194" s="308"/>
      <c r="H194" s="146"/>
      <c r="J194" s="141" t="n">
        <f aca="false">K69</f>
        <v>20</v>
      </c>
      <c r="K194" s="136" t="n">
        <f aca="false">J188+K191</f>
        <v>1239.99</v>
      </c>
      <c r="L194" s="136"/>
      <c r="M194" s="308"/>
      <c r="N194" s="136" t="n">
        <f aca="false">N179+J194</f>
        <v>32</v>
      </c>
      <c r="O194" s="308"/>
      <c r="P194" s="308"/>
      <c r="Q194" s="146"/>
      <c r="S194" s="141" t="n">
        <f aca="false">T69</f>
        <v>10</v>
      </c>
      <c r="T194" s="136" t="n">
        <f aca="false">S188+T191</f>
        <v>1199.99</v>
      </c>
      <c r="U194" s="136"/>
      <c r="V194" s="308"/>
      <c r="W194" s="136" t="n">
        <f aca="false">W179+S194</f>
        <v>22</v>
      </c>
      <c r="X194" s="308"/>
      <c r="Y194" s="308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308"/>
      <c r="AF194" s="136" t="n">
        <f aca="false">AF179+AB194</f>
        <v>22</v>
      </c>
      <c r="AG194" s="308"/>
      <c r="AH194" s="308"/>
      <c r="AI194" s="146"/>
    </row>
    <row r="195" customFormat="false" ht="17.35" hidden="false" customHeight="false" outlineLevel="0" collapsed="false">
      <c r="A195" s="293"/>
      <c r="B195" s="12"/>
      <c r="C195" s="12"/>
      <c r="D195" s="12"/>
      <c r="E195" s="308"/>
      <c r="F195" s="308"/>
      <c r="G195" s="308"/>
      <c r="H195" s="11"/>
      <c r="J195" s="293"/>
      <c r="K195" s="12"/>
      <c r="L195" s="12"/>
      <c r="M195" s="12"/>
      <c r="N195" s="308"/>
      <c r="O195" s="308"/>
      <c r="P195" s="308"/>
      <c r="Q195" s="11"/>
      <c r="S195" s="293"/>
      <c r="T195" s="12"/>
      <c r="U195" s="12"/>
      <c r="V195" s="12"/>
      <c r="W195" s="308"/>
      <c r="X195" s="12"/>
      <c r="Y195" s="12"/>
      <c r="Z195" s="11"/>
      <c r="AB195" s="293"/>
      <c r="AC195" s="12"/>
      <c r="AD195" s="12"/>
      <c r="AE195" s="12"/>
      <c r="AF195" s="308"/>
      <c r="AG195" s="308"/>
      <c r="AH195" s="308"/>
      <c r="AI195" s="11"/>
    </row>
    <row r="196" customFormat="false" ht="17.35" hidden="false" customHeight="false" outlineLevel="0" collapsed="false">
      <c r="A196" s="293" t="s">
        <v>310</v>
      </c>
      <c r="B196" s="12" t="s">
        <v>311</v>
      </c>
      <c r="C196" s="12"/>
      <c r="D196" s="12"/>
      <c r="E196" s="115" t="s">
        <v>312</v>
      </c>
      <c r="F196" s="308"/>
      <c r="G196" s="308"/>
      <c r="H196" s="11"/>
      <c r="J196" s="293" t="s">
        <v>310</v>
      </c>
      <c r="K196" s="12" t="s">
        <v>311</v>
      </c>
      <c r="L196" s="12"/>
      <c r="M196" s="12"/>
      <c r="N196" s="115" t="s">
        <v>312</v>
      </c>
      <c r="O196" s="308"/>
      <c r="P196" s="308"/>
      <c r="Q196" s="11"/>
      <c r="S196" s="293" t="s">
        <v>310</v>
      </c>
      <c r="T196" s="12" t="s">
        <v>311</v>
      </c>
      <c r="U196" s="12"/>
      <c r="V196" s="12"/>
      <c r="W196" s="115" t="s">
        <v>312</v>
      </c>
      <c r="X196" s="12"/>
      <c r="Y196" s="12"/>
      <c r="Z196" s="11"/>
      <c r="AB196" s="293" t="s">
        <v>310</v>
      </c>
      <c r="AC196" s="12" t="s">
        <v>311</v>
      </c>
      <c r="AD196" s="12"/>
      <c r="AE196" s="12"/>
      <c r="AF196" s="115" t="s">
        <v>312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IF(E114="YES", H15*0.000002, 0)</f>
        <v>0.11705</v>
      </c>
      <c r="B197" s="136" t="n">
        <f aca="false">(G167*B76)</f>
        <v>548.671875</v>
      </c>
      <c r="C197" s="12"/>
      <c r="D197" s="12"/>
      <c r="E197" s="136" t="n">
        <f aca="false">(E40*A117)*0.1</f>
        <v>0</v>
      </c>
      <c r="F197" s="308"/>
      <c r="G197" s="308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308"/>
      <c r="P197" s="308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36"/>
      <c r="C198" s="12"/>
      <c r="D198" s="12"/>
      <c r="E198" s="308"/>
      <c r="F198" s="308"/>
      <c r="G198" s="308"/>
      <c r="H198" s="11"/>
      <c r="J198" s="141"/>
      <c r="K198" s="136"/>
      <c r="L198" s="12"/>
      <c r="M198" s="12"/>
      <c r="N198" s="308"/>
      <c r="O198" s="308"/>
      <c r="P198" s="308"/>
      <c r="Q198" s="11"/>
      <c r="S198" s="141"/>
      <c r="T198" s="136"/>
      <c r="U198" s="12"/>
      <c r="V198" s="12"/>
      <c r="W198" s="308"/>
      <c r="X198" s="12"/>
      <c r="Y198" s="12"/>
      <c r="Z198" s="11"/>
      <c r="AB198" s="141"/>
      <c r="AC198" s="136"/>
      <c r="AD198" s="12"/>
      <c r="AE198" s="12"/>
      <c r="AF198" s="308"/>
      <c r="AG198" s="12"/>
      <c r="AH198" s="12"/>
      <c r="AI198" s="11"/>
    </row>
    <row r="199" customFormat="false" ht="17.35" hidden="false" customHeight="false" outlineLevel="0" collapsed="false">
      <c r="A199" s="144" t="s">
        <v>313</v>
      </c>
      <c r="B199" s="115" t="s">
        <v>314</v>
      </c>
      <c r="C199" s="12"/>
      <c r="D199" s="12"/>
      <c r="E199" s="115" t="s">
        <v>315</v>
      </c>
      <c r="F199" s="308"/>
      <c r="G199" s="308"/>
      <c r="H199" s="11"/>
      <c r="J199" s="144" t="s">
        <v>313</v>
      </c>
      <c r="K199" s="115" t="s">
        <v>314</v>
      </c>
      <c r="L199" s="12"/>
      <c r="M199" s="12"/>
      <c r="N199" s="115" t="s">
        <v>315</v>
      </c>
      <c r="O199" s="308"/>
      <c r="P199" s="308"/>
      <c r="Q199" s="11"/>
      <c r="S199" s="144" t="s">
        <v>313</v>
      </c>
      <c r="T199" s="115" t="s">
        <v>314</v>
      </c>
      <c r="U199" s="12"/>
      <c r="V199" s="12"/>
      <c r="W199" s="115" t="s">
        <v>315</v>
      </c>
      <c r="X199" s="12"/>
      <c r="Y199" s="12"/>
      <c r="Z199" s="11"/>
      <c r="AB199" s="144" t="s">
        <v>313</v>
      </c>
      <c r="AC199" s="115" t="s">
        <v>314</v>
      </c>
      <c r="AD199" s="12"/>
      <c r="AE199" s="12"/>
      <c r="AF199" s="115" t="s">
        <v>315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B194-100</f>
        <v>316.67</v>
      </c>
      <c r="B200" s="136" t="n">
        <f aca="false">B197+E197+A200</f>
        <v>865.341875</v>
      </c>
      <c r="C200" s="12"/>
      <c r="D200" s="12"/>
      <c r="E200" s="136" t="n">
        <f aca="false">H157</f>
        <v>0</v>
      </c>
      <c r="F200" s="308"/>
      <c r="G200" s="308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308"/>
      <c r="P200" s="308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93"/>
      <c r="B201" s="12"/>
      <c r="C201" s="12"/>
      <c r="D201" s="12"/>
      <c r="E201" s="308"/>
      <c r="F201" s="308"/>
      <c r="G201" s="308"/>
      <c r="H201" s="11"/>
      <c r="J201" s="293"/>
      <c r="K201" s="12"/>
      <c r="L201" s="12"/>
      <c r="M201" s="12"/>
      <c r="N201" s="308"/>
      <c r="O201" s="308"/>
      <c r="P201" s="308"/>
      <c r="Q201" s="11"/>
      <c r="S201" s="293"/>
      <c r="T201" s="12"/>
      <c r="U201" s="12"/>
      <c r="V201" s="12"/>
      <c r="W201" s="308"/>
      <c r="X201" s="308"/>
      <c r="Y201" s="308"/>
      <c r="Z201" s="11"/>
      <c r="AB201" s="293"/>
      <c r="AC201" s="12"/>
      <c r="AD201" s="12"/>
      <c r="AE201" s="12"/>
      <c r="AF201" s="308"/>
      <c r="AG201" s="308"/>
      <c r="AH201" s="308"/>
      <c r="AI201" s="11"/>
    </row>
    <row r="202" customFormat="false" ht="17.35" hidden="false" customHeight="false" outlineLevel="0" collapsed="false">
      <c r="A202" s="326" t="s">
        <v>316</v>
      </c>
      <c r="B202" s="12"/>
      <c r="C202" s="12"/>
      <c r="D202" s="327"/>
      <c r="E202" s="327"/>
      <c r="F202" s="327"/>
      <c r="G202" s="327"/>
      <c r="H202" s="328"/>
      <c r="J202" s="326" t="s">
        <v>316</v>
      </c>
      <c r="K202" s="12"/>
      <c r="L202" s="12"/>
      <c r="M202" s="327"/>
      <c r="N202" s="327"/>
      <c r="O202" s="327"/>
      <c r="P202" s="327"/>
      <c r="Q202" s="328"/>
      <c r="S202" s="326" t="s">
        <v>316</v>
      </c>
      <c r="T202" s="12"/>
      <c r="U202" s="12"/>
      <c r="V202" s="327"/>
      <c r="W202" s="327"/>
      <c r="X202" s="327"/>
      <c r="Y202" s="327"/>
      <c r="Z202" s="328"/>
      <c r="AB202" s="326" t="s">
        <v>316</v>
      </c>
      <c r="AC202" s="12"/>
      <c r="AD202" s="12"/>
      <c r="AE202" s="327"/>
      <c r="AF202" s="327"/>
      <c r="AG202" s="327"/>
      <c r="AH202" s="327"/>
      <c r="AI202" s="328"/>
    </row>
    <row r="203" customFormat="false" ht="17.35" hidden="false" customHeight="false" outlineLevel="0" collapsed="false">
      <c r="A203" s="293"/>
      <c r="B203" s="329"/>
      <c r="C203" s="329"/>
      <c r="D203" s="12"/>
      <c r="E203" s="308"/>
      <c r="F203" s="308"/>
      <c r="G203" s="308"/>
      <c r="H203" s="11"/>
      <c r="J203" s="293"/>
      <c r="K203" s="329"/>
      <c r="L203" s="329"/>
      <c r="M203" s="12"/>
      <c r="N203" s="308"/>
      <c r="O203" s="308"/>
      <c r="P203" s="308"/>
      <c r="Q203" s="11"/>
      <c r="S203" s="293"/>
      <c r="T203" s="329"/>
      <c r="U203" s="329"/>
      <c r="V203" s="12"/>
      <c r="W203" s="308"/>
      <c r="X203" s="308"/>
      <c r="Y203" s="308"/>
      <c r="Z203" s="11"/>
      <c r="AB203" s="293"/>
      <c r="AC203" s="329"/>
      <c r="AD203" s="329"/>
      <c r="AE203" s="12"/>
      <c r="AF203" s="308"/>
      <c r="AG203" s="308"/>
      <c r="AH203" s="308"/>
      <c r="AI203" s="11"/>
    </row>
    <row r="204" customFormat="false" ht="19.7" hidden="false" customHeight="false" outlineLevel="0" collapsed="false">
      <c r="A204" s="397" t="s">
        <v>81</v>
      </c>
      <c r="B204" s="331" t="s">
        <v>82</v>
      </c>
      <c r="C204" s="331"/>
      <c r="D204" s="331"/>
      <c r="E204" s="308"/>
      <c r="F204" s="308"/>
      <c r="G204" s="308"/>
      <c r="H204" s="11"/>
      <c r="J204" s="397" t="s">
        <v>81</v>
      </c>
      <c r="K204" s="398" t="s">
        <v>82</v>
      </c>
      <c r="L204" s="398"/>
      <c r="M204" s="398"/>
      <c r="N204" s="308"/>
      <c r="O204" s="308"/>
      <c r="P204" s="308"/>
      <c r="Q204" s="11"/>
      <c r="S204" s="397" t="s">
        <v>81</v>
      </c>
      <c r="T204" s="331" t="s">
        <v>82</v>
      </c>
      <c r="U204" s="331"/>
      <c r="V204" s="331"/>
      <c r="W204" s="308"/>
      <c r="X204" s="308"/>
      <c r="Y204" s="308"/>
      <c r="Z204" s="11"/>
      <c r="AB204" s="397" t="s">
        <v>81</v>
      </c>
      <c r="AC204" s="331" t="s">
        <v>82</v>
      </c>
      <c r="AD204" s="331"/>
      <c r="AE204" s="331"/>
      <c r="AF204" s="308"/>
      <c r="AG204" s="308"/>
      <c r="AH204" s="308"/>
      <c r="AI204" s="11"/>
    </row>
    <row r="205" customFormat="false" ht="19.5" hidden="false" customHeight="true" outlineLevel="0" collapsed="false">
      <c r="A205" s="397"/>
      <c r="B205" s="332" t="str">
        <f aca="false">K30</f>
        <v>5000</v>
      </c>
      <c r="C205" s="332"/>
      <c r="D205" s="332"/>
      <c r="E205" s="308"/>
      <c r="F205" s="308"/>
      <c r="G205" s="308"/>
      <c r="H205" s="11"/>
      <c r="J205" s="397"/>
      <c r="K205" s="399" t="str">
        <f aca="false">K30</f>
        <v>5000</v>
      </c>
      <c r="L205" s="399"/>
      <c r="M205" s="399"/>
      <c r="N205" s="308"/>
      <c r="O205" s="308"/>
      <c r="P205" s="308"/>
      <c r="Q205" s="11"/>
      <c r="S205" s="397"/>
      <c r="T205" s="332" t="str">
        <f aca="false">K30</f>
        <v>5000</v>
      </c>
      <c r="U205" s="332"/>
      <c r="V205" s="332"/>
      <c r="W205" s="308"/>
      <c r="X205" s="308"/>
      <c r="Y205" s="308"/>
      <c r="Z205" s="11"/>
      <c r="AB205" s="397"/>
      <c r="AC205" s="332" t="str">
        <f aca="false">K30</f>
        <v>5000</v>
      </c>
      <c r="AD205" s="332"/>
      <c r="AE205" s="332"/>
      <c r="AF205" s="308"/>
      <c r="AG205" s="308"/>
      <c r="AH205" s="308"/>
      <c r="AI205" s="11"/>
    </row>
    <row r="206" customFormat="false" ht="17.35" hidden="false" customHeight="false" outlineLevel="0" collapsed="false">
      <c r="A206" s="333" t="str">
        <f aca="false">K29</f>
        <v>33</v>
      </c>
      <c r="B206" s="71" t="n">
        <f aca="false">B105</f>
        <v>1701.76041555755</v>
      </c>
      <c r="C206" s="71"/>
      <c r="D206" s="71"/>
      <c r="E206" s="308"/>
      <c r="F206" s="308"/>
      <c r="G206" s="308"/>
      <c r="H206" s="11"/>
      <c r="J206" s="333" t="str">
        <f aca="false">K29</f>
        <v>33</v>
      </c>
      <c r="K206" s="71" t="n">
        <f aca="false">K105</f>
        <v>1569.706327631</v>
      </c>
      <c r="L206" s="71"/>
      <c r="M206" s="71"/>
      <c r="N206" s="308"/>
      <c r="O206" s="308"/>
      <c r="P206" s="308"/>
      <c r="Q206" s="11"/>
      <c r="S206" s="333" t="str">
        <f aca="false">K29</f>
        <v>33</v>
      </c>
      <c r="T206" s="71" t="n">
        <f aca="false">T105</f>
        <v>1674.61110912406</v>
      </c>
      <c r="U206" s="71"/>
      <c r="V206" s="71"/>
      <c r="W206" s="308"/>
      <c r="X206" s="308"/>
      <c r="Y206" s="308"/>
      <c r="Z206" s="11"/>
      <c r="AB206" s="333" t="str">
        <f aca="false">K29</f>
        <v>33</v>
      </c>
      <c r="AC206" s="71" t="n">
        <f aca="false">AC105</f>
        <v>1674.61110912406</v>
      </c>
      <c r="AD206" s="71"/>
      <c r="AE206" s="71"/>
      <c r="AF206" s="308"/>
      <c r="AG206" s="308"/>
      <c r="AH206" s="308"/>
      <c r="AI206" s="11"/>
    </row>
    <row r="207" customFormat="false" ht="17.35" hidden="false" customHeight="false" outlineLevel="0" collapsed="false">
      <c r="A207" s="293"/>
      <c r="B207" s="12"/>
      <c r="C207" s="12"/>
      <c r="D207" s="12"/>
      <c r="E207" s="308"/>
      <c r="F207" s="308"/>
      <c r="G207" s="308"/>
      <c r="H207" s="11"/>
      <c r="J207" s="293"/>
      <c r="K207" s="12"/>
      <c r="L207" s="12"/>
      <c r="M207" s="12"/>
      <c r="N207" s="308"/>
      <c r="O207" s="308"/>
      <c r="P207" s="308"/>
      <c r="Q207" s="11"/>
      <c r="S207" s="293"/>
      <c r="T207" s="12"/>
      <c r="U207" s="12"/>
      <c r="V207" s="12"/>
      <c r="W207" s="308"/>
      <c r="X207" s="308"/>
      <c r="Y207" s="308"/>
      <c r="Z207" s="11"/>
      <c r="AB207" s="293"/>
      <c r="AC207" s="12"/>
      <c r="AD207" s="12"/>
      <c r="AE207" s="12"/>
      <c r="AF207" s="308"/>
      <c r="AG207" s="308"/>
      <c r="AH207" s="308"/>
      <c r="AI207" s="11"/>
    </row>
    <row r="208" customFormat="false" ht="17.35" hidden="false" customHeight="false" outlineLevel="0" collapsed="false">
      <c r="A208" s="293"/>
      <c r="B208" s="12"/>
      <c r="C208" s="12"/>
      <c r="D208" s="12"/>
      <c r="E208" s="308"/>
      <c r="F208" s="308"/>
      <c r="G208" s="308"/>
      <c r="H208" s="11"/>
      <c r="J208" s="293"/>
      <c r="K208" s="12"/>
      <c r="L208" s="12"/>
      <c r="M208" s="12"/>
      <c r="N208" s="308"/>
      <c r="O208" s="308"/>
      <c r="P208" s="308"/>
      <c r="Q208" s="11"/>
      <c r="S208" s="293"/>
      <c r="T208" s="12"/>
      <c r="U208" s="12"/>
      <c r="V208" s="12"/>
      <c r="W208" s="308"/>
      <c r="X208" s="308"/>
      <c r="Y208" s="308"/>
      <c r="Z208" s="11"/>
      <c r="AB208" s="293"/>
      <c r="AC208" s="12"/>
      <c r="AD208" s="12"/>
      <c r="AE208" s="12"/>
      <c r="AF208" s="308"/>
      <c r="AG208" s="308"/>
      <c r="AH208" s="308"/>
      <c r="AI208" s="11"/>
    </row>
    <row r="209" customFormat="false" ht="17.35" hidden="false" customHeight="false" outlineLevel="0" collapsed="false">
      <c r="A209" s="293"/>
      <c r="B209" s="12"/>
      <c r="C209" s="12"/>
      <c r="D209" s="12"/>
      <c r="E209" s="308"/>
      <c r="F209" s="308"/>
      <c r="G209" s="308"/>
      <c r="H209" s="11"/>
      <c r="J209" s="293"/>
      <c r="K209" s="12"/>
      <c r="L209" s="12"/>
      <c r="M209" s="12"/>
      <c r="N209" s="308"/>
      <c r="O209" s="308"/>
      <c r="P209" s="308"/>
      <c r="Q209" s="11"/>
      <c r="S209" s="293"/>
      <c r="T209" s="12"/>
      <c r="U209" s="12"/>
      <c r="V209" s="12"/>
      <c r="W209" s="308"/>
      <c r="X209" s="308"/>
      <c r="Y209" s="308"/>
      <c r="Z209" s="11"/>
      <c r="AB209" s="293"/>
      <c r="AC209" s="12"/>
      <c r="AD209" s="12"/>
      <c r="AE209" s="12"/>
      <c r="AF209" s="308"/>
      <c r="AG209" s="308"/>
      <c r="AH209" s="308"/>
      <c r="AI209" s="11"/>
    </row>
    <row r="210" customFormat="false" ht="17.35" hidden="false" customHeight="false" outlineLevel="0" collapsed="false">
      <c r="A210" s="293"/>
      <c r="B210" s="12"/>
      <c r="C210" s="12"/>
      <c r="D210" s="12"/>
      <c r="E210" s="308"/>
      <c r="F210" s="308"/>
      <c r="G210" s="308"/>
      <c r="H210" s="11"/>
      <c r="J210" s="293"/>
      <c r="K210" s="12"/>
      <c r="L210" s="12"/>
      <c r="M210" s="12"/>
      <c r="N210" s="308"/>
      <c r="O210" s="308"/>
      <c r="P210" s="308"/>
      <c r="Q210" s="11"/>
      <c r="S210" s="293"/>
      <c r="T210" s="12"/>
      <c r="U210" s="12"/>
      <c r="V210" s="12"/>
      <c r="W210" s="308"/>
      <c r="X210" s="308"/>
      <c r="Y210" s="308"/>
      <c r="Z210" s="11"/>
      <c r="AB210" s="293"/>
      <c r="AC210" s="12"/>
      <c r="AD210" s="12"/>
      <c r="AE210" s="12"/>
      <c r="AF210" s="308"/>
      <c r="AG210" s="308"/>
      <c r="AH210" s="308"/>
      <c r="AI210" s="11"/>
    </row>
    <row r="211" customFormat="false" ht="17.35" hidden="false" customHeight="false" outlineLevel="0" collapsed="false">
      <c r="A211" s="321"/>
      <c r="B211" s="322"/>
      <c r="C211" s="322"/>
      <c r="D211" s="322"/>
      <c r="E211" s="322"/>
      <c r="F211" s="322"/>
      <c r="G211" s="322"/>
      <c r="H211" s="85"/>
      <c r="J211" s="321"/>
      <c r="K211" s="322"/>
      <c r="L211" s="322"/>
      <c r="M211" s="322"/>
      <c r="N211" s="322"/>
      <c r="O211" s="322"/>
      <c r="P211" s="322"/>
      <c r="Q211" s="85"/>
      <c r="S211" s="321"/>
      <c r="T211" s="322"/>
      <c r="U211" s="322"/>
      <c r="V211" s="322"/>
      <c r="W211" s="322"/>
      <c r="X211" s="322"/>
      <c r="Y211" s="322"/>
      <c r="Z211" s="85"/>
      <c r="AB211" s="321"/>
      <c r="AC211" s="322"/>
      <c r="AD211" s="322"/>
      <c r="AE211" s="322"/>
      <c r="AF211" s="322"/>
      <c r="AG211" s="322"/>
      <c r="AH211" s="322"/>
      <c r="AI211" s="85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0" activeCellId="0" sqref="J10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56.03"/>
    <col collapsed="false" customWidth="true" hidden="false" outlineLevel="0" max="2" min="2" style="0" width="18.12"/>
    <col collapsed="false" customWidth="true" hidden="false" outlineLevel="0" max="3" min="3" style="0" width="25.13"/>
    <col collapsed="false" customWidth="true" hidden="false" outlineLevel="0" max="4" min="4" style="0" width="18.12"/>
    <col collapsed="false" customWidth="true" hidden="false" outlineLevel="0" max="5" min="5" style="0" width="24"/>
    <col collapsed="false" customWidth="true" hidden="false" outlineLevel="0" max="7" min="7" style="0" width="53.45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46854.17</v>
      </c>
      <c r="C3" s="197" t="n">
        <v>0</v>
      </c>
      <c r="D3" s="196" t="n">
        <v>833.33</v>
      </c>
      <c r="E3" s="198" t="n">
        <v>0</v>
      </c>
      <c r="F3" s="171" t="s">
        <v>76</v>
      </c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</v>
      </c>
      <c r="C4" s="0" t="n">
        <v>0</v>
      </c>
      <c r="D4" s="0" t="n">
        <v>0</v>
      </c>
      <c r="E4" s="199"/>
      <c r="F4" s="171" t="s">
        <v>76</v>
      </c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 t="s">
        <v>76</v>
      </c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7.35" hidden="false" customHeight="false" outlineLevel="0" collapsed="false">
      <c r="A8" s="195"/>
      <c r="B8" s="203"/>
      <c r="C8" s="203"/>
      <c r="D8" s="203"/>
      <c r="E8" s="204"/>
      <c r="F8" s="171"/>
      <c r="G8" s="20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47687.5</v>
      </c>
      <c r="F9" s="171"/>
      <c r="G9" s="20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20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9647.5</v>
      </c>
      <c r="F11" s="171"/>
      <c r="G11" s="20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20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58525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20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27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</v>
      </c>
      <c r="I29" s="217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219</v>
      </c>
      <c r="C30" s="122"/>
      <c r="D30" s="203"/>
      <c r="E30" s="204"/>
      <c r="F30" s="171"/>
      <c r="G30" s="214" t="s">
        <v>41</v>
      </c>
      <c r="H30" s="216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27500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1030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951.531975672137</v>
      </c>
      <c r="E33" s="204"/>
      <c r="F33" s="171"/>
      <c r="G33" s="215" t="s">
        <v>221</v>
      </c>
      <c r="H33" s="22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n">
        <f aca="false">IF(B26="YES", H42, "")</f>
        <v>28.6111111111111</v>
      </c>
      <c r="C36" s="224"/>
      <c r="D36" s="140" t="n">
        <f aca="false">H31</f>
        <v>27500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48877.5</v>
      </c>
      <c r="I39" s="226" t="n">
        <f aca="false">(I48*H46)+H44</f>
        <v>63509.8854689439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</v>
      </c>
      <c r="B40" s="113" t="n">
        <f aca="false">IF(B26="YES",H42,"0")</f>
        <v>28.6111111111111</v>
      </c>
      <c r="C40" s="113"/>
      <c r="D40" s="140" t="n">
        <f aca="false">I32</f>
        <v>1030</v>
      </c>
      <c r="E40" s="204"/>
      <c r="F40" s="171"/>
      <c r="G40" s="171" t="s">
        <v>229</v>
      </c>
      <c r="H40" s="226" t="n">
        <f aca="false">(A40)/1.2</f>
        <v>22916.6666666667</v>
      </c>
      <c r="I40" s="226" t="n">
        <f aca="false">H39-I39</f>
        <v>-14632.3854689439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28.6111111111111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18764.9097705681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236</v>
      </c>
      <c r="B45" s="203"/>
      <c r="C45" s="233" t="s">
        <v>236</v>
      </c>
      <c r="D45" s="233"/>
      <c r="E45" s="204"/>
      <c r="F45" s="171"/>
      <c r="G45" s="171" t="s">
        <v>237</v>
      </c>
      <c r="H45" s="226" t="n">
        <f aca="false">(H39-H44)</f>
        <v>30112.5902294319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922.920864561026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951.531975672137</v>
      </c>
      <c r="I48" s="226" t="n">
        <f aca="false">I49-H42</f>
        <v>1371.38888888889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951.531975672137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9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27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95" t="s">
        <v>23</v>
      </c>
      <c r="N61" s="201" t="n">
        <f aca="false">G18</f>
        <v>57885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B62+(B62*0.25*((H29/12)-1))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6077.925</v>
      </c>
      <c r="C64" s="246" t="n">
        <v>10000</v>
      </c>
      <c r="D64" s="201" t="n">
        <f aca="false">B64</f>
        <v>6077.925</v>
      </c>
      <c r="E64" s="247" t="n">
        <f aca="false">D64/(B58+B57)</f>
        <v>168.83125</v>
      </c>
      <c r="F64" s="171"/>
      <c r="G64" s="234" t="s">
        <v>88</v>
      </c>
      <c r="H64" s="245" t="n">
        <f aca="false">H61*H63</f>
        <v>6077.925</v>
      </c>
      <c r="I64" s="203"/>
      <c r="J64" s="201" t="n">
        <f aca="false">H64-G145</f>
        <v>6077.925</v>
      </c>
      <c r="K64" s="204"/>
      <c r="L64" s="171"/>
      <c r="M64" s="234" t="s">
        <v>88</v>
      </c>
      <c r="N64" s="245" t="n">
        <f aca="false">N61*N63</f>
        <v>6077.925</v>
      </c>
      <c r="O64" s="203"/>
      <c r="P64" s="201" t="n">
        <f aca="false">N64-M145</f>
        <v>6077.925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1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48" t="s">
        <v>200</v>
      </c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</f>
        <v>1157.7</v>
      </c>
      <c r="C67" s="249" t="s">
        <v>200</v>
      </c>
      <c r="D67" s="250"/>
      <c r="E67" s="204"/>
      <c r="F67" s="171"/>
      <c r="G67" s="234" t="s">
        <v>91</v>
      </c>
      <c r="H67" s="245" t="n">
        <f aca="false">(H61*H66)/1.2</f>
        <v>964.75</v>
      </c>
      <c r="I67" s="203"/>
      <c r="J67" s="201"/>
      <c r="K67" s="204"/>
      <c r="L67" s="171"/>
      <c r="M67" s="234" t="s">
        <v>91</v>
      </c>
      <c r="N67" s="245" t="n">
        <f aca="false">(N61*N66)/1.2</f>
        <v>964.75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51"/>
      <c r="D68" s="201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57" t="n">
        <f aca="false">B73+B71</f>
        <v>380</v>
      </c>
      <c r="E73" s="204" t="s">
        <v>208</v>
      </c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165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355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1083.33333333333</v>
      </c>
      <c r="C76" s="203"/>
      <c r="D76" s="201" t="n">
        <f aca="false">B76</f>
        <v>1083.33333333333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28" t="s">
        <v>101</v>
      </c>
      <c r="B77" s="264" t="n">
        <f aca="false">B102/(1-0.1)</f>
        <v>0</v>
      </c>
      <c r="C77" s="265"/>
      <c r="D77" s="201" t="n">
        <f aca="false">B77</f>
        <v>0</v>
      </c>
      <c r="E77" s="247" t="n">
        <f aca="false">D77/(B58+B57)</f>
        <v>0</v>
      </c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65"/>
      <c r="D78" s="201" t="n">
        <f aca="false">B78</f>
        <v>0</v>
      </c>
      <c r="E78" s="247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65"/>
      <c r="D79" s="201" t="n">
        <f aca="false">B79</f>
        <v>200</v>
      </c>
      <c r="E79" s="247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65"/>
      <c r="D80" s="201" t="n">
        <f aca="false">B80</f>
        <v>200</v>
      </c>
      <c r="E80" s="247" t="n">
        <f aca="false">(D73+D76+D79+D80)/(B58+B57)</f>
        <v>51.7592592592593</v>
      </c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7941.25833333333</v>
      </c>
      <c r="C81" s="265"/>
      <c r="D81" s="270"/>
      <c r="E81" s="247"/>
      <c r="F81" s="171"/>
      <c r="G81" s="268" t="s">
        <v>106</v>
      </c>
      <c r="H81" s="269" t="n">
        <f aca="false">SUM(J64:J80)</f>
        <v>7143.675</v>
      </c>
      <c r="I81" s="203"/>
      <c r="J81" s="203"/>
      <c r="K81" s="204"/>
      <c r="L81" s="171"/>
      <c r="M81" s="268" t="s">
        <v>106</v>
      </c>
      <c r="N81" s="269" t="n">
        <f aca="false">SUM(P64:P80)</f>
        <v>6799.925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220.590509259259</v>
      </c>
      <c r="C82" s="265"/>
      <c r="D82" s="203"/>
      <c r="E82" s="247"/>
      <c r="F82" s="171"/>
      <c r="G82" s="195" t="s">
        <v>107</v>
      </c>
      <c r="H82" s="200" t="n">
        <f aca="false">H81/H29</f>
        <v>198.435416666667</v>
      </c>
      <c r="I82" s="203"/>
      <c r="J82" s="203"/>
      <c r="K82" s="204"/>
      <c r="L82" s="171"/>
      <c r="M82" s="195" t="s">
        <v>107</v>
      </c>
      <c r="N82" s="200" t="n">
        <f aca="false">N81/H29</f>
        <v>188.886805555556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922.920864561026</v>
      </c>
      <c r="C83" s="265"/>
      <c r="D83" s="203"/>
      <c r="E83" s="247" t="n">
        <f aca="false">B83+E80+E77+E64</f>
        <v>1143.51137382028</v>
      </c>
      <c r="F83" s="171"/>
      <c r="G83" s="271" t="s">
        <v>108</v>
      </c>
      <c r="H83" s="272" t="n">
        <f aca="false">H47</f>
        <v>922.920864561026</v>
      </c>
      <c r="I83" s="203"/>
      <c r="J83" s="203"/>
      <c r="K83" s="204"/>
      <c r="L83" s="171"/>
      <c r="M83" s="271" t="s">
        <v>108</v>
      </c>
      <c r="N83" s="272" t="n">
        <f aca="false">H47</f>
        <v>922.920864561026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65"/>
      <c r="D84" s="265"/>
      <c r="E84" s="247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</f>
        <v>41166.4094575303</v>
      </c>
      <c r="C85" s="265"/>
      <c r="D85" s="265"/>
      <c r="E85" s="247" t="n">
        <f aca="false">B85/(B58+B57)</f>
        <v>1143.51137382028</v>
      </c>
      <c r="F85" s="171"/>
      <c r="G85" s="228" t="s">
        <v>109</v>
      </c>
      <c r="H85" s="264" t="n">
        <f aca="false">((H83*H29)+H81)*1.2</f>
        <v>48442.5913490363</v>
      </c>
      <c r="I85" s="203"/>
      <c r="J85" s="203"/>
      <c r="K85" s="204"/>
      <c r="L85" s="171"/>
      <c r="M85" s="228" t="s">
        <v>109</v>
      </c>
      <c r="N85" s="264" t="n">
        <f aca="false">((N83*H29)+N81)</f>
        <v>40025.0761241969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(((B83*H29)+B81)/(1-B70))*B70</f>
        <v>348.727147482104</v>
      </c>
      <c r="C86" s="265" t="s">
        <v>211</v>
      </c>
      <c r="D86" s="203"/>
      <c r="E86" s="247" t="n">
        <f aca="false">B86/(B58+B57)</f>
        <v>9.68686520783622</v>
      </c>
      <c r="F86" s="171"/>
      <c r="G86" s="195" t="s">
        <v>110</v>
      </c>
      <c r="H86" s="200" t="n">
        <f aca="false">((((H83*H29)+H81))/(1-H70))*H70</f>
        <v>341.970693266694</v>
      </c>
      <c r="I86" s="203"/>
      <c r="J86" s="203"/>
      <c r="K86" s="204"/>
      <c r="L86" s="171"/>
      <c r="M86" s="195" t="s">
        <v>110</v>
      </c>
      <c r="N86" s="200" t="n">
        <f aca="false">(N85/(1-N70))*N70</f>
        <v>339.058732798764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IF(B110="YES",((B85+B86)-E114),((B85+B86)))</f>
        <v>41515.1366050124</v>
      </c>
      <c r="C87" s="265"/>
      <c r="D87" s="273"/>
      <c r="E87" s="247" t="n">
        <f aca="false">E86+E85</f>
        <v>1153.19823902812</v>
      </c>
      <c r="F87" s="171"/>
      <c r="G87" s="234" t="s">
        <v>111</v>
      </c>
      <c r="H87" s="245" t="n">
        <f aca="false">IF(H110="YES",((H85+H86)-K114),(H85+H86))</f>
        <v>48784.562042303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40364.1348569957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65"/>
      <c r="D88" s="203"/>
      <c r="E88" s="247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(I32+(I32*B105))/(B58), (I32+(I32*B105))/(B57+B58))</f>
        <v>37.1944444444444</v>
      </c>
      <c r="C89" s="265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36.1756097560976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30.1463414634146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1153.19823902812</v>
      </c>
      <c r="C90" s="265"/>
      <c r="D90" s="203"/>
      <c r="E90" s="276"/>
      <c r="F90" s="171"/>
      <c r="G90" s="274" t="s">
        <v>112</v>
      </c>
      <c r="H90" s="275" t="n">
        <f aca="false">IF(H99=Y98, (H87-J105)/(H58), H87/(H57+H58))</f>
        <v>1189.86736688544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984.491094073066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1190.39268347257</v>
      </c>
      <c r="C91" s="265"/>
      <c r="D91" s="279"/>
      <c r="E91" s="280"/>
      <c r="F91" s="171"/>
      <c r="G91" s="277" t="s">
        <v>113</v>
      </c>
      <c r="H91" s="278" t="n">
        <f aca="false">IF(G105="YES", H90+H89, H90)</f>
        <v>1226.04297664154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1014.63743553648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81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114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 t="s">
        <v>243</v>
      </c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82"/>
      <c r="C97" s="282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244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27</v>
      </c>
      <c r="B105" s="114" t="n">
        <v>0.3</v>
      </c>
      <c r="C105" s="114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n">
        <v>199.99</v>
      </c>
      <c r="B108" s="32" t="n">
        <v>0</v>
      </c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 t="s">
        <v>28</v>
      </c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IF(B110="YES",((E118*1.2)+E117)-E114,((E118*1.2)+E117))</f>
        <v>1239.988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1189.86736688544</v>
      </c>
      <c r="H127" s="286" t="n">
        <f aca="false">IF(G105="YES", H89*H57, 0)</f>
        <v>217.053658536585</v>
      </c>
      <c r="I127" s="286"/>
      <c r="J127" s="134" t="n">
        <f aca="false">H91</f>
        <v>1226.04297664154</v>
      </c>
      <c r="K127" s="204"/>
      <c r="L127" s="171"/>
      <c r="M127" s="132" t="n">
        <f aca="false">N90</f>
        <v>984.491094073066</v>
      </c>
      <c r="N127" s="286" t="n">
        <f aca="false">IF(M105="YES", N89*N57, 0)</f>
        <v>180.878048780488</v>
      </c>
      <c r="O127" s="286"/>
      <c r="P127" s="286" t="n">
        <f aca="false">N91</f>
        <v>1014.63743553648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1153.19823902812</v>
      </c>
      <c r="B128" s="120" t="n">
        <f aca="false">IF(A105="YES", B89, 0)</f>
        <v>37.1944444444444</v>
      </c>
      <c r="C128" s="125"/>
      <c r="D128" s="120" t="n">
        <f aca="false">B91</f>
        <v>1190.39268347257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27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27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 Terminal pause with 9 down </v>
      </c>
      <c r="B131" s="136" t="n">
        <f aca="false">B90*B57</f>
        <v>10378.7841512531</v>
      </c>
      <c r="C131" s="13"/>
      <c r="D131" s="136" t="n">
        <f aca="false">IF(A105="YES", B89*B57, 0)</f>
        <v>334.75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217.053658536585</v>
      </c>
      <c r="I133" s="224"/>
      <c r="J133" s="140" t="n">
        <f aca="false">H91*H57</f>
        <v>7356.25785984922</v>
      </c>
      <c r="K133" s="204"/>
      <c r="L133" s="171"/>
      <c r="M133" s="139" t="n">
        <f aca="false">N90*N57</f>
        <v>5906.94656443839</v>
      </c>
      <c r="N133" s="164" t="n">
        <f aca="false">IF(M105="YES", N89*N57, 0)</f>
        <v>180.878048780488</v>
      </c>
      <c r="O133" s="224"/>
      <c r="P133" s="140" t="n">
        <f aca="false">N91*N57</f>
        <v>6087.82461321888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10713.5341512531</v>
      </c>
      <c r="B134" s="136" t="n">
        <f aca="false">E114</f>
        <v>4000</v>
      </c>
      <c r="C134" s="13"/>
      <c r="D134" s="142" t="n">
        <f aca="false">B58</f>
        <v>27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1153.19823902812</v>
      </c>
      <c r="B137" s="136" t="n">
        <f aca="false">IF(A105="YES", B89, 0)</f>
        <v>37.1944444444444</v>
      </c>
      <c r="C137" s="13"/>
      <c r="D137" s="136" t="n">
        <f aca="false">B91</f>
        <v>1190.39268347257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((B36*H105)*0.1)*(G130), 0)</f>
        <v>20.6</v>
      </c>
      <c r="H142" s="164" t="n">
        <f aca="false">G102-100</f>
        <v>99.99</v>
      </c>
      <c r="I142" s="164"/>
      <c r="J142" s="164" t="n">
        <f aca="false">(H139+J139+G142+H142)-H145</f>
        <v>1085.34</v>
      </c>
      <c r="K142" s="146"/>
      <c r="L142" s="171"/>
      <c r="M142" s="141" t="n">
        <f aca="false">IF(M105="YES", ((B36*N105)*0.1)*(M130), 0)</f>
        <v>20.6</v>
      </c>
      <c r="N142" s="164" t="n">
        <f aca="false">M102-100</f>
        <v>99.99</v>
      </c>
      <c r="O142" s="164"/>
      <c r="P142" s="164" t="n">
        <f aca="false">(N139+P139+M142+N142)-N145</f>
        <v>1085.34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41" t="n">
        <v>0</v>
      </c>
      <c r="N145" s="164" t="n">
        <f aca="false">(N139+P139+M142+N142)*(M145/N64)</f>
        <v>0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1157.7</v>
      </c>
      <c r="B148" s="136" t="n">
        <f aca="false">B102</f>
        <v>0</v>
      </c>
      <c r="C148" s="136"/>
      <c r="D148" s="136" t="n">
        <f aca="false">IF(A105="YES", (B40*B105)*B125, 0)*0.1</f>
        <v>30.9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1288.59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1226.04297664154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1014.63743553648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1190.39268347257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217" t="s">
        <v>245</v>
      </c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1153.19823902812</v>
      </c>
      <c r="B177" s="160" t="n">
        <f aca="false">IF(A105="YES", B89, 0)</f>
        <v>37.1944444444444</v>
      </c>
      <c r="C177" s="162"/>
      <c r="D177" s="160" t="n">
        <f aca="false">B91</f>
        <v>1190.39268347257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 Terminal pause with 9 down </v>
      </c>
      <c r="B180" s="164" t="n">
        <f aca="false">B90*B57</f>
        <v>10378.7841512531</v>
      </c>
      <c r="C180" s="31"/>
      <c r="D180" s="164" t="n">
        <f aca="false">IF(A105="YES", B89*B57, 0)</f>
        <v>334.75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10713.5341512531</v>
      </c>
      <c r="B183" s="164" t="n">
        <f aca="false">E114</f>
        <v>4000</v>
      </c>
      <c r="C183" s="31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1153.19823902812</v>
      </c>
      <c r="B186" s="164" t="n">
        <f aca="false">IF(A105="YES", B89, 0)</f>
        <v>37.1944444444444</v>
      </c>
      <c r="C186" s="31"/>
      <c r="D186" s="164" t="n">
        <f aca="false">B91</f>
        <v>1190.39268347257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1157.7</v>
      </c>
      <c r="B197" s="164" t="n">
        <f aca="false">B102</f>
        <v>0</v>
      </c>
      <c r="C197" s="164"/>
      <c r="D197" s="164" t="n">
        <f aca="false">IF(A105="YES", (B40*B105)*B125, 0)*0.1</f>
        <v>30.9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1288.59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1157.7</v>
      </c>
      <c r="C211" s="119" t="s">
        <v>198</v>
      </c>
      <c r="D211" s="173" t="n">
        <f aca="false">B225+E221+B221+B223</f>
        <v>408.99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5329.215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6077.925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</f>
        <v>1157.7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(B77-(B77*(E219*100)))*0.1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5329.215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309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s="287" customFormat="tru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348.727147482104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7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  <dataValidation allowBlank="true" errorStyle="stop" operator="between" showDropDown="false" showErrorMessage="true" showInputMessage="false" sqref="B26" type="list">
      <formula1>'Formula1-BCH'!$I$3:$I$4</formula1>
      <formula2>0</formula2>
    </dataValidation>
    <dataValidation allowBlank="true" errorStyle="stop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06" colorId="64" zoomScale="75" zoomScaleNormal="75" zoomScalePageLayoutView="100" workbookViewId="0">
      <selection pane="topLeft" activeCell="B104" activeCellId="0" sqref="B104"/>
    </sheetView>
  </sheetViews>
  <sheetFormatPr defaultColWidth="8.320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9" min="2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3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3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3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/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295" t="n">
        <v>0</v>
      </c>
      <c r="C4" s="295"/>
      <c r="D4" s="296" t="n">
        <v>0</v>
      </c>
      <c r="E4" s="296"/>
      <c r="F4" s="296" t="n">
        <v>0</v>
      </c>
      <c r="G4" s="296"/>
      <c r="H4" s="297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/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12"/>
      <c r="C8" s="12"/>
      <c r="D8" s="12"/>
      <c r="E8" s="12"/>
      <c r="F8" s="12"/>
      <c r="G8" s="1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/>
      <c r="F9" s="298"/>
      <c r="G9" s="299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/>
      <c r="F10" s="301"/>
      <c r="G10" s="302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302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302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/>
      <c r="F13" s="301"/>
      <c r="G13" s="302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/>
      <c r="F14" s="301"/>
      <c r="G14" s="302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302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/>
      <c r="F16" s="301"/>
      <c r="G16" s="302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1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</row>
    <row r="24" customFormat="false" ht="46.5" hidden="false" customHeight="true" outlineLevel="0" collapsed="false">
      <c r="A24" s="309" t="s">
        <v>246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</row>
    <row r="26" customFormat="false" ht="22.05" hidden="false" customHeight="false" outlineLevel="0" collapsed="false">
      <c r="A26" s="312" t="s">
        <v>247</v>
      </c>
      <c r="B26" s="312"/>
      <c r="C26" s="312"/>
      <c r="D26" s="312"/>
      <c r="E26" s="312"/>
      <c r="F26" s="312"/>
      <c r="G26" s="312"/>
      <c r="H26" s="312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293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313" t="s">
        <v>32</v>
      </c>
      <c r="B28" s="12" t="s">
        <v>248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293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313" t="s">
        <v>35</v>
      </c>
      <c r="B30" s="12"/>
      <c r="C30" s="136" t="s">
        <v>36</v>
      </c>
      <c r="D30" s="115"/>
      <c r="E30" s="12"/>
      <c r="F30" s="136" t="s">
        <v>249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314" t="s">
        <v>250</v>
      </c>
      <c r="B31" s="12"/>
      <c r="C31" s="315" t="s">
        <v>251</v>
      </c>
      <c r="D31" s="315"/>
      <c r="E31" s="12"/>
      <c r="F31" s="315"/>
      <c r="G31" s="315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313"/>
      <c r="B32" s="316"/>
      <c r="C32" s="316"/>
      <c r="D32" s="316"/>
      <c r="E32" s="316"/>
      <c r="F32" s="316"/>
      <c r="G32" s="316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313" t="s">
        <v>42</v>
      </c>
      <c r="B33" s="12"/>
      <c r="C33" s="317" t="s">
        <v>43</v>
      </c>
      <c r="D33" s="115"/>
      <c r="E33" s="12"/>
      <c r="F33" s="136" t="s">
        <v>44</v>
      </c>
      <c r="G33" s="115"/>
      <c r="H33" s="318"/>
      <c r="I33" s="53"/>
      <c r="J33" s="35"/>
      <c r="K33" s="50"/>
    </row>
    <row r="34" customFormat="false" ht="17.35" hidden="false" customHeight="false" outlineLevel="0" collapsed="false">
      <c r="A34" s="314" t="s">
        <v>252</v>
      </c>
      <c r="B34" s="12"/>
      <c r="C34" s="315" t="s">
        <v>49</v>
      </c>
      <c r="D34" s="315"/>
      <c r="E34" s="12"/>
      <c r="F34" s="315" t="n">
        <f aca="false">(A34/12)*C34</f>
        <v>13750</v>
      </c>
      <c r="G34" s="315"/>
      <c r="H34" s="318"/>
      <c r="I34" s="53"/>
      <c r="J34" s="53"/>
      <c r="K34" s="53"/>
    </row>
    <row r="35" customFormat="false" ht="20.85" hidden="false" customHeight="false" outlineLevel="0" collapsed="false">
      <c r="A35" s="293"/>
      <c r="B35" s="12"/>
      <c r="C35" s="12"/>
      <c r="E35" s="12"/>
      <c r="F35" s="316"/>
      <c r="G35" s="316"/>
      <c r="H35" s="318"/>
      <c r="I35" s="53"/>
      <c r="J35" s="56" t="s">
        <v>52</v>
      </c>
      <c r="K35" s="319" t="n">
        <v>0.0559</v>
      </c>
    </row>
    <row r="36" customFormat="false" ht="17.35" hidden="false" customHeight="false" outlineLevel="0" collapsed="false">
      <c r="A36" s="313" t="s">
        <v>253</v>
      </c>
      <c r="B36" s="12"/>
      <c r="C36" s="136" t="s">
        <v>48</v>
      </c>
      <c r="D36" s="115"/>
      <c r="E36" s="12"/>
      <c r="F36" s="136" t="s">
        <v>50</v>
      </c>
      <c r="G36" s="115"/>
      <c r="H36" s="318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313" t="n">
        <f aca="false">H9+H10+H13+H14</f>
        <v>48877.5</v>
      </c>
      <c r="B37" s="12"/>
      <c r="C37" s="315" t="s">
        <v>51</v>
      </c>
      <c r="D37" s="315"/>
      <c r="E37" s="12"/>
      <c r="F37" s="316" t="n">
        <f aca="false">A37-C37</f>
        <v>47877.5</v>
      </c>
      <c r="G37" s="316"/>
      <c r="H37" s="318"/>
      <c r="I37" s="53"/>
      <c r="J37" s="53"/>
      <c r="K37" s="53"/>
    </row>
    <row r="38" customFormat="false" ht="17.35" hidden="false" customHeight="false" outlineLevel="0" collapsed="false">
      <c r="A38" s="313"/>
      <c r="B38" s="316"/>
      <c r="C38" s="316"/>
      <c r="D38" s="316"/>
      <c r="E38" s="316"/>
      <c r="F38" s="316"/>
      <c r="G38" s="316"/>
      <c r="H38" s="318"/>
      <c r="J38" s="59" t="s">
        <v>58</v>
      </c>
      <c r="K38" s="59"/>
      <c r="L38" s="53"/>
    </row>
    <row r="39" customFormat="false" ht="17.35" hidden="false" customHeight="false" outlineLevel="0" collapsed="false">
      <c r="A39" s="313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318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314" t="s">
        <v>47</v>
      </c>
      <c r="B40" s="12"/>
      <c r="C40" s="320" t="n">
        <f aca="false">A34-1</f>
        <v>32</v>
      </c>
      <c r="D40" s="320"/>
      <c r="E40" s="12"/>
      <c r="F40" s="315" t="s">
        <v>57</v>
      </c>
      <c r="G40" s="315"/>
      <c r="H40" s="318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313"/>
      <c r="B41" s="316"/>
      <c r="C41" s="316"/>
      <c r="D41" s="316"/>
      <c r="E41" s="316"/>
      <c r="F41" s="316"/>
      <c r="G41" s="316"/>
      <c r="H41" s="318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313" t="s">
        <v>254</v>
      </c>
      <c r="B42" s="12"/>
      <c r="C42" s="136" t="s">
        <v>61</v>
      </c>
      <c r="D42" s="115"/>
      <c r="E42" s="12"/>
      <c r="F42" s="136" t="s">
        <v>62</v>
      </c>
      <c r="G42" s="115"/>
      <c r="H42" s="318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314" t="s">
        <v>64</v>
      </c>
      <c r="B43" s="12"/>
      <c r="C43" s="315" t="s">
        <v>65</v>
      </c>
      <c r="D43" s="315"/>
      <c r="E43" s="12"/>
      <c r="F43" s="315" t="s">
        <v>27</v>
      </c>
      <c r="G43" s="315"/>
      <c r="H43" s="318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313"/>
      <c r="B44" s="316"/>
      <c r="C44" s="316"/>
      <c r="D44" s="316"/>
      <c r="E44" s="316"/>
      <c r="F44" s="316"/>
      <c r="G44" s="316"/>
      <c r="H44" s="318"/>
      <c r="J44" s="53" t="s">
        <v>72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313" t="s">
        <v>255</v>
      </c>
      <c r="B45" s="12"/>
      <c r="C45" s="136" t="s">
        <v>68</v>
      </c>
      <c r="D45" s="115"/>
      <c r="E45" s="12"/>
      <c r="F45" s="136" t="s">
        <v>256</v>
      </c>
      <c r="G45" s="115"/>
      <c r="H45" s="318"/>
      <c r="J45" s="53" t="s">
        <v>73</v>
      </c>
      <c r="K45" s="53" t="n">
        <f aca="false">(K39-K44)+K41</f>
        <v>237.954545454545</v>
      </c>
      <c r="L45" s="53"/>
    </row>
    <row r="46" customFormat="false" ht="17.35" hidden="false" customHeight="false" outlineLevel="0" collapsed="false">
      <c r="A46" s="314" t="n">
        <v>0</v>
      </c>
      <c r="B46" s="12"/>
      <c r="C46" s="315" t="n">
        <v>1</v>
      </c>
      <c r="D46" s="315"/>
      <c r="E46" s="12"/>
      <c r="F46" s="315" t="n">
        <v>0</v>
      </c>
      <c r="G46" s="315"/>
      <c r="H46" s="318"/>
      <c r="J46" s="53" t="s">
        <v>77</v>
      </c>
      <c r="K46" s="53" t="n">
        <v>0</v>
      </c>
      <c r="L46" s="53"/>
    </row>
    <row r="47" customFormat="false" ht="17.35" hidden="false" customHeight="false" outlineLevel="0" collapsed="false">
      <c r="A47" s="313"/>
      <c r="B47" s="316"/>
      <c r="C47" s="316"/>
      <c r="D47" s="316"/>
      <c r="E47" s="316"/>
      <c r="F47" s="316"/>
      <c r="G47" s="316"/>
      <c r="H47" s="318"/>
      <c r="J47" s="53" t="s">
        <v>78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313" t="s">
        <v>178</v>
      </c>
      <c r="B48" s="316"/>
      <c r="C48" s="316"/>
      <c r="D48" s="316"/>
      <c r="E48" s="316"/>
      <c r="F48" s="316"/>
      <c r="G48" s="316"/>
      <c r="H48" s="318"/>
      <c r="J48" s="66" t="s">
        <v>79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313" t="n">
        <f aca="false">C46+F46</f>
        <v>1</v>
      </c>
      <c r="B49" s="316"/>
      <c r="C49" s="316"/>
      <c r="D49" s="316"/>
      <c r="E49" s="12"/>
      <c r="F49" s="316"/>
      <c r="G49" s="316"/>
      <c r="H49" s="318"/>
      <c r="J49" s="66" t="s">
        <v>80</v>
      </c>
      <c r="K49" s="53" t="n">
        <f aca="false">K45+K48+K47</f>
        <v>238.924242424242</v>
      </c>
      <c r="L49" s="53"/>
    </row>
    <row r="50" customFormat="false" ht="17.35" hidden="false" customHeight="false" outlineLevel="0" collapsed="false">
      <c r="A50" s="321"/>
      <c r="B50" s="322"/>
      <c r="C50" s="322"/>
      <c r="D50" s="322"/>
      <c r="E50" s="322"/>
      <c r="F50" s="322"/>
      <c r="G50" s="323"/>
      <c r="H50" s="102"/>
      <c r="I50" s="53"/>
      <c r="J50" s="53"/>
      <c r="K50" s="53"/>
    </row>
    <row r="51" customFormat="false" ht="19.5" hidden="false" customHeight="true" outlineLevel="0" collapsed="false">
      <c r="A51" s="310"/>
      <c r="B51" s="311"/>
      <c r="C51" s="311"/>
      <c r="D51" s="311"/>
      <c r="E51" s="311"/>
      <c r="F51" s="311"/>
      <c r="G51" s="311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233</v>
      </c>
      <c r="B52" s="12"/>
      <c r="C52" s="12" t="s">
        <v>234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324" t="n">
        <v>1</v>
      </c>
      <c r="B53" s="12"/>
      <c r="C53" s="325" t="n">
        <v>1</v>
      </c>
      <c r="D53" s="325"/>
      <c r="E53" s="325"/>
      <c r="F53" s="12"/>
      <c r="G53" s="12"/>
      <c r="H53" s="11"/>
      <c r="I53" s="53"/>
      <c r="J53" s="53"/>
      <c r="K53" s="53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</row>
    <row r="55" customFormat="false" ht="17.35" hidden="false" customHeight="false" outlineLevel="0" collapsed="false">
      <c r="A55" s="310"/>
      <c r="B55" s="311"/>
      <c r="C55" s="311"/>
      <c r="D55" s="311"/>
      <c r="E55" s="311"/>
      <c r="F55" s="311"/>
      <c r="G55" s="311"/>
      <c r="H55" s="103"/>
      <c r="I55" s="53"/>
      <c r="J55" s="53"/>
      <c r="K55" s="53"/>
    </row>
    <row r="56" customFormat="false" ht="17.35" hidden="false" customHeight="false" outlineLevel="0" collapsed="false">
      <c r="A56" s="326" t="s">
        <v>240</v>
      </c>
      <c r="B56" s="12"/>
      <c r="C56" s="12"/>
      <c r="D56" s="327"/>
      <c r="E56" s="327"/>
      <c r="F56" s="327"/>
      <c r="G56" s="327"/>
      <c r="H56" s="328"/>
      <c r="I56" s="53"/>
      <c r="J56" s="53"/>
      <c r="K56" s="53"/>
    </row>
    <row r="57" customFormat="false" ht="19.5" hidden="false" customHeight="true" outlineLevel="0" collapsed="false">
      <c r="A57" s="293"/>
      <c r="B57" s="329"/>
      <c r="C57" s="329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330" t="s">
        <v>81</v>
      </c>
      <c r="B58" s="331" t="s">
        <v>82</v>
      </c>
      <c r="C58" s="331"/>
      <c r="D58" s="331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330"/>
      <c r="B59" s="332" t="str">
        <f aca="false">K30</f>
        <v>5000</v>
      </c>
      <c r="C59" s="332"/>
      <c r="D59" s="332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333" t="str">
        <f aca="false">K29</f>
        <v>33</v>
      </c>
      <c r="B60" s="71" t="n">
        <f aca="false">K49</f>
        <v>238.924242424242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293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321"/>
      <c r="B62" s="322"/>
      <c r="C62" s="322"/>
      <c r="D62" s="322"/>
      <c r="E62" s="322"/>
      <c r="F62" s="322"/>
      <c r="G62" s="322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308"/>
      <c r="B65" s="308"/>
      <c r="C65" s="308"/>
      <c r="D65" s="308"/>
      <c r="E65" s="308"/>
      <c r="F65" s="308"/>
      <c r="G65" s="308"/>
      <c r="H65" s="308"/>
      <c r="J65" s="53"/>
      <c r="K65" s="53"/>
    </row>
    <row r="66" customFormat="false" ht="17.35" hidden="false" customHeight="false" outlineLevel="0" collapsed="false">
      <c r="A66" s="310"/>
      <c r="B66" s="311"/>
      <c r="C66" s="311"/>
      <c r="D66" s="311"/>
      <c r="E66" s="334"/>
      <c r="F66" s="334"/>
      <c r="G66" s="334"/>
      <c r="H66" s="103"/>
      <c r="J66" s="310"/>
      <c r="K66" s="311"/>
      <c r="L66" s="311"/>
      <c r="M66" s="311"/>
      <c r="N66" s="334"/>
      <c r="O66" s="334"/>
      <c r="P66" s="334"/>
      <c r="Q66" s="103"/>
      <c r="S66" s="310"/>
      <c r="T66" s="311"/>
      <c r="U66" s="311"/>
      <c r="V66" s="311"/>
      <c r="W66" s="334"/>
      <c r="X66" s="334"/>
      <c r="Y66" s="334"/>
      <c r="Z66" s="103"/>
      <c r="AB66" s="310"/>
      <c r="AC66" s="311"/>
      <c r="AD66" s="311"/>
      <c r="AE66" s="311"/>
      <c r="AF66" s="334"/>
      <c r="AG66" s="334"/>
      <c r="AH66" s="334"/>
      <c r="AI66" s="103"/>
    </row>
    <row r="67" customFormat="false" ht="17.35" hidden="false" customHeight="false" outlineLevel="0" collapsed="false">
      <c r="A67" s="293" t="s">
        <v>84</v>
      </c>
      <c r="B67" s="12" t="n">
        <v>1</v>
      </c>
      <c r="C67" s="12"/>
      <c r="D67" s="12"/>
      <c r="E67" s="308"/>
      <c r="F67" s="308"/>
      <c r="G67" s="308"/>
      <c r="H67" s="11"/>
      <c r="J67" s="293" t="s">
        <v>84</v>
      </c>
      <c r="K67" s="12" t="n">
        <v>1</v>
      </c>
      <c r="L67" s="12"/>
      <c r="M67" s="12"/>
      <c r="N67" s="308"/>
      <c r="O67" s="308"/>
      <c r="P67" s="308"/>
      <c r="Q67" s="11"/>
      <c r="S67" s="293" t="s">
        <v>84</v>
      </c>
      <c r="T67" s="12" t="n">
        <v>1</v>
      </c>
      <c r="U67" s="12"/>
      <c r="V67" s="12"/>
      <c r="W67" s="308"/>
      <c r="X67" s="308"/>
      <c r="Y67" s="308"/>
      <c r="Z67" s="11"/>
      <c r="AB67" s="293" t="s">
        <v>84</v>
      </c>
      <c r="AC67" s="12" t="n">
        <v>1</v>
      </c>
      <c r="AD67" s="12"/>
      <c r="AE67" s="12"/>
      <c r="AF67" s="308"/>
      <c r="AG67" s="308"/>
      <c r="AH67" s="308"/>
      <c r="AI67" s="11"/>
    </row>
    <row r="68" customFormat="false" ht="17.35" hidden="false" customHeight="false" outlineLevel="0" collapsed="false">
      <c r="A68" s="293" t="s">
        <v>85</v>
      </c>
      <c r="B68" s="12" t="n">
        <f aca="false">K29-B67</f>
        <v>32</v>
      </c>
      <c r="C68" s="12"/>
      <c r="D68" s="12"/>
      <c r="E68" s="308"/>
      <c r="F68" s="308"/>
      <c r="G68" s="308"/>
      <c r="H68" s="11"/>
      <c r="J68" s="293" t="s">
        <v>85</v>
      </c>
      <c r="K68" s="12" t="n">
        <f aca="false">K29-K67</f>
        <v>32</v>
      </c>
      <c r="L68" s="12"/>
      <c r="M68" s="12"/>
      <c r="N68" s="308"/>
      <c r="O68" s="308"/>
      <c r="P68" s="308"/>
      <c r="Q68" s="11"/>
      <c r="S68" s="293" t="s">
        <v>85</v>
      </c>
      <c r="T68" s="12" t="n">
        <f aca="false">K29-T67</f>
        <v>32</v>
      </c>
      <c r="U68" s="12"/>
      <c r="V68" s="12"/>
      <c r="W68" s="308"/>
      <c r="X68" s="308"/>
      <c r="Y68" s="308"/>
      <c r="Z68" s="11"/>
      <c r="AB68" s="293" t="s">
        <v>85</v>
      </c>
      <c r="AC68" s="12" t="n">
        <f aca="false">K29-AC67</f>
        <v>32</v>
      </c>
      <c r="AD68" s="12"/>
      <c r="AE68" s="12"/>
      <c r="AF68" s="308"/>
      <c r="AG68" s="308"/>
      <c r="AH68" s="308"/>
      <c r="AI68" s="11"/>
    </row>
    <row r="69" customFormat="false" ht="17.35" hidden="false" customHeight="false" outlineLevel="0" collapsed="false">
      <c r="A69" s="335" t="s">
        <v>257</v>
      </c>
      <c r="B69" s="89" t="n">
        <v>10</v>
      </c>
      <c r="C69" s="12"/>
      <c r="D69" s="12"/>
      <c r="E69" s="308"/>
      <c r="F69" s="308"/>
      <c r="G69" s="308"/>
      <c r="H69" s="11"/>
      <c r="J69" s="335" t="s">
        <v>257</v>
      </c>
      <c r="K69" s="89" t="n">
        <v>20</v>
      </c>
      <c r="L69" s="12"/>
      <c r="M69" s="12"/>
      <c r="N69" s="308"/>
      <c r="O69" s="308"/>
      <c r="P69" s="308"/>
      <c r="Q69" s="11"/>
      <c r="S69" s="335" t="s">
        <v>257</v>
      </c>
      <c r="T69" s="89" t="n">
        <v>10</v>
      </c>
      <c r="U69" s="12"/>
      <c r="V69" s="12"/>
      <c r="W69" s="308"/>
      <c r="X69" s="308"/>
      <c r="Y69" s="308"/>
      <c r="Z69" s="11"/>
      <c r="AB69" s="335" t="s">
        <v>257</v>
      </c>
      <c r="AC69" s="89" t="n">
        <v>10</v>
      </c>
      <c r="AD69" s="12"/>
      <c r="AE69" s="12"/>
      <c r="AF69" s="308"/>
      <c r="AG69" s="308"/>
      <c r="AH69" s="308"/>
      <c r="AI69" s="11"/>
    </row>
    <row r="70" customFormat="false" ht="17.35" hidden="false" customHeight="false" outlineLevel="0" collapsed="false">
      <c r="A70" s="293" t="s">
        <v>23</v>
      </c>
      <c r="B70" s="12" t="n">
        <f aca="false">J18</f>
        <v>57225</v>
      </c>
      <c r="C70" s="12"/>
      <c r="D70" s="12"/>
      <c r="E70" s="308"/>
      <c r="F70" s="308"/>
      <c r="G70" s="308"/>
      <c r="H70" s="11"/>
      <c r="J70" s="293" t="s">
        <v>23</v>
      </c>
      <c r="K70" s="12" t="n">
        <f aca="false">J18</f>
        <v>57225</v>
      </c>
      <c r="L70" s="12"/>
      <c r="M70" s="12"/>
      <c r="N70" s="308"/>
      <c r="O70" s="308"/>
      <c r="P70" s="308"/>
      <c r="Q70" s="11"/>
      <c r="S70" s="293" t="s">
        <v>23</v>
      </c>
      <c r="T70" s="12" t="n">
        <f aca="false">J18</f>
        <v>57225</v>
      </c>
      <c r="U70" s="12"/>
      <c r="V70" s="12"/>
      <c r="W70" s="308"/>
      <c r="X70" s="308"/>
      <c r="Y70" s="308"/>
      <c r="Z70" s="11"/>
      <c r="AB70" s="293" t="s">
        <v>23</v>
      </c>
      <c r="AC70" s="12" t="n">
        <f aca="false">J18</f>
        <v>57225</v>
      </c>
      <c r="AD70" s="12"/>
      <c r="AE70" s="12"/>
      <c r="AF70" s="308"/>
      <c r="AG70" s="308"/>
      <c r="AH70" s="308"/>
      <c r="AI70" s="11"/>
    </row>
    <row r="71" customFormat="false" ht="17.35" hidden="false" customHeight="false" outlineLevel="0" collapsed="false">
      <c r="A71" s="336" t="s">
        <v>258</v>
      </c>
      <c r="B71" s="337" t="n">
        <v>0</v>
      </c>
      <c r="C71" s="12"/>
      <c r="D71" s="12"/>
      <c r="E71" s="308"/>
      <c r="F71" s="308"/>
      <c r="G71" s="308"/>
      <c r="H71" s="11"/>
      <c r="J71" s="336" t="s">
        <v>258</v>
      </c>
      <c r="K71" s="337" t="n">
        <v>0.06</v>
      </c>
      <c r="L71" s="12"/>
      <c r="M71" s="12"/>
      <c r="N71" s="308"/>
      <c r="O71" s="308"/>
      <c r="P71" s="308"/>
      <c r="Q71" s="11"/>
      <c r="S71" s="336" t="s">
        <v>258</v>
      </c>
      <c r="T71" s="337" t="n">
        <f aca="false">IF(AND(K29&gt;= 12, K29&lt;=24), 0.0105, IF(AND(K29&gt;=48), -0.0075, 0))</f>
        <v>-0.0075</v>
      </c>
      <c r="U71" s="12"/>
      <c r="V71" s="12"/>
      <c r="W71" s="308"/>
      <c r="X71" s="308"/>
      <c r="Y71" s="308"/>
      <c r="Z71" s="11"/>
      <c r="AB71" s="336" t="s">
        <v>258</v>
      </c>
      <c r="AC71" s="337" t="n">
        <f aca="false">IF(AND(K29&gt;= 12, K29&lt;=24), 0.0105, IF(AND(K29&gt;=48), -0.0075, 0))</f>
        <v>-0.0075</v>
      </c>
      <c r="AD71" s="12"/>
      <c r="AE71" s="12"/>
      <c r="AF71" s="308"/>
      <c r="AG71" s="308"/>
      <c r="AH71" s="308"/>
      <c r="AI71" s="11"/>
    </row>
    <row r="72" customFormat="false" ht="17.35" hidden="false" customHeight="false" outlineLevel="0" collapsed="false">
      <c r="A72" s="290" t="s">
        <v>259</v>
      </c>
      <c r="B72" s="338" t="n">
        <v>0.065</v>
      </c>
      <c r="C72" s="12"/>
      <c r="D72" s="12"/>
      <c r="E72" s="308"/>
      <c r="F72" s="308"/>
      <c r="G72" s="308"/>
      <c r="H72" s="11"/>
      <c r="J72" s="290" t="s">
        <v>259</v>
      </c>
      <c r="K72" s="338" t="n">
        <v>0.08</v>
      </c>
      <c r="L72" s="12"/>
      <c r="M72" s="12"/>
      <c r="N72" s="308"/>
      <c r="O72" s="308"/>
      <c r="P72" s="308"/>
      <c r="Q72" s="11"/>
      <c r="S72" s="290" t="s">
        <v>259</v>
      </c>
      <c r="T72" s="338" t="n">
        <v>0.059</v>
      </c>
      <c r="U72" s="12"/>
      <c r="V72" s="12"/>
      <c r="W72" s="308"/>
      <c r="X72" s="308"/>
      <c r="Y72" s="308"/>
      <c r="Z72" s="11"/>
      <c r="AB72" s="290" t="s">
        <v>259</v>
      </c>
      <c r="AC72" s="338" t="n">
        <v>0.059</v>
      </c>
      <c r="AD72" s="12"/>
      <c r="AE72" s="12"/>
      <c r="AF72" s="308"/>
      <c r="AG72" s="308"/>
      <c r="AH72" s="308"/>
      <c r="AI72" s="11"/>
    </row>
    <row r="73" customFormat="false" ht="17.35" hidden="false" customHeight="false" outlineLevel="0" collapsed="false">
      <c r="A73" s="339" t="s">
        <v>260</v>
      </c>
      <c r="B73" s="340" t="n">
        <v>0.072</v>
      </c>
      <c r="C73" s="12"/>
      <c r="D73" s="12"/>
      <c r="E73" s="308"/>
      <c r="F73" s="308"/>
      <c r="G73" s="308"/>
      <c r="H73" s="11"/>
      <c r="J73" s="339" t="s">
        <v>260</v>
      </c>
      <c r="K73" s="340" t="n">
        <v>0.1</v>
      </c>
      <c r="L73" s="12"/>
      <c r="M73" s="12"/>
      <c r="N73" s="308"/>
      <c r="O73" s="308"/>
      <c r="P73" s="308"/>
      <c r="Q73" s="11"/>
      <c r="S73" s="339" t="s">
        <v>260</v>
      </c>
      <c r="T73" s="340" t="n">
        <f aca="false">IF(T117=AP117, 2.4%, 7.2%)</f>
        <v>0.072</v>
      </c>
      <c r="U73" s="12"/>
      <c r="V73" s="12"/>
      <c r="W73" s="308"/>
      <c r="X73" s="308"/>
      <c r="Y73" s="308"/>
      <c r="Z73" s="11"/>
      <c r="AB73" s="339" t="s">
        <v>260</v>
      </c>
      <c r="AC73" s="340" t="n">
        <f aca="false">IF(AC117=AP117, 2.4%, 7.2%)</f>
        <v>0.072</v>
      </c>
      <c r="AD73" s="12"/>
      <c r="AE73" s="12"/>
      <c r="AF73" s="308"/>
      <c r="AG73" s="308"/>
      <c r="AH73" s="308"/>
      <c r="AI73" s="11"/>
    </row>
    <row r="74" customFormat="false" ht="17.35" hidden="false" customHeight="false" outlineLevel="0" collapsed="false">
      <c r="A74" s="321" t="s">
        <v>88</v>
      </c>
      <c r="B74" s="85" t="n">
        <f aca="false">(B98*B68)-(K47*K29)</f>
        <v>52464.3332978415</v>
      </c>
      <c r="C74" s="12"/>
      <c r="D74" s="12"/>
      <c r="E74" s="308"/>
      <c r="F74" s="308"/>
      <c r="G74" s="308"/>
      <c r="H74" s="11"/>
      <c r="J74" s="321" t="s">
        <v>88</v>
      </c>
      <c r="K74" s="85" t="n">
        <f aca="false">(K98*K68)-(K47*K29)</f>
        <v>50218.602484192</v>
      </c>
      <c r="L74" s="12"/>
      <c r="M74" s="12"/>
      <c r="N74" s="308"/>
      <c r="O74" s="308"/>
      <c r="P74" s="308"/>
      <c r="Q74" s="11"/>
      <c r="S74" s="321" t="s">
        <v>88</v>
      </c>
      <c r="T74" s="85" t="n">
        <f aca="false">(T98*T68)-(K47*K29)</f>
        <v>53575.5554919699</v>
      </c>
      <c r="U74" s="12"/>
      <c r="V74" s="12"/>
      <c r="W74" s="308"/>
      <c r="X74" s="308"/>
      <c r="Y74" s="308"/>
      <c r="Z74" s="11"/>
      <c r="AB74" s="321" t="s">
        <v>88</v>
      </c>
      <c r="AC74" s="85" t="n">
        <f aca="false">(AC98*AC68)-(K47*K29)</f>
        <v>53575.5554919699</v>
      </c>
      <c r="AD74" s="12"/>
      <c r="AE74" s="12"/>
      <c r="AF74" s="308"/>
      <c r="AG74" s="308"/>
      <c r="AH74" s="308"/>
      <c r="AI74" s="11"/>
    </row>
    <row r="75" customFormat="false" ht="17.35" hidden="false" customHeight="false" outlineLevel="0" collapsed="false">
      <c r="A75" s="336" t="s">
        <v>89</v>
      </c>
      <c r="B75" s="337" t="n">
        <v>0.005</v>
      </c>
      <c r="C75" s="12"/>
      <c r="D75" s="12"/>
      <c r="E75" s="308"/>
      <c r="F75" s="308"/>
      <c r="G75" s="308"/>
      <c r="H75" s="11"/>
      <c r="J75" s="336" t="s">
        <v>89</v>
      </c>
      <c r="K75" s="337" t="n">
        <v>0.05</v>
      </c>
      <c r="L75" s="12"/>
      <c r="M75" s="12"/>
      <c r="N75" s="308"/>
      <c r="O75" s="308"/>
      <c r="P75" s="308"/>
      <c r="Q75" s="11"/>
      <c r="S75" s="336" t="s">
        <v>89</v>
      </c>
      <c r="T75" s="337" t="n">
        <v>0.005</v>
      </c>
      <c r="U75" s="12"/>
      <c r="V75" s="12"/>
      <c r="W75" s="308"/>
      <c r="X75" s="308"/>
      <c r="Y75" s="308"/>
      <c r="Z75" s="11"/>
      <c r="AB75" s="336" t="s">
        <v>89</v>
      </c>
      <c r="AC75" s="337" t="n">
        <v>0.005</v>
      </c>
      <c r="AD75" s="12"/>
      <c r="AE75" s="12"/>
      <c r="AF75" s="308"/>
      <c r="AG75" s="308"/>
      <c r="AH75" s="308"/>
      <c r="AI75" s="11"/>
    </row>
    <row r="76" customFormat="false" ht="17.35" hidden="false" customHeight="false" outlineLevel="0" collapsed="false">
      <c r="A76" s="293" t="s">
        <v>90</v>
      </c>
      <c r="B76" s="341" t="n">
        <f aca="false">B75+(B75*0.5*(K29/12-1))</f>
        <v>0.009375</v>
      </c>
      <c r="C76" s="12"/>
      <c r="D76" s="12"/>
      <c r="E76" s="308"/>
      <c r="F76" s="308"/>
      <c r="G76" s="308"/>
      <c r="H76" s="11"/>
      <c r="J76" s="293" t="s">
        <v>90</v>
      </c>
      <c r="K76" s="341" t="n">
        <f aca="false">K75+(K75*0.25*(K29/12-1))</f>
        <v>0.071875</v>
      </c>
      <c r="L76" s="12"/>
      <c r="M76" s="12"/>
      <c r="N76" s="308"/>
      <c r="O76" s="308"/>
      <c r="P76" s="308"/>
      <c r="Q76" s="11"/>
      <c r="S76" s="293" t="s">
        <v>90</v>
      </c>
      <c r="T76" s="341" t="n">
        <f aca="false">T75+(T75*0.5*(K29/12-1))</f>
        <v>0.009375</v>
      </c>
      <c r="U76" s="12"/>
      <c r="V76" s="12"/>
      <c r="W76" s="308"/>
      <c r="X76" s="308"/>
      <c r="Y76" s="308"/>
      <c r="Z76" s="11"/>
      <c r="AB76" s="293" t="s">
        <v>90</v>
      </c>
      <c r="AC76" s="341" t="n">
        <f aca="false">AC75+(AC75*0.5*(K29/12-1))</f>
        <v>0.009375</v>
      </c>
      <c r="AD76" s="12"/>
      <c r="AE76" s="12"/>
      <c r="AF76" s="308"/>
      <c r="AG76" s="308"/>
      <c r="AH76" s="308"/>
      <c r="AI76" s="11"/>
    </row>
    <row r="77" customFormat="false" ht="17.35" hidden="false" customHeight="false" outlineLevel="0" collapsed="false">
      <c r="A77" s="321" t="s">
        <v>91</v>
      </c>
      <c r="B77" s="85" t="n">
        <f aca="false">(G167*B76)</f>
        <v>548.671875</v>
      </c>
      <c r="C77" s="12"/>
      <c r="D77" s="12"/>
      <c r="E77" s="308"/>
      <c r="F77" s="308"/>
      <c r="G77" s="308"/>
      <c r="H77" s="11"/>
      <c r="J77" s="321" t="s">
        <v>91</v>
      </c>
      <c r="K77" s="85" t="n">
        <f aca="false">K70*K76</f>
        <v>4113.046875</v>
      </c>
      <c r="L77" s="12"/>
      <c r="M77" s="12"/>
      <c r="N77" s="308"/>
      <c r="O77" s="308"/>
      <c r="P77" s="308"/>
      <c r="Q77" s="11"/>
      <c r="S77" s="321" t="s">
        <v>91</v>
      </c>
      <c r="T77" s="85" t="n">
        <f aca="false">T70*T76</f>
        <v>536.484375</v>
      </c>
      <c r="U77" s="12"/>
      <c r="V77" s="12"/>
      <c r="W77" s="308"/>
      <c r="X77" s="308"/>
      <c r="Y77" s="308"/>
      <c r="Z77" s="11"/>
      <c r="AB77" s="321" t="s">
        <v>91</v>
      </c>
      <c r="AC77" s="85" t="n">
        <f aca="false">AH167*AC76</f>
        <v>426.269521875</v>
      </c>
      <c r="AD77" s="12"/>
      <c r="AE77" s="12"/>
      <c r="AF77" s="308"/>
      <c r="AG77" s="308"/>
      <c r="AH77" s="308"/>
      <c r="AI77" s="11"/>
    </row>
    <row r="78" customFormat="false" ht="17.35" hidden="false" customHeight="false" outlineLevel="0" collapsed="false">
      <c r="A78" s="336" t="s">
        <v>92</v>
      </c>
      <c r="B78" s="337" t="n">
        <v>0</v>
      </c>
      <c r="C78" s="12"/>
      <c r="D78" s="12"/>
      <c r="E78" s="308"/>
      <c r="F78" s="308"/>
      <c r="G78" s="308"/>
      <c r="H78" s="11"/>
      <c r="J78" s="336" t="s">
        <v>92</v>
      </c>
      <c r="K78" s="337" t="n">
        <v>0</v>
      </c>
      <c r="L78" s="12"/>
      <c r="M78" s="12"/>
      <c r="N78" s="308"/>
      <c r="O78" s="308"/>
      <c r="P78" s="308"/>
      <c r="Q78" s="11"/>
      <c r="S78" s="336" t="s">
        <v>92</v>
      </c>
      <c r="T78" s="337" t="n">
        <v>0</v>
      </c>
      <c r="U78" s="12"/>
      <c r="V78" s="12"/>
      <c r="W78" s="308"/>
      <c r="X78" s="308"/>
      <c r="Y78" s="308"/>
      <c r="Z78" s="11"/>
      <c r="AB78" s="336" t="s">
        <v>92</v>
      </c>
      <c r="AC78" s="337" t="n">
        <v>0</v>
      </c>
      <c r="AD78" s="12"/>
      <c r="AE78" s="12"/>
      <c r="AF78" s="308"/>
      <c r="AG78" s="308"/>
      <c r="AH78" s="308"/>
      <c r="AI78" s="11"/>
    </row>
    <row r="79" customFormat="false" ht="17.35" hidden="false" customHeight="false" outlineLevel="0" collapsed="false">
      <c r="A79" s="290" t="s">
        <v>93</v>
      </c>
      <c r="B79" s="338" t="n">
        <v>0</v>
      </c>
      <c r="C79" s="12"/>
      <c r="D79" s="12"/>
      <c r="E79" s="308"/>
      <c r="F79" s="308"/>
      <c r="G79" s="308"/>
      <c r="H79" s="11"/>
      <c r="J79" s="290" t="s">
        <v>93</v>
      </c>
      <c r="K79" s="338" t="n">
        <v>0</v>
      </c>
      <c r="L79" s="12"/>
      <c r="M79" s="12"/>
      <c r="N79" s="308"/>
      <c r="O79" s="308"/>
      <c r="P79" s="308"/>
      <c r="Q79" s="11"/>
      <c r="S79" s="290" t="s">
        <v>93</v>
      </c>
      <c r="T79" s="338" t="n">
        <v>0</v>
      </c>
      <c r="U79" s="12"/>
      <c r="V79" s="12"/>
      <c r="W79" s="308"/>
      <c r="X79" s="308"/>
      <c r="Y79" s="308"/>
      <c r="Z79" s="11"/>
      <c r="AB79" s="290" t="s">
        <v>93</v>
      </c>
      <c r="AC79" s="338" t="n">
        <v>0</v>
      </c>
      <c r="AD79" s="12"/>
      <c r="AE79" s="12"/>
      <c r="AF79" s="308"/>
      <c r="AG79" s="308"/>
      <c r="AH79" s="308"/>
      <c r="AI79" s="11"/>
    </row>
    <row r="80" customFormat="false" ht="17.35" hidden="false" customHeight="false" outlineLevel="0" collapsed="false">
      <c r="A80" s="321" t="s">
        <v>94</v>
      </c>
      <c r="B80" s="342" t="n">
        <f aca="false">B78*(1+B79)</f>
        <v>0</v>
      </c>
      <c r="C80" s="12"/>
      <c r="D80" s="12"/>
      <c r="E80" s="308"/>
      <c r="F80" s="308"/>
      <c r="G80" s="308"/>
      <c r="H80" s="11"/>
      <c r="J80" s="321" t="s">
        <v>94</v>
      </c>
      <c r="K80" s="342" t="n">
        <f aca="false">K78*(1+K79)</f>
        <v>0</v>
      </c>
      <c r="L80" s="12"/>
      <c r="M80" s="12"/>
      <c r="N80" s="308"/>
      <c r="O80" s="308"/>
      <c r="P80" s="308"/>
      <c r="Q80" s="11"/>
      <c r="S80" s="321" t="s">
        <v>94</v>
      </c>
      <c r="T80" s="342" t="n">
        <f aca="false">T78*(1+T79)</f>
        <v>0</v>
      </c>
      <c r="U80" s="12"/>
      <c r="V80" s="12"/>
      <c r="W80" s="308"/>
      <c r="X80" s="308"/>
      <c r="Y80" s="308"/>
      <c r="Z80" s="11"/>
      <c r="AB80" s="321" t="s">
        <v>94</v>
      </c>
      <c r="AC80" s="342" t="n">
        <f aca="false">AC78*(1+AC79)</f>
        <v>0</v>
      </c>
      <c r="AD80" s="12"/>
      <c r="AE80" s="12"/>
      <c r="AF80" s="308"/>
      <c r="AG80" s="308"/>
      <c r="AH80" s="308"/>
      <c r="AI80" s="11"/>
    </row>
    <row r="81" customFormat="false" ht="17.35" hidden="false" customHeight="false" outlineLevel="0" collapsed="false">
      <c r="A81" s="336" t="s">
        <v>95</v>
      </c>
      <c r="B81" s="88" t="n">
        <v>0</v>
      </c>
      <c r="C81" s="12"/>
      <c r="D81" s="12"/>
      <c r="E81" s="308"/>
      <c r="F81" s="308"/>
      <c r="G81" s="308"/>
      <c r="H81" s="11"/>
      <c r="J81" s="336" t="s">
        <v>95</v>
      </c>
      <c r="K81" s="88" t="n">
        <v>0</v>
      </c>
      <c r="L81" s="12"/>
      <c r="M81" s="12"/>
      <c r="N81" s="308"/>
      <c r="O81" s="308"/>
      <c r="P81" s="308"/>
      <c r="Q81" s="11"/>
      <c r="S81" s="336" t="s">
        <v>95</v>
      </c>
      <c r="T81" s="88" t="n">
        <v>0</v>
      </c>
      <c r="U81" s="12"/>
      <c r="V81" s="12"/>
      <c r="W81" s="308"/>
      <c r="X81" s="308"/>
      <c r="Y81" s="308"/>
      <c r="Z81" s="11"/>
      <c r="AB81" s="336" t="s">
        <v>95</v>
      </c>
      <c r="AC81" s="88" t="n">
        <v>0</v>
      </c>
      <c r="AD81" s="12"/>
      <c r="AE81" s="12"/>
      <c r="AF81" s="308"/>
      <c r="AG81" s="308"/>
      <c r="AH81" s="308"/>
      <c r="AI81" s="11"/>
    </row>
    <row r="82" customFormat="false" ht="17.35" hidden="false" customHeight="false" outlineLevel="0" collapsed="false">
      <c r="A82" s="290" t="s">
        <v>96</v>
      </c>
      <c r="B82" s="89" t="n">
        <v>0</v>
      </c>
      <c r="C82" s="12"/>
      <c r="D82" s="12"/>
      <c r="E82" s="308"/>
      <c r="F82" s="308"/>
      <c r="G82" s="308"/>
      <c r="H82" s="11"/>
      <c r="J82" s="290" t="s">
        <v>96</v>
      </c>
      <c r="K82" s="89" t="n">
        <v>0</v>
      </c>
      <c r="L82" s="12"/>
      <c r="M82" s="12"/>
      <c r="N82" s="308"/>
      <c r="O82" s="308"/>
      <c r="P82" s="308"/>
      <c r="Q82" s="11"/>
      <c r="S82" s="290" t="s">
        <v>96</v>
      </c>
      <c r="T82" s="89" t="n">
        <v>0</v>
      </c>
      <c r="U82" s="12"/>
      <c r="V82" s="12"/>
      <c r="W82" s="308"/>
      <c r="X82" s="308"/>
      <c r="Y82" s="308"/>
      <c r="Z82" s="11"/>
      <c r="AB82" s="290" t="s">
        <v>96</v>
      </c>
      <c r="AC82" s="89" t="n">
        <v>0</v>
      </c>
      <c r="AD82" s="12"/>
      <c r="AE82" s="12"/>
      <c r="AF82" s="308"/>
      <c r="AG82" s="308"/>
      <c r="AH82" s="308"/>
      <c r="AI82" s="11"/>
    </row>
    <row r="83" customFormat="false" ht="17.35" hidden="false" customHeight="false" outlineLevel="0" collapsed="false">
      <c r="A83" s="321" t="s">
        <v>97</v>
      </c>
      <c r="B83" s="85" t="n">
        <f aca="false">B82*K29</f>
        <v>0</v>
      </c>
      <c r="C83" s="12"/>
      <c r="D83" s="12" t="n">
        <f aca="false">B83+B81</f>
        <v>0</v>
      </c>
      <c r="E83" s="308"/>
      <c r="F83" s="308"/>
      <c r="G83" s="308"/>
      <c r="H83" s="11"/>
      <c r="J83" s="321" t="s">
        <v>97</v>
      </c>
      <c r="K83" s="85" t="n">
        <f aca="false">K82*K29</f>
        <v>0</v>
      </c>
      <c r="L83" s="12"/>
      <c r="M83" s="12" t="n">
        <f aca="false">K83+K81</f>
        <v>0</v>
      </c>
      <c r="N83" s="308"/>
      <c r="O83" s="308"/>
      <c r="P83" s="308"/>
      <c r="Q83" s="11"/>
      <c r="S83" s="321" t="s">
        <v>97</v>
      </c>
      <c r="T83" s="85" t="n">
        <f aca="false">T82*K29</f>
        <v>0</v>
      </c>
      <c r="U83" s="12"/>
      <c r="V83" s="12" t="n">
        <f aca="false">T83+T81</f>
        <v>0</v>
      </c>
      <c r="W83" s="308"/>
      <c r="X83" s="308"/>
      <c r="Y83" s="308"/>
      <c r="Z83" s="11"/>
      <c r="AB83" s="321" t="s">
        <v>97</v>
      </c>
      <c r="AC83" s="85" t="n">
        <f aca="false">AC82*K29</f>
        <v>0</v>
      </c>
      <c r="AD83" s="12"/>
      <c r="AE83" s="12" t="n">
        <f aca="false">AC83+AC81</f>
        <v>0</v>
      </c>
      <c r="AF83" s="308"/>
      <c r="AG83" s="308"/>
      <c r="AH83" s="308"/>
      <c r="AI83" s="11"/>
    </row>
    <row r="84" customFormat="false" ht="17.35" hidden="false" customHeight="false" outlineLevel="0" collapsed="false">
      <c r="A84" s="290" t="s">
        <v>104</v>
      </c>
      <c r="B84" s="89" t="n">
        <v>0</v>
      </c>
      <c r="C84" s="12"/>
      <c r="D84" s="12" t="n">
        <f aca="false">B84</f>
        <v>0</v>
      </c>
      <c r="E84" s="308"/>
      <c r="F84" s="308"/>
      <c r="G84" s="308"/>
      <c r="H84" s="11"/>
      <c r="J84" s="290" t="s">
        <v>104</v>
      </c>
      <c r="K84" s="89" t="n">
        <v>0</v>
      </c>
      <c r="L84" s="12"/>
      <c r="M84" s="12" t="n">
        <f aca="false">K84</f>
        <v>0</v>
      </c>
      <c r="N84" s="308"/>
      <c r="O84" s="308"/>
      <c r="P84" s="308"/>
      <c r="Q84" s="11"/>
      <c r="S84" s="290" t="s">
        <v>104</v>
      </c>
      <c r="T84" s="89" t="n">
        <v>0</v>
      </c>
      <c r="U84" s="12"/>
      <c r="V84" s="12" t="n">
        <f aca="false">T84</f>
        <v>0</v>
      </c>
      <c r="W84" s="308"/>
      <c r="X84" s="308"/>
      <c r="Y84" s="308"/>
      <c r="Z84" s="11"/>
      <c r="AB84" s="290" t="s">
        <v>104</v>
      </c>
      <c r="AC84" s="89" t="n">
        <v>0</v>
      </c>
      <c r="AD84" s="12"/>
      <c r="AE84" s="12" t="n">
        <f aca="false">AC84</f>
        <v>0</v>
      </c>
      <c r="AF84" s="308"/>
      <c r="AG84" s="308"/>
      <c r="AH84" s="308"/>
      <c r="AI84" s="11"/>
    </row>
    <row r="85" customFormat="false" ht="17.35" hidden="false" customHeight="false" outlineLevel="0" collapsed="false">
      <c r="A85" s="339" t="s">
        <v>105</v>
      </c>
      <c r="B85" s="98" t="n">
        <v>0</v>
      </c>
      <c r="C85" s="12"/>
      <c r="D85" s="12" t="n">
        <f aca="false">B85</f>
        <v>0</v>
      </c>
      <c r="E85" s="308"/>
      <c r="F85" s="12"/>
      <c r="G85" s="308"/>
      <c r="H85" s="11"/>
      <c r="J85" s="339" t="s">
        <v>105</v>
      </c>
      <c r="K85" s="98" t="n">
        <v>0</v>
      </c>
      <c r="L85" s="12"/>
      <c r="M85" s="12" t="n">
        <f aca="false">K85</f>
        <v>0</v>
      </c>
      <c r="N85" s="308"/>
      <c r="O85" s="308"/>
      <c r="P85" s="308"/>
      <c r="Q85" s="11"/>
      <c r="S85" s="339" t="s">
        <v>105</v>
      </c>
      <c r="T85" s="98" t="n">
        <v>0</v>
      </c>
      <c r="U85" s="12"/>
      <c r="V85" s="12" t="n">
        <f aca="false">T85</f>
        <v>0</v>
      </c>
      <c r="W85" s="308"/>
      <c r="X85" s="308"/>
      <c r="Y85" s="308"/>
      <c r="Z85" s="11"/>
      <c r="AB85" s="339" t="s">
        <v>105</v>
      </c>
      <c r="AC85" s="98" t="n">
        <v>0</v>
      </c>
      <c r="AD85" s="12"/>
      <c r="AE85" s="12" t="n">
        <f aca="false">AC85</f>
        <v>0</v>
      </c>
      <c r="AF85" s="308"/>
      <c r="AG85" s="308"/>
      <c r="AH85" s="308"/>
      <c r="AI85" s="11"/>
    </row>
    <row r="86" customFormat="false" ht="17.35" hidden="false" customHeight="false" outlineLevel="0" collapsed="false">
      <c r="A86" s="343" t="s">
        <v>106</v>
      </c>
      <c r="B86" s="344" t="n">
        <f aca="false">SUM(D74:D85)</f>
        <v>0</v>
      </c>
      <c r="C86" s="12"/>
      <c r="D86" s="12"/>
      <c r="E86" s="308"/>
      <c r="F86" s="12"/>
      <c r="G86" s="12"/>
      <c r="H86" s="11"/>
      <c r="J86" s="343" t="s">
        <v>106</v>
      </c>
      <c r="K86" s="344" t="n">
        <f aca="false">SUM(M74:M85)</f>
        <v>0</v>
      </c>
      <c r="L86" s="12"/>
      <c r="M86" s="12"/>
      <c r="N86" s="308"/>
      <c r="O86" s="308"/>
      <c r="P86" s="308"/>
      <c r="Q86" s="11"/>
      <c r="S86" s="343" t="s">
        <v>106</v>
      </c>
      <c r="T86" s="344" t="n">
        <f aca="false">SUM(V74:V85)</f>
        <v>0</v>
      </c>
      <c r="U86" s="12"/>
      <c r="V86" s="12"/>
      <c r="W86" s="308"/>
      <c r="X86" s="308"/>
      <c r="Y86" s="308"/>
      <c r="Z86" s="11"/>
      <c r="AB86" s="343" t="s">
        <v>106</v>
      </c>
      <c r="AC86" s="344" t="n">
        <f aca="false">SUM(AE74:AE85)</f>
        <v>0</v>
      </c>
      <c r="AD86" s="12"/>
      <c r="AE86" s="12"/>
      <c r="AF86" s="308"/>
      <c r="AG86" s="308"/>
      <c r="AH86" s="308"/>
      <c r="AI86" s="11"/>
    </row>
    <row r="87" customFormat="false" ht="17.35" hidden="false" customHeight="false" outlineLevel="0" collapsed="false">
      <c r="A87" s="293" t="s">
        <v>107</v>
      </c>
      <c r="B87" s="11" t="n">
        <f aca="false">B86/K29</f>
        <v>0</v>
      </c>
      <c r="C87" s="12"/>
      <c r="D87" s="12"/>
      <c r="E87" s="308"/>
      <c r="F87" s="308"/>
      <c r="G87" s="308"/>
      <c r="H87" s="11"/>
      <c r="J87" s="293" t="s">
        <v>107</v>
      </c>
      <c r="K87" s="11" t="n">
        <f aca="false">K86/K29</f>
        <v>0</v>
      </c>
      <c r="L87" s="12"/>
      <c r="M87" s="12"/>
      <c r="N87" s="308"/>
      <c r="O87" s="308"/>
      <c r="P87" s="308"/>
      <c r="Q87" s="11"/>
      <c r="S87" s="293" t="s">
        <v>107</v>
      </c>
      <c r="T87" s="11" t="n">
        <f aca="false">T86/K29</f>
        <v>0</v>
      </c>
      <c r="U87" s="12"/>
      <c r="V87" s="12"/>
      <c r="W87" s="308"/>
      <c r="X87" s="308"/>
      <c r="Y87" s="308"/>
      <c r="Z87" s="11"/>
      <c r="AB87" s="293" t="s">
        <v>107</v>
      </c>
      <c r="AC87" s="11" t="n">
        <f aca="false">AC86/K29</f>
        <v>0</v>
      </c>
      <c r="AD87" s="12"/>
      <c r="AE87" s="12"/>
      <c r="AF87" s="308"/>
      <c r="AG87" s="308"/>
      <c r="AH87" s="308"/>
      <c r="AI87" s="11"/>
    </row>
    <row r="88" customFormat="false" ht="17.35" hidden="false" customHeight="false" outlineLevel="0" collapsed="false">
      <c r="A88" s="345" t="s">
        <v>108</v>
      </c>
      <c r="B88" s="102" t="n">
        <f aca="false">K49</f>
        <v>238.924242424242</v>
      </c>
      <c r="C88" s="12"/>
      <c r="D88" s="12"/>
      <c r="E88" s="308"/>
      <c r="F88" s="308"/>
      <c r="G88" s="308"/>
      <c r="H88" s="11"/>
      <c r="J88" s="345" t="s">
        <v>108</v>
      </c>
      <c r="K88" s="102" t="n">
        <f aca="false">K47</f>
        <v>0.363636363636364</v>
      </c>
      <c r="L88" s="12"/>
      <c r="M88" s="12"/>
      <c r="N88" s="308"/>
      <c r="O88" s="308"/>
      <c r="P88" s="308"/>
      <c r="Q88" s="11"/>
      <c r="S88" s="345" t="s">
        <v>108</v>
      </c>
      <c r="T88" s="102" t="n">
        <f aca="false">B60</f>
        <v>238.924242424242</v>
      </c>
      <c r="U88" s="12"/>
      <c r="V88" s="12"/>
      <c r="W88" s="308"/>
      <c r="X88" s="308"/>
      <c r="Y88" s="308"/>
      <c r="Z88" s="11"/>
      <c r="AB88" s="345" t="s">
        <v>108</v>
      </c>
      <c r="AC88" s="102" t="n">
        <f aca="false">B60</f>
        <v>238.924242424242</v>
      </c>
      <c r="AD88" s="12"/>
      <c r="AE88" s="12"/>
      <c r="AF88" s="308"/>
      <c r="AG88" s="308"/>
      <c r="AH88" s="308"/>
      <c r="AI88" s="11"/>
    </row>
    <row r="89" customFormat="false" ht="17.35" hidden="false" customHeight="false" outlineLevel="0" collapsed="false">
      <c r="A89" s="293"/>
      <c r="B89" s="12"/>
      <c r="C89" s="12"/>
      <c r="D89" s="12"/>
      <c r="E89" s="308"/>
      <c r="F89" s="308"/>
      <c r="G89" s="308"/>
      <c r="H89" s="11"/>
      <c r="J89" s="293"/>
      <c r="K89" s="12"/>
      <c r="L89" s="12"/>
      <c r="M89" s="12"/>
      <c r="N89" s="308"/>
      <c r="O89" s="308"/>
      <c r="P89" s="308"/>
      <c r="Q89" s="11"/>
      <c r="S89" s="293"/>
      <c r="T89" s="12"/>
      <c r="U89" s="12"/>
      <c r="V89" s="12"/>
      <c r="W89" s="308"/>
      <c r="X89" s="308"/>
      <c r="Y89" s="308"/>
      <c r="Z89" s="11"/>
      <c r="AB89" s="293"/>
      <c r="AC89" s="12"/>
      <c r="AD89" s="12"/>
      <c r="AE89" s="12"/>
      <c r="AF89" s="308"/>
      <c r="AG89" s="308"/>
      <c r="AH89" s="308"/>
      <c r="AI89" s="11"/>
    </row>
    <row r="90" customFormat="false" ht="17.35" hidden="false" customHeight="false" outlineLevel="0" collapsed="false">
      <c r="A90" s="310" t="s">
        <v>261</v>
      </c>
      <c r="B90" s="103" t="n">
        <f aca="false">F37</f>
        <v>47877.5</v>
      </c>
      <c r="C90" s="12"/>
      <c r="D90" s="12"/>
      <c r="E90" s="308"/>
      <c r="F90" s="308"/>
      <c r="G90" s="308"/>
      <c r="H90" s="11"/>
      <c r="J90" s="310" t="s">
        <v>261</v>
      </c>
      <c r="K90" s="103" t="n">
        <f aca="false">P167</f>
        <v>37655</v>
      </c>
      <c r="L90" s="12"/>
      <c r="M90" s="12"/>
      <c r="N90" s="308"/>
      <c r="O90" s="308"/>
      <c r="P90" s="308"/>
      <c r="Q90" s="11"/>
      <c r="S90" s="310" t="s">
        <v>261</v>
      </c>
      <c r="T90" s="103" t="n">
        <f aca="false">Y167</f>
        <v>45468.749</v>
      </c>
      <c r="U90" s="12"/>
      <c r="V90" s="12"/>
      <c r="W90" s="308"/>
      <c r="X90" s="308"/>
      <c r="Y90" s="308"/>
      <c r="Z90" s="11"/>
      <c r="AB90" s="310" t="s">
        <v>261</v>
      </c>
      <c r="AC90" s="103" t="n">
        <f aca="false">AH167</f>
        <v>45468.749</v>
      </c>
      <c r="AD90" s="12"/>
      <c r="AE90" s="12"/>
      <c r="AF90" s="308"/>
      <c r="AG90" s="308"/>
      <c r="AH90" s="308"/>
      <c r="AI90" s="11"/>
    </row>
    <row r="91" customFormat="false" ht="17.35" hidden="false" customHeight="false" outlineLevel="0" collapsed="false">
      <c r="A91" s="293" t="s">
        <v>229</v>
      </c>
      <c r="B91" s="11" t="str">
        <f aca="false">IF(A120 = "Yes", A43, 0)</f>
        <v>6000</v>
      </c>
      <c r="C91" s="12"/>
      <c r="D91" s="12"/>
      <c r="E91" s="308"/>
      <c r="F91" s="308"/>
      <c r="G91" s="308"/>
      <c r="H91" s="11"/>
      <c r="J91" s="293" t="s">
        <v>229</v>
      </c>
      <c r="K91" s="11" t="n">
        <f aca="false">IF(J120 = "YES", A40, 0)</f>
        <v>0</v>
      </c>
      <c r="L91" s="12"/>
      <c r="M91" s="12"/>
      <c r="N91" s="308"/>
      <c r="O91" s="308"/>
      <c r="P91" s="308"/>
      <c r="Q91" s="11"/>
      <c r="S91" s="293" t="s">
        <v>229</v>
      </c>
      <c r="T91" s="11" t="str">
        <f aca="false">A40</f>
        <v>12</v>
      </c>
      <c r="U91" s="12"/>
      <c r="V91" s="12"/>
      <c r="W91" s="308"/>
      <c r="X91" s="308"/>
      <c r="Y91" s="308"/>
      <c r="Z91" s="11"/>
      <c r="AB91" s="293" t="s">
        <v>229</v>
      </c>
      <c r="AC91" s="11" t="str">
        <f aca="false">A40</f>
        <v>12</v>
      </c>
      <c r="AD91" s="12"/>
      <c r="AE91" s="12"/>
      <c r="AF91" s="308"/>
      <c r="AG91" s="308"/>
      <c r="AH91" s="308"/>
      <c r="AI91" s="11"/>
    </row>
    <row r="92" customFormat="false" ht="17.35" hidden="false" customHeight="false" outlineLevel="0" collapsed="false">
      <c r="A92" s="293" t="s">
        <v>262</v>
      </c>
      <c r="B92" s="341" t="n">
        <f aca="false">B71+B72+B73</f>
        <v>0.137</v>
      </c>
      <c r="C92" s="12"/>
      <c r="D92" s="12"/>
      <c r="E92" s="308"/>
      <c r="F92" s="308"/>
      <c r="G92" s="308"/>
      <c r="H92" s="11"/>
      <c r="J92" s="293" t="s">
        <v>262</v>
      </c>
      <c r="K92" s="341" t="n">
        <f aca="false">K71+K72+K73</f>
        <v>0.24</v>
      </c>
      <c r="L92" s="12"/>
      <c r="M92" s="12"/>
      <c r="N92" s="308"/>
      <c r="O92" s="308"/>
      <c r="P92" s="308"/>
      <c r="Q92" s="11"/>
      <c r="S92" s="293" t="s">
        <v>262</v>
      </c>
      <c r="T92" s="341" t="n">
        <f aca="false">T71+T72+T73</f>
        <v>0.1235</v>
      </c>
      <c r="U92" s="12"/>
      <c r="V92" s="12"/>
      <c r="W92" s="308"/>
      <c r="X92" s="308"/>
      <c r="Y92" s="308"/>
      <c r="Z92" s="11"/>
      <c r="AB92" s="293" t="s">
        <v>262</v>
      </c>
      <c r="AC92" s="341" t="n">
        <f aca="false">AC71+AC72+AC73</f>
        <v>0.1235</v>
      </c>
      <c r="AD92" s="12"/>
      <c r="AE92" s="12"/>
      <c r="AF92" s="308"/>
      <c r="AG92" s="308"/>
      <c r="AH92" s="308"/>
      <c r="AI92" s="11"/>
    </row>
    <row r="93" customFormat="false" ht="17.35" hidden="false" customHeight="false" outlineLevel="0" collapsed="false">
      <c r="A93" s="293" t="s">
        <v>263</v>
      </c>
      <c r="B93" s="341" t="n">
        <f aca="false">B92/12</f>
        <v>0.0114166666666667</v>
      </c>
      <c r="C93" s="12"/>
      <c r="D93" s="12"/>
      <c r="E93" s="308"/>
      <c r="F93" s="308"/>
      <c r="G93" s="308"/>
      <c r="H93" s="11"/>
      <c r="J93" s="293" t="s">
        <v>263</v>
      </c>
      <c r="K93" s="341" t="n">
        <f aca="false">K92/12</f>
        <v>0.02</v>
      </c>
      <c r="L93" s="12"/>
      <c r="M93" s="12"/>
      <c r="N93" s="308"/>
      <c r="O93" s="308"/>
      <c r="P93" s="308"/>
      <c r="Q93" s="11"/>
      <c r="S93" s="293" t="s">
        <v>263</v>
      </c>
      <c r="T93" s="341" t="n">
        <f aca="false">T92/12</f>
        <v>0.0102916666666667</v>
      </c>
      <c r="U93" s="12"/>
      <c r="V93" s="12"/>
      <c r="W93" s="308"/>
      <c r="X93" s="308"/>
      <c r="Y93" s="308"/>
      <c r="Z93" s="11"/>
      <c r="AB93" s="293" t="s">
        <v>263</v>
      </c>
      <c r="AC93" s="341" t="n">
        <f aca="false">AC92/12</f>
        <v>0.0102916666666667</v>
      </c>
      <c r="AD93" s="12"/>
      <c r="AE93" s="12"/>
      <c r="AF93" s="308"/>
      <c r="AG93" s="308"/>
      <c r="AH93" s="308"/>
      <c r="AI93" s="11"/>
    </row>
    <row r="94" customFormat="false" ht="17.35" hidden="false" customHeight="false" outlineLevel="0" collapsed="false">
      <c r="A94" s="293" t="s">
        <v>264</v>
      </c>
      <c r="B94" s="11" t="n">
        <f aca="false">IF(B91=0, (B68+B67), (B68))</f>
        <v>32</v>
      </c>
      <c r="C94" s="12"/>
      <c r="D94" s="12"/>
      <c r="E94" s="308"/>
      <c r="F94" s="308"/>
      <c r="G94" s="308"/>
      <c r="H94" s="11"/>
      <c r="J94" s="293" t="s">
        <v>264</v>
      </c>
      <c r="K94" s="11" t="n">
        <f aca="false">IF(K91=0, (K68+K67), (K68))</f>
        <v>33</v>
      </c>
      <c r="L94" s="12"/>
      <c r="M94" s="12"/>
      <c r="N94" s="308"/>
      <c r="O94" s="308"/>
      <c r="P94" s="308"/>
      <c r="Q94" s="11"/>
      <c r="S94" s="293" t="s">
        <v>264</v>
      </c>
      <c r="T94" s="11" t="n">
        <f aca="false">T68</f>
        <v>32</v>
      </c>
      <c r="U94" s="12"/>
      <c r="V94" s="12"/>
      <c r="W94" s="308"/>
      <c r="X94" s="308"/>
      <c r="Y94" s="308"/>
      <c r="Z94" s="11"/>
      <c r="AB94" s="293" t="s">
        <v>264</v>
      </c>
      <c r="AC94" s="11" t="n">
        <f aca="false">AC68</f>
        <v>32</v>
      </c>
      <c r="AD94" s="12"/>
      <c r="AE94" s="12"/>
      <c r="AF94" s="308"/>
      <c r="AG94" s="308"/>
      <c r="AH94" s="308"/>
      <c r="AI94" s="11"/>
    </row>
    <row r="95" customFormat="false" ht="17.35" hidden="false" customHeight="false" outlineLevel="0" collapsed="false">
      <c r="A95" s="293" t="s">
        <v>265</v>
      </c>
      <c r="B95" s="11" t="n">
        <f aca="false">(B91/((1+B93)^(B94+1)))</f>
        <v>4125.32107917265</v>
      </c>
      <c r="C95" s="12"/>
      <c r="D95" s="12"/>
      <c r="E95" s="308"/>
      <c r="F95" s="308"/>
      <c r="G95" s="308"/>
      <c r="H95" s="11"/>
      <c r="J95" s="293" t="s">
        <v>265</v>
      </c>
      <c r="K95" s="11" t="n">
        <f aca="false">(K91/((1+K93)^(K94+1)))</f>
        <v>0</v>
      </c>
      <c r="L95" s="12"/>
      <c r="M95" s="12"/>
      <c r="N95" s="308"/>
      <c r="O95" s="308"/>
      <c r="P95" s="308"/>
      <c r="Q95" s="11"/>
      <c r="S95" s="293" t="s">
        <v>265</v>
      </c>
      <c r="T95" s="11" t="n">
        <f aca="false">(T91/((1+T93)^(T94+1)))</f>
        <v>8.55929138316766</v>
      </c>
      <c r="U95" s="12"/>
      <c r="V95" s="12"/>
      <c r="W95" s="308"/>
      <c r="X95" s="308"/>
      <c r="Y95" s="308"/>
      <c r="Z95" s="11"/>
      <c r="AB95" s="293" t="s">
        <v>265</v>
      </c>
      <c r="AC95" s="11" t="n">
        <f aca="false">(AC91/((1+AC93)^(AC94+1)))</f>
        <v>8.55929138316766</v>
      </c>
      <c r="AD95" s="12"/>
      <c r="AE95" s="12"/>
      <c r="AF95" s="308"/>
      <c r="AG95" s="308"/>
      <c r="AH95" s="308"/>
      <c r="AI95" s="11"/>
    </row>
    <row r="96" customFormat="false" ht="17.35" hidden="false" customHeight="false" outlineLevel="0" collapsed="false">
      <c r="A96" s="293" t="s">
        <v>266</v>
      </c>
      <c r="B96" s="11" t="n">
        <f aca="false">((1-(1/((1+B93)^B94)))/B93)</f>
        <v>26.6800219733353</v>
      </c>
      <c r="C96" s="12"/>
      <c r="D96" s="12"/>
      <c r="E96" s="308"/>
      <c r="F96" s="308"/>
      <c r="G96" s="308"/>
      <c r="H96" s="11"/>
      <c r="J96" s="293" t="s">
        <v>266</v>
      </c>
      <c r="K96" s="11" t="n">
        <f aca="false">((1-(1/((1+K93)^K94)))/K93)</f>
        <v>23.9885635530494</v>
      </c>
      <c r="L96" s="12"/>
      <c r="M96" s="12"/>
      <c r="N96" s="308"/>
      <c r="O96" s="308"/>
      <c r="P96" s="308"/>
      <c r="Q96" s="11"/>
      <c r="S96" s="293" t="s">
        <v>266</v>
      </c>
      <c r="T96" s="11" t="n">
        <f aca="false">((1-(1/((1+T93)^T94)))/T93)</f>
        <v>27.1467145183312</v>
      </c>
      <c r="U96" s="12"/>
      <c r="V96" s="12"/>
      <c r="W96" s="308"/>
      <c r="X96" s="308"/>
      <c r="Y96" s="308"/>
      <c r="Z96" s="11"/>
      <c r="AB96" s="293" t="s">
        <v>266</v>
      </c>
      <c r="AC96" s="11" t="n">
        <f aca="false">((1-(1/((1+AC93)^AC94)))/AC93)</f>
        <v>27.1467145183312</v>
      </c>
      <c r="AD96" s="12"/>
      <c r="AE96" s="12"/>
      <c r="AF96" s="308"/>
      <c r="AG96" s="308"/>
      <c r="AH96" s="308"/>
      <c r="AI96" s="11"/>
    </row>
    <row r="97" customFormat="false" ht="17.35" hidden="false" customHeight="false" outlineLevel="0" collapsed="false">
      <c r="A97" s="293" t="s">
        <v>267</v>
      </c>
      <c r="B97" s="11" t="n">
        <f aca="false">B90-B95</f>
        <v>43752.1789208274</v>
      </c>
      <c r="C97" s="12"/>
      <c r="D97" s="12"/>
      <c r="E97" s="308"/>
      <c r="F97" s="308"/>
      <c r="G97" s="308"/>
      <c r="H97" s="11"/>
      <c r="J97" s="293" t="s">
        <v>267</v>
      </c>
      <c r="K97" s="11" t="n">
        <f aca="false">K90-K95</f>
        <v>37655</v>
      </c>
      <c r="L97" s="12"/>
      <c r="M97" s="12"/>
      <c r="N97" s="308"/>
      <c r="O97" s="308"/>
      <c r="P97" s="308"/>
      <c r="Q97" s="11"/>
      <c r="S97" s="293" t="s">
        <v>267</v>
      </c>
      <c r="T97" s="11" t="n">
        <f aca="false">T90-T95</f>
        <v>45460.1897086168</v>
      </c>
      <c r="U97" s="12"/>
      <c r="V97" s="12"/>
      <c r="W97" s="308"/>
      <c r="X97" s="308"/>
      <c r="Y97" s="308"/>
      <c r="Z97" s="11"/>
      <c r="AB97" s="293" t="s">
        <v>267</v>
      </c>
      <c r="AC97" s="11" t="n">
        <f aca="false">AC90-AC95</f>
        <v>45460.1897086168</v>
      </c>
      <c r="AD97" s="12"/>
      <c r="AE97" s="12"/>
      <c r="AF97" s="308"/>
      <c r="AG97" s="308"/>
      <c r="AH97" s="308"/>
      <c r="AI97" s="11"/>
    </row>
    <row r="98" customFormat="false" ht="17.35" hidden="false" customHeight="false" outlineLevel="0" collapsed="false">
      <c r="A98" s="293" t="s">
        <v>268</v>
      </c>
      <c r="B98" s="11" t="n">
        <f aca="false">(B97/B96)</f>
        <v>1639.88541555755</v>
      </c>
      <c r="C98" s="12"/>
      <c r="D98" s="12"/>
      <c r="E98" s="308"/>
      <c r="F98" s="308"/>
      <c r="G98" s="308"/>
      <c r="H98" s="11"/>
      <c r="J98" s="293" t="s">
        <v>268</v>
      </c>
      <c r="K98" s="11" t="n">
        <f aca="false">(K97/K96)</f>
        <v>1569.706327631</v>
      </c>
      <c r="L98" s="12"/>
      <c r="M98" s="12"/>
      <c r="N98" s="308"/>
      <c r="O98" s="308"/>
      <c r="P98" s="308"/>
      <c r="Q98" s="11"/>
      <c r="S98" s="293" t="s">
        <v>268</v>
      </c>
      <c r="T98" s="11" t="n">
        <f aca="false">(T97/T96)</f>
        <v>1674.61110912406</v>
      </c>
      <c r="U98" s="12"/>
      <c r="V98" s="12"/>
      <c r="W98" s="308"/>
      <c r="X98" s="308"/>
      <c r="Y98" s="308"/>
      <c r="Z98" s="11"/>
      <c r="AB98" s="293" t="s">
        <v>268</v>
      </c>
      <c r="AC98" s="11" t="n">
        <f aca="false">(AC97/AC96)</f>
        <v>1674.61110912406</v>
      </c>
      <c r="AD98" s="12"/>
      <c r="AE98" s="12"/>
      <c r="AF98" s="308"/>
      <c r="AG98" s="308"/>
      <c r="AH98" s="308"/>
      <c r="AI98" s="11"/>
    </row>
    <row r="99" customFormat="false" ht="17.35" hidden="false" customHeight="false" outlineLevel="0" collapsed="false">
      <c r="A99" s="293" t="s">
        <v>109</v>
      </c>
      <c r="B99" s="11" t="n">
        <f aca="false">((B98*(B94))+B86)</f>
        <v>52476.3332978415</v>
      </c>
      <c r="C99" s="12"/>
      <c r="D99" s="12"/>
      <c r="E99" s="308"/>
      <c r="F99" s="308"/>
      <c r="G99" s="308"/>
      <c r="H99" s="11"/>
      <c r="J99" s="293" t="s">
        <v>109</v>
      </c>
      <c r="K99" s="11" t="n">
        <f aca="false">((K98*(K94))+K86)</f>
        <v>51800.308811823</v>
      </c>
      <c r="L99" s="12"/>
      <c r="M99" s="12"/>
      <c r="N99" s="308"/>
      <c r="O99" s="308"/>
      <c r="P99" s="308"/>
      <c r="Q99" s="11"/>
      <c r="S99" s="293" t="s">
        <v>109</v>
      </c>
      <c r="T99" s="11" t="n">
        <f aca="false">(T98*(T94))+T86</f>
        <v>53587.5554919699</v>
      </c>
      <c r="U99" s="12"/>
      <c r="V99" s="12"/>
      <c r="W99" s="308"/>
      <c r="X99" s="308"/>
      <c r="Y99" s="308"/>
      <c r="Z99" s="11"/>
      <c r="AB99" s="293" t="s">
        <v>109</v>
      </c>
      <c r="AC99" s="11" t="n">
        <f aca="false">(AC98*(AC68))+AC86</f>
        <v>53587.5554919699</v>
      </c>
      <c r="AD99" s="12"/>
      <c r="AE99" s="12"/>
      <c r="AF99" s="308"/>
      <c r="AG99" s="308"/>
      <c r="AH99" s="308"/>
      <c r="AI99" s="11"/>
    </row>
    <row r="100" customFormat="false" ht="17.35" hidden="false" customHeight="false" outlineLevel="0" collapsed="false">
      <c r="A100" s="293" t="s">
        <v>110</v>
      </c>
      <c r="B100" s="11" t="n">
        <f aca="false">(((B98*(B94))+B86)/(1-B80))*B80</f>
        <v>0</v>
      </c>
      <c r="C100" s="12"/>
      <c r="D100" s="12"/>
      <c r="E100" s="308"/>
      <c r="F100" s="308"/>
      <c r="G100" s="308"/>
      <c r="H100" s="11"/>
      <c r="J100" s="293" t="s">
        <v>110</v>
      </c>
      <c r="K100" s="11" t="n">
        <f aca="false">(K99/(1-K80))*K80</f>
        <v>0</v>
      </c>
      <c r="L100" s="12"/>
      <c r="M100" s="12"/>
      <c r="N100" s="308"/>
      <c r="O100" s="308"/>
      <c r="P100" s="308"/>
      <c r="Q100" s="11"/>
      <c r="S100" s="293" t="s">
        <v>110</v>
      </c>
      <c r="T100" s="11" t="n">
        <f aca="false">(T99/(1-T80))*T80</f>
        <v>0</v>
      </c>
      <c r="U100" s="12"/>
      <c r="V100" s="12"/>
      <c r="W100" s="308"/>
      <c r="X100" s="308"/>
      <c r="Y100" s="308"/>
      <c r="Z100" s="11"/>
      <c r="AB100" s="293" t="s">
        <v>110</v>
      </c>
      <c r="AC100" s="11" t="n">
        <f aca="false">(AC99/(1-AC80))*AC80</f>
        <v>0</v>
      </c>
      <c r="AD100" s="12"/>
      <c r="AE100" s="12"/>
      <c r="AF100" s="308"/>
      <c r="AG100" s="308"/>
      <c r="AH100" s="308"/>
      <c r="AI100" s="11"/>
    </row>
    <row r="101" customFormat="false" ht="17.35" hidden="false" customHeight="false" outlineLevel="0" collapsed="false">
      <c r="A101" s="321" t="s">
        <v>111</v>
      </c>
      <c r="B101" s="85" t="n">
        <f aca="false">(B99+B100)</f>
        <v>52476.3332978415</v>
      </c>
      <c r="C101" s="12"/>
      <c r="D101" s="12"/>
      <c r="E101" s="308"/>
      <c r="F101" s="308"/>
      <c r="G101" s="308"/>
      <c r="H101" s="11"/>
      <c r="J101" s="321" t="s">
        <v>111</v>
      </c>
      <c r="K101" s="85" t="n">
        <f aca="false">(K99+K100)</f>
        <v>51800.308811823</v>
      </c>
      <c r="L101" s="12"/>
      <c r="M101" s="12"/>
      <c r="N101" s="308"/>
      <c r="O101" s="308"/>
      <c r="P101" s="308"/>
      <c r="Q101" s="11"/>
      <c r="S101" s="321" t="s">
        <v>111</v>
      </c>
      <c r="T101" s="85" t="n">
        <f aca="false">(T99+T100)</f>
        <v>53587.5554919699</v>
      </c>
      <c r="U101" s="12"/>
      <c r="V101" s="12"/>
      <c r="W101" s="308"/>
      <c r="X101" s="308"/>
      <c r="Y101" s="308"/>
      <c r="Z101" s="11"/>
      <c r="AB101" s="321" t="s">
        <v>111</v>
      </c>
      <c r="AC101" s="85" t="n">
        <f aca="false">(AC99+AC100)</f>
        <v>53587.5554919699</v>
      </c>
      <c r="AD101" s="12"/>
      <c r="AE101" s="12"/>
      <c r="AF101" s="308"/>
      <c r="AG101" s="308"/>
      <c r="AH101" s="308"/>
      <c r="AI101" s="11"/>
    </row>
    <row r="102" customFormat="false" ht="17.35" hidden="false" customHeight="false" outlineLevel="0" collapsed="false">
      <c r="A102" s="293"/>
      <c r="B102" s="12"/>
      <c r="C102" s="12"/>
      <c r="D102" s="12"/>
      <c r="E102" s="308"/>
      <c r="F102" s="308"/>
      <c r="G102" s="308"/>
      <c r="H102" s="11"/>
      <c r="J102" s="293"/>
      <c r="K102" s="12"/>
      <c r="L102" s="12"/>
      <c r="M102" s="12"/>
      <c r="N102" s="308"/>
      <c r="O102" s="308"/>
      <c r="P102" s="308"/>
      <c r="Q102" s="11"/>
      <c r="S102" s="293"/>
      <c r="T102" s="12"/>
      <c r="U102" s="12"/>
      <c r="V102" s="12"/>
      <c r="W102" s="308"/>
      <c r="X102" s="308"/>
      <c r="Y102" s="308"/>
      <c r="Z102" s="11"/>
      <c r="AB102" s="293"/>
      <c r="AC102" s="12"/>
      <c r="AD102" s="12"/>
      <c r="AE102" s="12"/>
      <c r="AF102" s="308"/>
      <c r="AG102" s="308"/>
      <c r="AH102" s="308"/>
      <c r="AI102" s="11"/>
    </row>
    <row r="103" customFormat="false" ht="17.35" hidden="false" customHeight="false" outlineLevel="0" collapsed="false">
      <c r="A103" s="343" t="s">
        <v>67</v>
      </c>
      <c r="B103" s="344" t="n">
        <f aca="false">((A46 * A34) + ((A46 * A34)*A117))/(B68)*1.2</f>
        <v>0</v>
      </c>
      <c r="C103" s="12"/>
      <c r="D103" s="12"/>
      <c r="E103" s="308"/>
      <c r="F103" s="308"/>
      <c r="G103" s="308"/>
      <c r="H103" s="11"/>
      <c r="J103" s="343" t="s">
        <v>67</v>
      </c>
      <c r="K103" s="344" t="n">
        <f aca="false">((E40/K94)*(1+J117))*1.2</f>
        <v>0</v>
      </c>
      <c r="L103" s="12"/>
      <c r="M103" s="12"/>
      <c r="N103" s="308"/>
      <c r="O103" s="308"/>
      <c r="P103" s="308"/>
      <c r="Q103" s="11"/>
      <c r="S103" s="343" t="s">
        <v>67</v>
      </c>
      <c r="T103" s="344" t="n">
        <f aca="false">((E40/T94)*(1+S117))</f>
        <v>0</v>
      </c>
      <c r="U103" s="12"/>
      <c r="V103" s="12"/>
      <c r="W103" s="308"/>
      <c r="X103" s="308"/>
      <c r="Y103" s="308"/>
      <c r="Z103" s="11"/>
      <c r="AB103" s="343" t="s">
        <v>67</v>
      </c>
      <c r="AC103" s="344" t="n">
        <f aca="false">((E40/AC94)*(1+AB117))*1.2</f>
        <v>0</v>
      </c>
      <c r="AD103" s="12"/>
      <c r="AE103" s="12"/>
      <c r="AF103" s="308"/>
      <c r="AG103" s="308"/>
      <c r="AH103" s="308"/>
      <c r="AI103" s="11"/>
    </row>
    <row r="104" customFormat="false" ht="17.35" hidden="false" customHeight="false" outlineLevel="0" collapsed="false">
      <c r="A104" s="346" t="s">
        <v>112</v>
      </c>
      <c r="B104" s="347" t="n">
        <f aca="false">B101/(B94)</f>
        <v>1639.88541555755</v>
      </c>
      <c r="C104" s="12"/>
      <c r="D104" s="12"/>
      <c r="E104" s="308"/>
      <c r="F104" s="308"/>
      <c r="G104" s="308"/>
      <c r="H104" s="11"/>
      <c r="J104" s="346" t="s">
        <v>112</v>
      </c>
      <c r="K104" s="347" t="n">
        <f aca="false">K101/(K94)</f>
        <v>1569.706327631</v>
      </c>
      <c r="L104" s="12"/>
      <c r="M104" s="12"/>
      <c r="N104" s="308"/>
      <c r="O104" s="308"/>
      <c r="P104" s="308"/>
      <c r="Q104" s="11"/>
      <c r="S104" s="346" t="s">
        <v>112</v>
      </c>
      <c r="T104" s="347" t="n">
        <f aca="false">T101/(T94)</f>
        <v>1674.61110912406</v>
      </c>
      <c r="U104" s="12"/>
      <c r="V104" s="12"/>
      <c r="W104" s="308"/>
      <c r="X104" s="308"/>
      <c r="Y104" s="308"/>
      <c r="Z104" s="11"/>
      <c r="AB104" s="346" t="s">
        <v>112</v>
      </c>
      <c r="AC104" s="347" t="n">
        <f aca="false">AC101/(AC68)</f>
        <v>1674.61110912406</v>
      </c>
      <c r="AD104" s="12"/>
      <c r="AE104" s="12"/>
      <c r="AF104" s="308"/>
      <c r="AG104" s="308"/>
      <c r="AH104" s="308"/>
      <c r="AI104" s="11"/>
    </row>
    <row r="105" customFormat="false" ht="17.35" hidden="false" customHeight="false" outlineLevel="0" collapsed="false">
      <c r="A105" s="348" t="s">
        <v>113</v>
      </c>
      <c r="B105" s="349" t="n">
        <f aca="false">B103+B104</f>
        <v>1639.88541555755</v>
      </c>
      <c r="C105" s="12"/>
      <c r="D105" s="12"/>
      <c r="E105" s="308" t="s">
        <v>28</v>
      </c>
      <c r="F105" s="308"/>
      <c r="G105" s="308"/>
      <c r="H105" s="11"/>
      <c r="J105" s="348" t="s">
        <v>113</v>
      </c>
      <c r="K105" s="349" t="n">
        <f aca="false">(K103+K104)</f>
        <v>1569.706327631</v>
      </c>
      <c r="L105" s="12"/>
      <c r="M105" s="12"/>
      <c r="N105" s="308"/>
      <c r="O105" s="308"/>
      <c r="P105" s="308"/>
      <c r="Q105" s="11"/>
      <c r="S105" s="348" t="s">
        <v>113</v>
      </c>
      <c r="T105" s="349" t="n">
        <f aca="false">T103+T104</f>
        <v>1674.61110912406</v>
      </c>
      <c r="U105" s="12"/>
      <c r="V105" s="12"/>
      <c r="W105" s="308"/>
      <c r="X105" s="308"/>
      <c r="Y105" s="308"/>
      <c r="Z105" s="11"/>
      <c r="AB105" s="348" t="s">
        <v>113</v>
      </c>
      <c r="AC105" s="349" t="n">
        <f aca="false">AC103+AC104</f>
        <v>1674.61110912406</v>
      </c>
      <c r="AD105" s="12"/>
      <c r="AE105" s="12"/>
      <c r="AF105" s="308"/>
      <c r="AG105" s="308"/>
      <c r="AH105" s="308"/>
      <c r="AI105" s="11"/>
    </row>
    <row r="106" customFormat="false" ht="17.35" hidden="false" customHeight="false" outlineLevel="0" collapsed="false">
      <c r="A106" s="321"/>
      <c r="B106" s="322"/>
      <c r="C106" s="322"/>
      <c r="D106" s="322"/>
      <c r="E106" s="350"/>
      <c r="F106" s="350"/>
      <c r="G106" s="350"/>
      <c r="H106" s="85"/>
      <c r="J106" s="321"/>
      <c r="K106" s="322"/>
      <c r="L106" s="322"/>
      <c r="M106" s="322"/>
      <c r="N106" s="350"/>
      <c r="O106" s="350"/>
      <c r="P106" s="350"/>
      <c r="Q106" s="85"/>
      <c r="S106" s="321"/>
      <c r="T106" s="322"/>
      <c r="U106" s="322"/>
      <c r="V106" s="322"/>
      <c r="W106" s="350"/>
      <c r="X106" s="350"/>
      <c r="Y106" s="350"/>
      <c r="Z106" s="85"/>
      <c r="AB106" s="321"/>
      <c r="AC106" s="322"/>
      <c r="AD106" s="322"/>
      <c r="AE106" s="322"/>
      <c r="AF106" s="350"/>
      <c r="AG106" s="350"/>
      <c r="AH106" s="350"/>
      <c r="AI106" s="85"/>
    </row>
    <row r="107" customFormat="false" ht="13.8" hidden="false" customHeight="false" outlineLevel="0" collapsed="false">
      <c r="A107" s="308"/>
      <c r="B107" s="308"/>
      <c r="C107" s="308"/>
      <c r="D107" s="308"/>
      <c r="E107" s="308"/>
      <c r="F107" s="308"/>
      <c r="G107" s="308"/>
      <c r="H107" s="308"/>
      <c r="J107" s="308"/>
      <c r="K107" s="308"/>
      <c r="L107" s="308"/>
      <c r="M107" s="308"/>
      <c r="N107" s="308"/>
      <c r="O107" s="308"/>
      <c r="P107" s="308"/>
      <c r="Q107" s="308"/>
      <c r="S107" s="308"/>
      <c r="T107" s="308"/>
      <c r="U107" s="308"/>
      <c r="V107" s="308"/>
      <c r="W107" s="308"/>
      <c r="X107" s="308"/>
      <c r="Y107" s="308"/>
      <c r="Z107" s="308"/>
      <c r="AB107" s="308"/>
      <c r="AC107" s="308"/>
      <c r="AD107" s="308"/>
      <c r="AE107" s="308"/>
      <c r="AF107" s="308"/>
      <c r="AG107" s="308"/>
      <c r="AH107" s="308"/>
      <c r="AI107" s="308"/>
    </row>
    <row r="108" customFormat="false" ht="13.8" hidden="false" customHeight="false" outlineLevel="0" collapsed="false">
      <c r="A108" s="308" t="n">
        <v>0.2</v>
      </c>
      <c r="B108" s="308" t="s">
        <v>269</v>
      </c>
      <c r="C108" s="308"/>
      <c r="D108" s="308"/>
      <c r="E108" s="308"/>
      <c r="F108" s="308"/>
      <c r="G108" s="308"/>
      <c r="H108" s="308"/>
      <c r="J108" s="308"/>
      <c r="K108" s="308"/>
      <c r="L108" s="308"/>
      <c r="M108" s="308"/>
      <c r="N108" s="308"/>
      <c r="O108" s="308"/>
      <c r="P108" s="308"/>
      <c r="Q108" s="308"/>
      <c r="S108" s="308"/>
      <c r="T108" s="308"/>
      <c r="U108" s="308"/>
      <c r="V108" s="308"/>
      <c r="W108" s="308"/>
      <c r="X108" s="308"/>
      <c r="Y108" s="308"/>
      <c r="Z108" s="308"/>
      <c r="AB108" s="308"/>
      <c r="AC108" s="308"/>
      <c r="AD108" s="308"/>
      <c r="AE108" s="308"/>
      <c r="AF108" s="308"/>
      <c r="AG108" s="308"/>
      <c r="AH108" s="308"/>
      <c r="AI108" s="308"/>
    </row>
    <row r="109" customFormat="false" ht="47.25" hidden="false" customHeight="true" outlineLevel="0" collapsed="false">
      <c r="A109" s="289" t="s">
        <v>270</v>
      </c>
      <c r="B109" s="289"/>
      <c r="C109" s="289"/>
      <c r="D109" s="289"/>
      <c r="E109" s="289"/>
      <c r="F109" s="289"/>
      <c r="G109" s="289"/>
      <c r="H109" s="289"/>
      <c r="J109" s="309" t="s">
        <v>271</v>
      </c>
      <c r="K109" s="309"/>
      <c r="L109" s="309"/>
      <c r="M109" s="309"/>
      <c r="N109" s="309"/>
      <c r="O109" s="309"/>
      <c r="P109" s="309"/>
      <c r="Q109" s="309"/>
      <c r="S109" s="289" t="s">
        <v>272</v>
      </c>
      <c r="T109" s="289"/>
      <c r="U109" s="289"/>
      <c r="V109" s="289"/>
      <c r="W109" s="289"/>
      <c r="X109" s="289"/>
      <c r="Y109" s="289"/>
      <c r="Z109" s="289"/>
      <c r="AB109" s="289" t="s">
        <v>273</v>
      </c>
      <c r="AC109" s="289"/>
      <c r="AD109" s="289"/>
      <c r="AE109" s="289"/>
      <c r="AF109" s="289"/>
      <c r="AG109" s="289"/>
      <c r="AH109" s="289"/>
      <c r="AI109" s="289"/>
    </row>
    <row r="110" customFormat="false" ht="17.35" hidden="false" customHeight="false" outlineLevel="0" collapsed="false">
      <c r="A110" s="310"/>
      <c r="B110" s="311"/>
      <c r="C110" s="311"/>
      <c r="D110" s="311"/>
      <c r="E110" s="334"/>
      <c r="F110" s="334"/>
      <c r="G110" s="334"/>
      <c r="H110" s="351"/>
      <c r="J110" s="310"/>
      <c r="K110" s="311"/>
      <c r="L110" s="311"/>
      <c r="M110" s="311"/>
      <c r="N110" s="334"/>
      <c r="O110" s="334"/>
      <c r="P110" s="334"/>
      <c r="Q110" s="351"/>
      <c r="S110" s="310"/>
      <c r="T110" s="311"/>
      <c r="U110" s="311"/>
      <c r="V110" s="311"/>
      <c r="W110" s="334"/>
      <c r="X110" s="334"/>
      <c r="Y110" s="334"/>
      <c r="Z110" s="351"/>
      <c r="AB110" s="310"/>
      <c r="AC110" s="311"/>
      <c r="AD110" s="311"/>
      <c r="AE110" s="311"/>
      <c r="AF110" s="334"/>
      <c r="AG110" s="334"/>
      <c r="AH110" s="334"/>
      <c r="AI110" s="351"/>
    </row>
    <row r="111" customFormat="false" ht="22.05" hidden="false" customHeight="false" outlineLevel="0" collapsed="false">
      <c r="A111" s="312" t="s">
        <v>27</v>
      </c>
      <c r="B111" s="312" t="n">
        <v>0</v>
      </c>
      <c r="C111" s="312"/>
      <c r="D111" s="312"/>
      <c r="E111" s="312" t="n">
        <v>0</v>
      </c>
      <c r="F111" s="312"/>
      <c r="G111" s="312"/>
      <c r="H111" s="312"/>
      <c r="J111" s="312" t="s">
        <v>117</v>
      </c>
      <c r="K111" s="312"/>
      <c r="L111" s="312"/>
      <c r="M111" s="312"/>
      <c r="N111" s="312"/>
      <c r="O111" s="312"/>
      <c r="P111" s="312"/>
      <c r="Q111" s="312"/>
      <c r="S111" s="312" t="s">
        <v>117</v>
      </c>
      <c r="T111" s="312"/>
      <c r="U111" s="312"/>
      <c r="V111" s="312"/>
      <c r="W111" s="312"/>
      <c r="X111" s="312"/>
      <c r="Y111" s="312"/>
      <c r="Z111" s="312"/>
      <c r="AB111" s="312" t="s">
        <v>117</v>
      </c>
      <c r="AC111" s="312"/>
      <c r="AD111" s="312"/>
      <c r="AE111" s="312"/>
      <c r="AF111" s="312"/>
      <c r="AG111" s="312"/>
      <c r="AH111" s="312"/>
      <c r="AI111" s="312"/>
    </row>
    <row r="112" customFormat="false" ht="17.35" hidden="false" customHeight="false" outlineLevel="0" collapsed="false">
      <c r="A112" s="293"/>
      <c r="B112" s="12"/>
      <c r="C112" s="12"/>
      <c r="D112" s="12"/>
      <c r="E112" s="308"/>
      <c r="F112" s="308"/>
      <c r="G112" s="308"/>
      <c r="H112" s="352"/>
      <c r="J112" s="293"/>
      <c r="K112" s="12"/>
      <c r="L112" s="12"/>
      <c r="M112" s="12"/>
      <c r="N112" s="308"/>
      <c r="O112" s="308"/>
      <c r="P112" s="308"/>
      <c r="Q112" s="352"/>
      <c r="S112" s="293"/>
      <c r="T112" s="12"/>
      <c r="U112" s="12"/>
      <c r="V112" s="12"/>
      <c r="W112" s="308"/>
      <c r="X112" s="308"/>
      <c r="Y112" s="308"/>
      <c r="Z112" s="352"/>
      <c r="AB112" s="293"/>
      <c r="AC112" s="12"/>
      <c r="AD112" s="12"/>
      <c r="AE112" s="12"/>
      <c r="AF112" s="308"/>
      <c r="AG112" s="308"/>
      <c r="AH112" s="308"/>
      <c r="AI112" s="352"/>
    </row>
    <row r="113" customFormat="false" ht="17.35" hidden="false" customHeight="false" outlineLevel="0" collapsed="false">
      <c r="A113" s="293" t="s">
        <v>119</v>
      </c>
      <c r="B113" s="12" t="s">
        <v>32</v>
      </c>
      <c r="C113" s="12"/>
      <c r="D113" s="12"/>
      <c r="E113" s="12" t="s">
        <v>132</v>
      </c>
      <c r="F113" s="12"/>
      <c r="G113" s="12"/>
      <c r="H113" s="11"/>
      <c r="J113" s="293" t="s">
        <v>119</v>
      </c>
      <c r="K113" s="12" t="s">
        <v>32</v>
      </c>
      <c r="L113" s="12"/>
      <c r="M113" s="12"/>
      <c r="N113" s="12" t="s">
        <v>132</v>
      </c>
      <c r="O113" s="12"/>
      <c r="P113" s="12"/>
      <c r="Q113" s="11"/>
      <c r="S113" s="293" t="s">
        <v>119</v>
      </c>
      <c r="T113" s="12" t="s">
        <v>32</v>
      </c>
      <c r="U113" s="12"/>
      <c r="V113" s="12"/>
      <c r="W113" s="12" t="s">
        <v>132</v>
      </c>
      <c r="X113" s="12"/>
      <c r="Y113" s="12"/>
      <c r="Z113" s="11"/>
      <c r="AB113" s="293" t="s">
        <v>119</v>
      </c>
      <c r="AC113" s="12" t="s">
        <v>32</v>
      </c>
      <c r="AD113" s="12"/>
      <c r="AE113" s="12"/>
      <c r="AF113" s="12" t="s">
        <v>132</v>
      </c>
      <c r="AG113" s="12"/>
      <c r="AH113" s="12"/>
      <c r="AI113" s="11"/>
    </row>
    <row r="114" customFormat="false" ht="17.35" hidden="false" customHeight="false" outlineLevel="0" collapsed="false">
      <c r="A114" s="313" t="s">
        <v>274</v>
      </c>
      <c r="B114" s="164" t="s">
        <v>118</v>
      </c>
      <c r="C114" s="164"/>
      <c r="D114" s="164"/>
      <c r="E114" s="45" t="s">
        <v>27</v>
      </c>
      <c r="F114" s="45"/>
      <c r="G114" s="45"/>
      <c r="H114" s="352"/>
      <c r="J114" s="313" t="s">
        <v>274</v>
      </c>
      <c r="K114" s="146" t="s">
        <v>118</v>
      </c>
      <c r="L114" s="146"/>
      <c r="M114" s="146"/>
      <c r="N114" s="45" t="s">
        <v>27</v>
      </c>
      <c r="O114" s="45"/>
      <c r="P114" s="45"/>
      <c r="Q114" s="352"/>
      <c r="S114" s="313" t="s">
        <v>274</v>
      </c>
      <c r="T114" s="164" t="s">
        <v>118</v>
      </c>
      <c r="U114" s="164"/>
      <c r="V114" s="164"/>
      <c r="W114" s="45" t="s">
        <v>27</v>
      </c>
      <c r="X114" s="45"/>
      <c r="Y114" s="45"/>
      <c r="Z114" s="352"/>
      <c r="AB114" s="313" t="s">
        <v>274</v>
      </c>
      <c r="AC114" s="164" t="s">
        <v>118</v>
      </c>
      <c r="AD114" s="164"/>
      <c r="AE114" s="164"/>
      <c r="AF114" s="45" t="s">
        <v>27</v>
      </c>
      <c r="AG114" s="45"/>
      <c r="AH114" s="45"/>
      <c r="AI114" s="352"/>
    </row>
    <row r="115" customFormat="false" ht="17.35" hidden="false" customHeight="false" outlineLevel="0" collapsed="false">
      <c r="A115" s="293"/>
      <c r="B115" s="12"/>
      <c r="C115" s="12"/>
      <c r="D115" s="308"/>
      <c r="E115" s="12"/>
      <c r="F115" s="12"/>
      <c r="G115" s="308"/>
      <c r="H115" s="11"/>
      <c r="J115" s="293"/>
      <c r="K115" s="12"/>
      <c r="L115" s="12"/>
      <c r="M115" s="308"/>
      <c r="N115" s="12"/>
      <c r="O115" s="12"/>
      <c r="P115" s="308"/>
      <c r="Q115" s="11"/>
      <c r="S115" s="293"/>
      <c r="T115" s="12"/>
      <c r="U115" s="12"/>
      <c r="V115" s="308"/>
      <c r="W115" s="12"/>
      <c r="X115" s="12"/>
      <c r="Y115" s="308"/>
      <c r="Z115" s="11"/>
      <c r="AB115" s="293"/>
      <c r="AC115" s="12"/>
      <c r="AD115" s="12"/>
      <c r="AE115" s="308"/>
      <c r="AF115" s="12"/>
      <c r="AG115" s="12"/>
      <c r="AH115" s="308"/>
      <c r="AI115" s="11"/>
    </row>
    <row r="116" customFormat="false" ht="17.35" hidden="false" customHeight="false" outlineLevel="0" collapsed="false">
      <c r="A116" s="293" t="s">
        <v>133</v>
      </c>
      <c r="B116" s="12" t="s">
        <v>275</v>
      </c>
      <c r="C116" s="12"/>
      <c r="D116" s="308"/>
      <c r="E116" s="12" t="s">
        <v>276</v>
      </c>
      <c r="F116" s="12"/>
      <c r="G116" s="308"/>
      <c r="H116" s="352"/>
      <c r="J116" s="293" t="s">
        <v>133</v>
      </c>
      <c r="K116" s="12" t="s">
        <v>275</v>
      </c>
      <c r="L116" s="12"/>
      <c r="M116" s="308"/>
      <c r="N116" s="12" t="s">
        <v>276</v>
      </c>
      <c r="O116" s="12"/>
      <c r="P116" s="308"/>
      <c r="Q116" s="352"/>
      <c r="S116" s="293" t="s">
        <v>133</v>
      </c>
      <c r="T116" s="12" t="s">
        <v>275</v>
      </c>
      <c r="U116" s="12"/>
      <c r="V116" s="308"/>
      <c r="W116" s="12" t="s">
        <v>276</v>
      </c>
      <c r="X116" s="12"/>
      <c r="Y116" s="308"/>
      <c r="Z116" s="352"/>
      <c r="AB116" s="293" t="s">
        <v>133</v>
      </c>
      <c r="AC116" s="12" t="s">
        <v>275</v>
      </c>
      <c r="AD116" s="12"/>
      <c r="AE116" s="308"/>
      <c r="AF116" s="12" t="s">
        <v>276</v>
      </c>
      <c r="AG116" s="12"/>
      <c r="AH116" s="308"/>
      <c r="AI116" s="352"/>
    </row>
    <row r="117" customFormat="false" ht="17.35" hidden="false" customHeight="false" outlineLevel="0" collapsed="false">
      <c r="A117" s="353" t="n">
        <v>0.2</v>
      </c>
      <c r="B117" s="113" t="s">
        <v>277</v>
      </c>
      <c r="C117" s="113"/>
      <c r="D117" s="113"/>
      <c r="E117" s="354" t="n">
        <f aca="false">B92</f>
        <v>0.137</v>
      </c>
      <c r="F117" s="354"/>
      <c r="G117" s="354"/>
      <c r="H117" s="318"/>
      <c r="J117" s="353" t="n">
        <v>0.3</v>
      </c>
      <c r="K117" s="113" t="s">
        <v>277</v>
      </c>
      <c r="L117" s="113"/>
      <c r="M117" s="113"/>
      <c r="N117" s="354" t="n">
        <f aca="false">K92</f>
        <v>0.24</v>
      </c>
      <c r="O117" s="354"/>
      <c r="P117" s="354"/>
      <c r="Q117" s="318"/>
      <c r="S117" s="353" t="n">
        <v>0.2</v>
      </c>
      <c r="T117" s="113" t="s">
        <v>278</v>
      </c>
      <c r="U117" s="113"/>
      <c r="V117" s="113"/>
      <c r="W117" s="354" t="n">
        <f aca="false">T92</f>
        <v>0.1235</v>
      </c>
      <c r="X117" s="354"/>
      <c r="Y117" s="354"/>
      <c r="Z117" s="318"/>
      <c r="AB117" s="353" t="n">
        <v>0.2</v>
      </c>
      <c r="AC117" s="113" t="s">
        <v>278</v>
      </c>
      <c r="AD117" s="113"/>
      <c r="AE117" s="113"/>
      <c r="AF117" s="355" t="n">
        <f aca="false">AC92</f>
        <v>0.1235</v>
      </c>
      <c r="AG117" s="355"/>
      <c r="AH117" s="355"/>
      <c r="AI117" s="318"/>
      <c r="AP117" s="288" t="s">
        <v>279</v>
      </c>
    </row>
    <row r="118" customFormat="false" ht="17.35" hidden="false" customHeight="false" outlineLevel="0" collapsed="false">
      <c r="A118" s="293"/>
      <c r="B118" s="12"/>
      <c r="C118" s="12"/>
      <c r="D118" s="12"/>
      <c r="E118" s="12"/>
      <c r="F118" s="12"/>
      <c r="G118" s="12"/>
      <c r="H118" s="11"/>
      <c r="J118" s="293"/>
      <c r="K118" s="12"/>
      <c r="L118" s="12"/>
      <c r="M118" s="12"/>
      <c r="N118" s="12"/>
      <c r="O118" s="12"/>
      <c r="P118" s="12"/>
      <c r="Q118" s="11"/>
      <c r="S118" s="293"/>
      <c r="T118" s="12"/>
      <c r="U118" s="12"/>
      <c r="V118" s="12"/>
      <c r="W118" s="12"/>
      <c r="X118" s="12"/>
      <c r="Y118" s="12"/>
      <c r="Z118" s="11"/>
      <c r="AB118" s="293"/>
      <c r="AC118" s="12"/>
      <c r="AD118" s="12"/>
      <c r="AE118" s="12"/>
      <c r="AF118" s="12"/>
      <c r="AG118" s="12"/>
      <c r="AH118" s="12"/>
      <c r="AI118" s="11"/>
      <c r="AP118" s="288" t="s">
        <v>277</v>
      </c>
    </row>
    <row r="119" customFormat="false" ht="17.35" hidden="false" customHeight="false" outlineLevel="0" collapsed="false">
      <c r="A119" s="293" t="s">
        <v>280</v>
      </c>
      <c r="B119" s="12" t="s">
        <v>145</v>
      </c>
      <c r="C119" s="12"/>
      <c r="D119" s="12"/>
      <c r="E119" s="12" t="s">
        <v>281</v>
      </c>
      <c r="F119" s="12"/>
      <c r="G119" s="12"/>
      <c r="H119" s="11"/>
      <c r="J119" s="293" t="s">
        <v>280</v>
      </c>
      <c r="K119" s="12" t="s">
        <v>145</v>
      </c>
      <c r="L119" s="12"/>
      <c r="M119" s="12"/>
      <c r="N119" s="12" t="s">
        <v>281</v>
      </c>
      <c r="O119" s="12"/>
      <c r="P119" s="12"/>
      <c r="Q119" s="11"/>
      <c r="S119" s="293" t="s">
        <v>280</v>
      </c>
      <c r="T119" s="12" t="s">
        <v>145</v>
      </c>
      <c r="U119" s="12"/>
      <c r="V119" s="12"/>
      <c r="W119" s="12" t="s">
        <v>281</v>
      </c>
      <c r="X119" s="12"/>
      <c r="Y119" s="12"/>
      <c r="Z119" s="11"/>
      <c r="AB119" s="293" t="s">
        <v>280</v>
      </c>
      <c r="AC119" s="12" t="s">
        <v>145</v>
      </c>
      <c r="AD119" s="12"/>
      <c r="AE119" s="12"/>
      <c r="AF119" s="12" t="s">
        <v>281</v>
      </c>
      <c r="AG119" s="12"/>
      <c r="AH119" s="12"/>
      <c r="AI119" s="11"/>
    </row>
    <row r="120" customFormat="false" ht="17.35" hidden="false" customHeight="false" outlineLevel="0" collapsed="false">
      <c r="A120" s="314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352"/>
      <c r="J120" s="314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352"/>
      <c r="S120" s="314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352"/>
      <c r="AB120" s="314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352"/>
    </row>
    <row r="121" customFormat="false" ht="17.35" hidden="false" customHeight="false" outlineLevel="0" collapsed="false">
      <c r="A121" s="293"/>
      <c r="B121" s="12"/>
      <c r="C121" s="12"/>
      <c r="D121" s="12"/>
      <c r="E121" s="12"/>
      <c r="F121" s="12"/>
      <c r="G121" s="308"/>
      <c r="H121" s="352"/>
      <c r="J121" s="293"/>
      <c r="K121" s="12"/>
      <c r="L121" s="12"/>
      <c r="M121" s="12"/>
      <c r="N121" s="12"/>
      <c r="O121" s="12"/>
      <c r="P121" s="308"/>
      <c r="Q121" s="352"/>
      <c r="S121" s="293"/>
      <c r="T121" s="12"/>
      <c r="U121" s="12"/>
      <c r="V121" s="12"/>
      <c r="W121" s="12"/>
      <c r="X121" s="12"/>
      <c r="Y121" s="308"/>
      <c r="Z121" s="352"/>
      <c r="AB121" s="293"/>
      <c r="AC121" s="12"/>
      <c r="AD121" s="12"/>
      <c r="AE121" s="12"/>
      <c r="AF121" s="12"/>
      <c r="AG121" s="12"/>
      <c r="AH121" s="308"/>
      <c r="AI121" s="352"/>
    </row>
    <row r="122" customFormat="false" ht="17.35" hidden="false" customHeight="false" outlineLevel="0" collapsed="false">
      <c r="A122" s="54" t="s">
        <v>282</v>
      </c>
      <c r="B122" s="12" t="s">
        <v>176</v>
      </c>
      <c r="C122" s="12"/>
      <c r="D122" s="12"/>
      <c r="E122" s="12" t="s">
        <v>134</v>
      </c>
      <c r="F122" s="12"/>
      <c r="G122" s="308"/>
      <c r="H122" s="352"/>
      <c r="J122" s="54" t="s">
        <v>282</v>
      </c>
      <c r="K122" s="12" t="s">
        <v>176</v>
      </c>
      <c r="L122" s="12"/>
      <c r="M122" s="12"/>
      <c r="N122" s="12" t="s">
        <v>134</v>
      </c>
      <c r="O122" s="12"/>
      <c r="P122" s="308"/>
      <c r="Q122" s="352"/>
      <c r="S122" s="54" t="s">
        <v>282</v>
      </c>
      <c r="T122" s="12" t="s">
        <v>176</v>
      </c>
      <c r="U122" s="12"/>
      <c r="V122" s="12"/>
      <c r="W122" s="12" t="s">
        <v>134</v>
      </c>
      <c r="X122" s="12"/>
      <c r="Y122" s="308"/>
      <c r="Z122" s="352"/>
      <c r="AB122" s="54" t="s">
        <v>282</v>
      </c>
      <c r="AC122" s="12" t="s">
        <v>176</v>
      </c>
      <c r="AD122" s="12"/>
      <c r="AE122" s="12"/>
      <c r="AF122" s="12" t="s">
        <v>134</v>
      </c>
      <c r="AG122" s="12"/>
      <c r="AH122" s="308"/>
      <c r="AI122" s="352"/>
    </row>
    <row r="123" customFormat="false" ht="17.35" hidden="false" customHeight="false" outlineLevel="0" collapsed="false">
      <c r="A123" s="141" t="n">
        <f aca="false">B120+E120</f>
        <v>0</v>
      </c>
      <c r="B123" s="113" t="n">
        <v>416.67</v>
      </c>
      <c r="C123" s="113"/>
      <c r="D123" s="113"/>
      <c r="E123" s="113" t="n">
        <v>0</v>
      </c>
      <c r="F123" s="113"/>
      <c r="G123" s="113"/>
      <c r="H123" s="352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352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352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352"/>
    </row>
    <row r="124" customFormat="false" ht="13.8" hidden="false" customHeight="false" outlineLevel="0" collapsed="false">
      <c r="A124" s="356"/>
      <c r="B124" s="308"/>
      <c r="C124" s="308"/>
      <c r="D124" s="308"/>
      <c r="E124" s="308"/>
      <c r="F124" s="308"/>
      <c r="G124" s="308"/>
      <c r="H124" s="352"/>
      <c r="J124" s="356"/>
      <c r="K124" s="308"/>
      <c r="L124" s="308"/>
      <c r="M124" s="308"/>
      <c r="N124" s="308"/>
      <c r="O124" s="308"/>
      <c r="P124" s="308"/>
      <c r="Q124" s="352"/>
      <c r="S124" s="356"/>
      <c r="T124" s="308"/>
      <c r="U124" s="308"/>
      <c r="V124" s="308"/>
      <c r="W124" s="308"/>
      <c r="X124" s="308"/>
      <c r="Y124" s="308"/>
      <c r="Z124" s="352"/>
      <c r="AB124" s="356"/>
      <c r="AC124" s="308"/>
      <c r="AD124" s="308"/>
      <c r="AE124" s="308"/>
      <c r="AF124" s="308"/>
      <c r="AG124" s="308"/>
      <c r="AH124" s="308"/>
      <c r="AI124" s="352"/>
    </row>
    <row r="125" customFormat="false" ht="13.8" hidden="false" customHeight="false" outlineLevel="0" collapsed="false">
      <c r="A125" s="356"/>
      <c r="B125" s="308"/>
      <c r="C125" s="308"/>
      <c r="D125" s="308"/>
      <c r="E125" s="308"/>
      <c r="F125" s="308"/>
      <c r="G125" s="308"/>
      <c r="H125" s="352"/>
      <c r="J125" s="356"/>
      <c r="K125" s="308"/>
      <c r="L125" s="308"/>
      <c r="M125" s="308"/>
      <c r="N125" s="308"/>
      <c r="O125" s="308"/>
      <c r="P125" s="308"/>
      <c r="Q125" s="352"/>
      <c r="S125" s="356"/>
      <c r="T125" s="308"/>
      <c r="U125" s="308"/>
      <c r="V125" s="308"/>
      <c r="W125" s="308"/>
      <c r="X125" s="308"/>
      <c r="Y125" s="308"/>
      <c r="Z125" s="352"/>
      <c r="AB125" s="356"/>
      <c r="AC125" s="308"/>
      <c r="AD125" s="308"/>
      <c r="AE125" s="308"/>
      <c r="AF125" s="308"/>
      <c r="AG125" s="308"/>
      <c r="AH125" s="308"/>
      <c r="AI125" s="352"/>
    </row>
    <row r="126" customFormat="false" ht="22.05" hidden="false" customHeight="false" outlineLevel="0" collapsed="false">
      <c r="A126" s="312" t="s">
        <v>283</v>
      </c>
      <c r="B126" s="312"/>
      <c r="C126" s="312"/>
      <c r="D126" s="312"/>
      <c r="E126" s="312"/>
      <c r="F126" s="312"/>
      <c r="G126" s="312"/>
      <c r="H126" s="312"/>
      <c r="J126" s="312" t="s">
        <v>283</v>
      </c>
      <c r="K126" s="312"/>
      <c r="L126" s="312"/>
      <c r="M126" s="312"/>
      <c r="N126" s="312"/>
      <c r="O126" s="312"/>
      <c r="P126" s="312"/>
      <c r="Q126" s="312"/>
      <c r="S126" s="312" t="s">
        <v>283</v>
      </c>
      <c r="T126" s="312"/>
      <c r="U126" s="312"/>
      <c r="V126" s="312"/>
      <c r="W126" s="312"/>
      <c r="X126" s="312"/>
      <c r="Y126" s="312"/>
      <c r="Z126" s="312"/>
      <c r="AB126" s="312" t="s">
        <v>283</v>
      </c>
      <c r="AC126" s="312"/>
      <c r="AD126" s="312"/>
      <c r="AE126" s="312"/>
      <c r="AF126" s="312"/>
      <c r="AG126" s="312"/>
      <c r="AH126" s="312"/>
      <c r="AI126" s="312"/>
    </row>
    <row r="127" customFormat="false" ht="13.8" hidden="false" customHeight="false" outlineLevel="0" collapsed="false">
      <c r="A127" s="356"/>
      <c r="B127" s="308"/>
      <c r="C127" s="308"/>
      <c r="D127" s="308"/>
      <c r="E127" s="308"/>
      <c r="F127" s="308"/>
      <c r="G127" s="308"/>
      <c r="H127" s="352"/>
      <c r="J127" s="356"/>
      <c r="K127" s="308"/>
      <c r="L127" s="308"/>
      <c r="M127" s="308"/>
      <c r="N127" s="308"/>
      <c r="O127" s="308"/>
      <c r="P127" s="308"/>
      <c r="Q127" s="352"/>
      <c r="S127" s="356"/>
      <c r="T127" s="308"/>
      <c r="U127" s="308"/>
      <c r="V127" s="308"/>
      <c r="W127" s="308"/>
      <c r="X127" s="308"/>
      <c r="Y127" s="308"/>
      <c r="Z127" s="352"/>
      <c r="AB127" s="356"/>
      <c r="AC127" s="308"/>
      <c r="AD127" s="308"/>
      <c r="AE127" s="308"/>
      <c r="AF127" s="308"/>
      <c r="AG127" s="308"/>
      <c r="AH127" s="308"/>
      <c r="AI127" s="352"/>
    </row>
    <row r="128" customFormat="false" ht="19.7" hidden="false" customHeight="false" outlineLevel="0" collapsed="false">
      <c r="A128" s="336"/>
      <c r="B128" s="357" t="s">
        <v>1</v>
      </c>
      <c r="C128" s="357"/>
      <c r="D128" s="357" t="s">
        <v>2</v>
      </c>
      <c r="E128" s="357"/>
      <c r="F128" s="357" t="s">
        <v>3</v>
      </c>
      <c r="G128" s="357"/>
      <c r="H128" s="358" t="s">
        <v>4</v>
      </c>
      <c r="J128" s="336"/>
      <c r="K128" s="357" t="s">
        <v>1</v>
      </c>
      <c r="L128" s="357"/>
      <c r="M128" s="357" t="s">
        <v>2</v>
      </c>
      <c r="N128" s="357"/>
      <c r="O128" s="357" t="s">
        <v>3</v>
      </c>
      <c r="P128" s="357"/>
      <c r="Q128" s="358" t="s">
        <v>4</v>
      </c>
      <c r="S128" s="336"/>
      <c r="T128" s="357" t="s">
        <v>1</v>
      </c>
      <c r="U128" s="357"/>
      <c r="V128" s="357" t="s">
        <v>2</v>
      </c>
      <c r="W128" s="357"/>
      <c r="X128" s="357" t="s">
        <v>3</v>
      </c>
      <c r="Y128" s="357"/>
      <c r="Z128" s="358" t="s">
        <v>4</v>
      </c>
      <c r="AB128" s="336"/>
      <c r="AC128" s="357" t="s">
        <v>1</v>
      </c>
      <c r="AD128" s="357"/>
      <c r="AE128" s="357" t="s">
        <v>2</v>
      </c>
      <c r="AF128" s="357"/>
      <c r="AG128" s="357" t="s">
        <v>3</v>
      </c>
      <c r="AH128" s="357"/>
      <c r="AI128" s="358" t="s">
        <v>4</v>
      </c>
    </row>
    <row r="129" customFormat="false" ht="19.7" hidden="false" customHeight="false" outlineLevel="0" collapsed="false">
      <c r="A129" s="290"/>
      <c r="B129" s="359" t="s">
        <v>284</v>
      </c>
      <c r="C129" s="360" t="s">
        <v>285</v>
      </c>
      <c r="D129" s="359" t="s">
        <v>284</v>
      </c>
      <c r="E129" s="361" t="s">
        <v>285</v>
      </c>
      <c r="F129" s="359" t="s">
        <v>284</v>
      </c>
      <c r="G129" s="361" t="s">
        <v>285</v>
      </c>
      <c r="H129" s="362"/>
      <c r="J129" s="290"/>
      <c r="K129" s="359" t="s">
        <v>284</v>
      </c>
      <c r="L129" s="360" t="s">
        <v>285</v>
      </c>
      <c r="M129" s="359" t="s">
        <v>284</v>
      </c>
      <c r="N129" s="361" t="s">
        <v>285</v>
      </c>
      <c r="O129" s="359" t="s">
        <v>284</v>
      </c>
      <c r="P129" s="361" t="s">
        <v>285</v>
      </c>
      <c r="Q129" s="362"/>
      <c r="S129" s="290"/>
      <c r="T129" s="359" t="s">
        <v>284</v>
      </c>
      <c r="U129" s="360" t="s">
        <v>285</v>
      </c>
      <c r="V129" s="359" t="s">
        <v>284</v>
      </c>
      <c r="W129" s="361" t="s">
        <v>285</v>
      </c>
      <c r="X129" s="359" t="s">
        <v>284</v>
      </c>
      <c r="Y129" s="361" t="s">
        <v>285</v>
      </c>
      <c r="Z129" s="362"/>
      <c r="AB129" s="290"/>
      <c r="AC129" s="359" t="s">
        <v>284</v>
      </c>
      <c r="AD129" s="360" t="s">
        <v>285</v>
      </c>
      <c r="AE129" s="359" t="s">
        <v>284</v>
      </c>
      <c r="AF129" s="361" t="s">
        <v>285</v>
      </c>
      <c r="AG129" s="359" t="s">
        <v>284</v>
      </c>
      <c r="AH129" s="361" t="s">
        <v>285</v>
      </c>
      <c r="AI129" s="362"/>
    </row>
    <row r="130" customFormat="false" ht="17.35" hidden="false" customHeight="false" outlineLevel="0" collapsed="false">
      <c r="A130" s="310" t="s">
        <v>5</v>
      </c>
      <c r="B130" s="310" t="n">
        <f aca="false">B3</f>
        <v>46854.17</v>
      </c>
      <c r="C130" s="314" t="n">
        <f aca="false">B130</f>
        <v>46854.17</v>
      </c>
      <c r="D130" s="310" t="n">
        <f aca="false">D3</f>
        <v>0</v>
      </c>
      <c r="E130" s="314" t="n">
        <f aca="false">D130</f>
        <v>0</v>
      </c>
      <c r="F130" s="310" t="n">
        <f aca="false">F3</f>
        <v>833.33</v>
      </c>
      <c r="G130" s="314" t="n">
        <f aca="false">F130</f>
        <v>833.33</v>
      </c>
      <c r="H130" s="363" t="n">
        <f aca="false">H3</f>
        <v>0</v>
      </c>
      <c r="J130" s="310" t="s">
        <v>5</v>
      </c>
      <c r="K130" s="310" t="n">
        <f aca="false">B3</f>
        <v>46854.17</v>
      </c>
      <c r="L130" s="314" t="n">
        <v>28629.17</v>
      </c>
      <c r="M130" s="310" t="n">
        <f aca="false">D3</f>
        <v>0</v>
      </c>
      <c r="N130" s="314" t="n">
        <f aca="false">M130</f>
        <v>0</v>
      </c>
      <c r="O130" s="310" t="n">
        <f aca="false">F3</f>
        <v>833.33</v>
      </c>
      <c r="P130" s="314" t="n">
        <f aca="false">O130</f>
        <v>833.33</v>
      </c>
      <c r="Q130" s="363" t="n">
        <f aca="false">H3</f>
        <v>0</v>
      </c>
      <c r="S130" s="310" t="s">
        <v>5</v>
      </c>
      <c r="T130" s="310" t="n">
        <f aca="false">B3</f>
        <v>46854.17</v>
      </c>
      <c r="U130" s="314" t="n">
        <f aca="false">T130</f>
        <v>46854.17</v>
      </c>
      <c r="V130" s="310" t="n">
        <f aca="false">D3</f>
        <v>0</v>
      </c>
      <c r="W130" s="314" t="n">
        <f aca="false">V130</f>
        <v>0</v>
      </c>
      <c r="X130" s="310" t="n">
        <f aca="false">F3</f>
        <v>833.33</v>
      </c>
      <c r="Y130" s="314" t="n">
        <f aca="false">X130</f>
        <v>833.33</v>
      </c>
      <c r="Z130" s="363" t="n">
        <f aca="false">H3</f>
        <v>0</v>
      </c>
      <c r="AB130" s="310" t="s">
        <v>5</v>
      </c>
      <c r="AC130" s="310" t="n">
        <f aca="false">B3</f>
        <v>46854.17</v>
      </c>
      <c r="AD130" s="314" t="n">
        <f aca="false">AC130</f>
        <v>46854.17</v>
      </c>
      <c r="AE130" s="310" t="n">
        <f aca="false">D3</f>
        <v>0</v>
      </c>
      <c r="AF130" s="314" t="n">
        <f aca="false">AE130</f>
        <v>0</v>
      </c>
      <c r="AG130" s="310" t="n">
        <f aca="false">F3</f>
        <v>833.33</v>
      </c>
      <c r="AH130" s="314" t="n">
        <f aca="false">AG130</f>
        <v>833.33</v>
      </c>
      <c r="AI130" s="363" t="n">
        <f aca="false">H3</f>
        <v>0</v>
      </c>
    </row>
    <row r="131" customFormat="false" ht="17.35" hidden="false" customHeight="false" outlineLevel="0" collapsed="false">
      <c r="A131" s="293" t="s">
        <v>6</v>
      </c>
      <c r="B131" s="364" t="n">
        <f aca="false">B4</f>
        <v>0</v>
      </c>
      <c r="C131" s="365" t="n">
        <v>0</v>
      </c>
      <c r="D131" s="364" t="n">
        <f aca="false">D4</f>
        <v>0</v>
      </c>
      <c r="E131" s="365" t="n">
        <v>0</v>
      </c>
      <c r="F131" s="364" t="n">
        <f aca="false">F4</f>
        <v>0</v>
      </c>
      <c r="G131" s="365" t="n">
        <v>0</v>
      </c>
      <c r="H131" s="297"/>
      <c r="J131" s="293" t="s">
        <v>6</v>
      </c>
      <c r="K131" s="364" t="n">
        <f aca="false">B4</f>
        <v>0</v>
      </c>
      <c r="L131" s="365" t="n">
        <v>0</v>
      </c>
      <c r="M131" s="364" t="n">
        <f aca="false">D4</f>
        <v>0</v>
      </c>
      <c r="N131" s="365" t="n">
        <f aca="false">M131</f>
        <v>0</v>
      </c>
      <c r="O131" s="364" t="n">
        <f aca="false">F4</f>
        <v>0</v>
      </c>
      <c r="P131" s="365" t="n">
        <f aca="false">O131</f>
        <v>0</v>
      </c>
      <c r="Q131" s="297"/>
      <c r="S131" s="293" t="s">
        <v>6</v>
      </c>
      <c r="T131" s="364" t="n">
        <f aca="false">B4</f>
        <v>0</v>
      </c>
      <c r="U131" s="365" t="n">
        <v>0.25</v>
      </c>
      <c r="V131" s="364" t="n">
        <f aca="false">D4</f>
        <v>0</v>
      </c>
      <c r="W131" s="365" t="n">
        <f aca="false">V131</f>
        <v>0</v>
      </c>
      <c r="X131" s="364" t="n">
        <f aca="false">F4</f>
        <v>0</v>
      </c>
      <c r="Y131" s="365" t="n">
        <f aca="false">X131</f>
        <v>0</v>
      </c>
      <c r="Z131" s="297"/>
      <c r="AB131" s="293" t="s">
        <v>6</v>
      </c>
      <c r="AC131" s="364" t="n">
        <f aca="false">B4</f>
        <v>0</v>
      </c>
      <c r="AD131" s="365" t="n">
        <v>0.25</v>
      </c>
      <c r="AE131" s="364" t="n">
        <f aca="false">D4</f>
        <v>0</v>
      </c>
      <c r="AF131" s="365" t="n">
        <f aca="false">AE131</f>
        <v>0</v>
      </c>
      <c r="AG131" s="364" t="n">
        <f aca="false">F4</f>
        <v>0</v>
      </c>
      <c r="AH131" s="365" t="n">
        <f aca="false">AG131</f>
        <v>0</v>
      </c>
      <c r="AI131" s="297"/>
    </row>
    <row r="132" customFormat="false" ht="17.35" hidden="false" customHeight="false" outlineLevel="0" collapsed="false">
      <c r="A132" s="293" t="s">
        <v>7</v>
      </c>
      <c r="B132" s="293" t="n">
        <f aca="false">B5</f>
        <v>0</v>
      </c>
      <c r="C132" s="314" t="n">
        <v>0</v>
      </c>
      <c r="D132" s="293" t="n">
        <f aca="false">D5</f>
        <v>0</v>
      </c>
      <c r="E132" s="314" t="n">
        <v>0</v>
      </c>
      <c r="F132" s="293" t="n">
        <f aca="false">F5</f>
        <v>0</v>
      </c>
      <c r="G132" s="314" t="n">
        <v>0</v>
      </c>
      <c r="H132" s="11"/>
      <c r="J132" s="293" t="s">
        <v>7</v>
      </c>
      <c r="K132" s="293" t="n">
        <f aca="false">B5</f>
        <v>0</v>
      </c>
      <c r="L132" s="314" t="n">
        <v>0</v>
      </c>
      <c r="M132" s="293" t="n">
        <f aca="false">D5</f>
        <v>0</v>
      </c>
      <c r="N132" s="314" t="n">
        <f aca="false">M132</f>
        <v>0</v>
      </c>
      <c r="O132" s="293" t="n">
        <f aca="false">F5</f>
        <v>0</v>
      </c>
      <c r="P132" s="314" t="n">
        <f aca="false">O132</f>
        <v>0</v>
      </c>
      <c r="Q132" s="11"/>
      <c r="S132" s="293" t="s">
        <v>7</v>
      </c>
      <c r="T132" s="293" t="n">
        <f aca="false">B5</f>
        <v>0</v>
      </c>
      <c r="U132" s="314" t="n">
        <v>0</v>
      </c>
      <c r="V132" s="293" t="n">
        <f aca="false">D5</f>
        <v>0</v>
      </c>
      <c r="W132" s="314" t="n">
        <f aca="false">V132</f>
        <v>0</v>
      </c>
      <c r="X132" s="293" t="n">
        <f aca="false">F5</f>
        <v>0</v>
      </c>
      <c r="Y132" s="314" t="n">
        <f aca="false">X132</f>
        <v>0</v>
      </c>
      <c r="Z132" s="11"/>
      <c r="AB132" s="293" t="s">
        <v>7</v>
      </c>
      <c r="AC132" s="293" t="n">
        <f aca="false">B5</f>
        <v>0</v>
      </c>
      <c r="AD132" s="314" t="n">
        <v>0</v>
      </c>
      <c r="AE132" s="293" t="n">
        <f aca="false">D5</f>
        <v>0</v>
      </c>
      <c r="AF132" s="314" t="n">
        <f aca="false">AE132</f>
        <v>0</v>
      </c>
      <c r="AG132" s="293" t="n">
        <f aca="false">F5</f>
        <v>0</v>
      </c>
      <c r="AH132" s="314" t="n">
        <f aca="false">AG132</f>
        <v>0</v>
      </c>
      <c r="AI132" s="11"/>
    </row>
    <row r="133" customFormat="false" ht="17.35" hidden="false" customHeight="false" outlineLevel="0" collapsed="false">
      <c r="A133" s="293" t="s">
        <v>8</v>
      </c>
      <c r="B133" s="293" t="n">
        <f aca="false">(B130*B131)+B132</f>
        <v>0</v>
      </c>
      <c r="C133" s="103" t="n">
        <f aca="false">(C130*C131)+C132</f>
        <v>0</v>
      </c>
      <c r="D133" s="293" t="n">
        <f aca="false">(D130*D131)+D132</f>
        <v>0</v>
      </c>
      <c r="E133" s="103" t="n">
        <f aca="false">(E130*E131)+E132</f>
        <v>0</v>
      </c>
      <c r="F133" s="293" t="n">
        <f aca="false">(F130*F131)+F132</f>
        <v>0</v>
      </c>
      <c r="G133" s="103" t="n">
        <f aca="false">(G130*G131)+G132</f>
        <v>0</v>
      </c>
      <c r="H133" s="11"/>
      <c r="J133" s="293" t="s">
        <v>8</v>
      </c>
      <c r="K133" s="293" t="n">
        <f aca="false">(K130*K131)+K132</f>
        <v>0</v>
      </c>
      <c r="L133" s="103" t="n">
        <f aca="false">(L130*L131)+L132</f>
        <v>0</v>
      </c>
      <c r="M133" s="293" t="n">
        <f aca="false">(M130*M131)+M132</f>
        <v>0</v>
      </c>
      <c r="N133" s="103" t="n">
        <f aca="false">(N130*N131)+N132</f>
        <v>0</v>
      </c>
      <c r="O133" s="293" t="n">
        <f aca="false">(O130*O131)+O132</f>
        <v>0</v>
      </c>
      <c r="P133" s="103" t="n">
        <f aca="false">(P130*P131)+P132</f>
        <v>0</v>
      </c>
      <c r="Q133" s="11"/>
      <c r="S133" s="293" t="s">
        <v>8</v>
      </c>
      <c r="T133" s="293" t="n">
        <f aca="false">(T130*T131)+T132</f>
        <v>0</v>
      </c>
      <c r="U133" s="103" t="n">
        <f aca="false">(U130*U131)+U132</f>
        <v>11713.5425</v>
      </c>
      <c r="V133" s="293" t="n">
        <f aca="false">(V130*V131)+V132</f>
        <v>0</v>
      </c>
      <c r="W133" s="103" t="n">
        <f aca="false">(W130*W131)+W132</f>
        <v>0</v>
      </c>
      <c r="X133" s="293" t="n">
        <f aca="false">(X130*X131)+X132</f>
        <v>0</v>
      </c>
      <c r="Y133" s="103" t="n">
        <f aca="false">(Y130*Y131)+Y132</f>
        <v>0</v>
      </c>
      <c r="Z133" s="11"/>
      <c r="AB133" s="293" t="s">
        <v>8</v>
      </c>
      <c r="AC133" s="293" t="n">
        <f aca="false">(AC130*AC131)+AC132</f>
        <v>0</v>
      </c>
      <c r="AD133" s="103" t="n">
        <f aca="false">(AD130*AD131)+AD132</f>
        <v>11713.5425</v>
      </c>
      <c r="AE133" s="293" t="n">
        <f aca="false">(AE130*AE131)+AE132</f>
        <v>0</v>
      </c>
      <c r="AF133" s="103" t="n">
        <f aca="false">(AF130*AF131)+AF132</f>
        <v>0</v>
      </c>
      <c r="AG133" s="293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321" t="s">
        <v>9</v>
      </c>
      <c r="B134" s="321" t="n">
        <f aca="false">B130-B133</f>
        <v>46854.17</v>
      </c>
      <c r="C134" s="85" t="n">
        <f aca="false">C130-C133</f>
        <v>46854.17</v>
      </c>
      <c r="D134" s="321" t="n">
        <f aca="false">D130-D133</f>
        <v>0</v>
      </c>
      <c r="E134" s="85" t="n">
        <f aca="false">E130-E133</f>
        <v>0</v>
      </c>
      <c r="F134" s="321" t="n">
        <f aca="false">F130-F133</f>
        <v>833.33</v>
      </c>
      <c r="G134" s="85" t="n">
        <f aca="false">G130-G133</f>
        <v>833.33</v>
      </c>
      <c r="H134" s="85"/>
      <c r="J134" s="321" t="s">
        <v>9</v>
      </c>
      <c r="K134" s="321" t="n">
        <f aca="false">K130-K133</f>
        <v>46854.17</v>
      </c>
      <c r="L134" s="85" t="n">
        <f aca="false">L130-L133</f>
        <v>28629.17</v>
      </c>
      <c r="M134" s="321" t="n">
        <f aca="false">M130-M133</f>
        <v>0</v>
      </c>
      <c r="N134" s="85" t="n">
        <f aca="false">N130-N133</f>
        <v>0</v>
      </c>
      <c r="O134" s="321" t="n">
        <f aca="false">O130-O133</f>
        <v>833.33</v>
      </c>
      <c r="P134" s="85" t="n">
        <f aca="false">P130-P133</f>
        <v>833.33</v>
      </c>
      <c r="Q134" s="85"/>
      <c r="S134" s="321" t="s">
        <v>9</v>
      </c>
      <c r="T134" s="321" t="n">
        <f aca="false">T130-T133</f>
        <v>46854.17</v>
      </c>
      <c r="U134" s="85" t="n">
        <f aca="false">U130-U133</f>
        <v>35140.6275</v>
      </c>
      <c r="V134" s="321" t="n">
        <f aca="false">V130-V133</f>
        <v>0</v>
      </c>
      <c r="W134" s="85" t="n">
        <f aca="false">W130-W133</f>
        <v>0</v>
      </c>
      <c r="X134" s="321" t="n">
        <f aca="false">X130-X133</f>
        <v>833.33</v>
      </c>
      <c r="Y134" s="85" t="n">
        <f aca="false">Y130-Y133</f>
        <v>833.33</v>
      </c>
      <c r="Z134" s="85"/>
      <c r="AB134" s="321" t="s">
        <v>9</v>
      </c>
      <c r="AC134" s="321" t="n">
        <f aca="false">AC130-AC133</f>
        <v>46854.17</v>
      </c>
      <c r="AD134" s="85" t="n">
        <f aca="false">AD130-AD133</f>
        <v>35140.6275</v>
      </c>
      <c r="AE134" s="321" t="n">
        <f aca="false">AE130-AE133</f>
        <v>0</v>
      </c>
      <c r="AF134" s="85" t="n">
        <f aca="false">AF130-AF133</f>
        <v>0</v>
      </c>
      <c r="AG134" s="321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293"/>
      <c r="B135" s="12"/>
      <c r="C135" s="12"/>
      <c r="D135" s="12"/>
      <c r="E135" s="12"/>
      <c r="F135" s="12"/>
      <c r="G135" s="12"/>
      <c r="H135" s="11"/>
      <c r="J135" s="293"/>
      <c r="K135" s="12"/>
      <c r="L135" s="12"/>
      <c r="M135" s="12"/>
      <c r="N135" s="12"/>
      <c r="O135" s="12"/>
      <c r="P135" s="12"/>
      <c r="Q135" s="11"/>
      <c r="S135" s="293"/>
      <c r="T135" s="12"/>
      <c r="U135" s="12"/>
      <c r="V135" s="12"/>
      <c r="W135" s="12"/>
      <c r="X135" s="12"/>
      <c r="Y135" s="12"/>
      <c r="Z135" s="11"/>
      <c r="AB135" s="293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366"/>
      <c r="B136" s="367"/>
      <c r="C136" s="367"/>
      <c r="D136" s="367"/>
      <c r="E136" s="367"/>
      <c r="F136" s="367"/>
      <c r="G136" s="299" t="s">
        <v>284</v>
      </c>
      <c r="H136" s="368" t="s">
        <v>285</v>
      </c>
      <c r="J136" s="366"/>
      <c r="K136" s="367"/>
      <c r="L136" s="367"/>
      <c r="M136" s="367"/>
      <c r="N136" s="367"/>
      <c r="O136" s="367"/>
      <c r="P136" s="299" t="s">
        <v>284</v>
      </c>
      <c r="Q136" s="368" t="s">
        <v>285</v>
      </c>
      <c r="S136" s="366"/>
      <c r="T136" s="367"/>
      <c r="U136" s="367"/>
      <c r="V136" s="367"/>
      <c r="W136" s="367"/>
      <c r="X136" s="367"/>
      <c r="Y136" s="299" t="s">
        <v>284</v>
      </c>
      <c r="Z136" s="368" t="s">
        <v>285</v>
      </c>
      <c r="AB136" s="366"/>
      <c r="AC136" s="367"/>
      <c r="AD136" s="367"/>
      <c r="AE136" s="367"/>
      <c r="AF136" s="367"/>
      <c r="AG136" s="367"/>
      <c r="AH136" s="299" t="s">
        <v>284</v>
      </c>
      <c r="AI136" s="368" t="s">
        <v>285</v>
      </c>
    </row>
    <row r="137" customFormat="false" ht="17.35" hidden="false" customHeight="false" outlineLevel="0" collapsed="false">
      <c r="A137" s="369" t="s">
        <v>286</v>
      </c>
      <c r="B137" s="370"/>
      <c r="C137" s="370"/>
      <c r="D137" s="370"/>
      <c r="E137" s="370"/>
      <c r="F137" s="370"/>
      <c r="G137" s="371" t="n">
        <f aca="false">H130</f>
        <v>0</v>
      </c>
      <c r="H137" s="372" t="n">
        <f aca="false">SUM(H140:H142)</f>
        <v>0</v>
      </c>
      <c r="J137" s="369" t="s">
        <v>286</v>
      </c>
      <c r="K137" s="370"/>
      <c r="L137" s="370"/>
      <c r="M137" s="370"/>
      <c r="N137" s="370"/>
      <c r="O137" s="370"/>
      <c r="P137" s="371" t="n">
        <f aca="false">Q130</f>
        <v>0</v>
      </c>
      <c r="Q137" s="372" t="n">
        <f aca="false">SUM(Q140:Q142)</f>
        <v>0</v>
      </c>
      <c r="S137" s="369" t="s">
        <v>286</v>
      </c>
      <c r="T137" s="370"/>
      <c r="U137" s="370"/>
      <c r="V137" s="370"/>
      <c r="W137" s="370"/>
      <c r="X137" s="370"/>
      <c r="Y137" s="371" t="n">
        <f aca="false">Z130</f>
        <v>0</v>
      </c>
      <c r="Z137" s="372" t="n">
        <f aca="false">SUM(Z140:Z142)</f>
        <v>0</v>
      </c>
      <c r="AB137" s="369" t="s">
        <v>286</v>
      </c>
      <c r="AC137" s="370"/>
      <c r="AD137" s="370"/>
      <c r="AE137" s="370"/>
      <c r="AF137" s="370"/>
      <c r="AG137" s="370"/>
      <c r="AH137" s="371" t="n">
        <f aca="false">AI130</f>
        <v>0</v>
      </c>
      <c r="AI137" s="372" t="n">
        <f aca="false">SUM(AI140:AI142)</f>
        <v>0</v>
      </c>
    </row>
    <row r="138" customFormat="false" ht="17.35" hidden="false" customHeight="false" outlineLevel="0" collapsed="false">
      <c r="A138" s="293"/>
      <c r="B138" s="12"/>
      <c r="C138" s="12"/>
      <c r="D138" s="12"/>
      <c r="E138" s="12"/>
      <c r="F138" s="12"/>
      <c r="G138" s="373"/>
      <c r="H138" s="374"/>
      <c r="J138" s="293"/>
      <c r="K138" s="12"/>
      <c r="L138" s="12"/>
      <c r="M138" s="12"/>
      <c r="N138" s="12"/>
      <c r="O138" s="12"/>
      <c r="P138" s="373"/>
      <c r="Q138" s="374"/>
      <c r="S138" s="293"/>
      <c r="T138" s="12"/>
      <c r="U138" s="12"/>
      <c r="V138" s="12"/>
      <c r="W138" s="12"/>
      <c r="X138" s="12"/>
      <c r="Y138" s="373"/>
      <c r="Z138" s="374"/>
      <c r="AB138" s="293"/>
      <c r="AC138" s="12"/>
      <c r="AD138" s="12"/>
      <c r="AE138" s="12"/>
      <c r="AF138" s="12"/>
      <c r="AG138" s="12"/>
      <c r="AH138" s="373"/>
      <c r="AI138" s="374"/>
    </row>
    <row r="139" customFormat="false" ht="17.35" hidden="false" customHeight="false" outlineLevel="0" collapsed="false">
      <c r="A139" s="375" t="s">
        <v>287</v>
      </c>
      <c r="B139" s="376" t="s">
        <v>288</v>
      </c>
      <c r="C139" s="376"/>
      <c r="D139" s="376" t="s">
        <v>289</v>
      </c>
      <c r="E139" s="376"/>
      <c r="F139" s="376" t="s">
        <v>7</v>
      </c>
      <c r="G139" s="376"/>
      <c r="H139" s="374" t="s">
        <v>285</v>
      </c>
      <c r="J139" s="375" t="s">
        <v>287</v>
      </c>
      <c r="K139" s="377" t="s">
        <v>288</v>
      </c>
      <c r="L139" s="377"/>
      <c r="M139" s="376" t="s">
        <v>289</v>
      </c>
      <c r="N139" s="376"/>
      <c r="O139" s="376" t="s">
        <v>7</v>
      </c>
      <c r="P139" s="376"/>
      <c r="Q139" s="374" t="s">
        <v>285</v>
      </c>
      <c r="S139" s="375" t="s">
        <v>287</v>
      </c>
      <c r="T139" s="376" t="s">
        <v>288</v>
      </c>
      <c r="U139" s="376"/>
      <c r="V139" s="376" t="s">
        <v>289</v>
      </c>
      <c r="W139" s="376"/>
      <c r="X139" s="376" t="s">
        <v>7</v>
      </c>
      <c r="Y139" s="376"/>
      <c r="Z139" s="374" t="s">
        <v>285</v>
      </c>
      <c r="AB139" s="375" t="s">
        <v>287</v>
      </c>
      <c r="AC139" s="376" t="s">
        <v>288</v>
      </c>
      <c r="AD139" s="376"/>
      <c r="AE139" s="376" t="s">
        <v>289</v>
      </c>
      <c r="AF139" s="376"/>
      <c r="AG139" s="376" t="s">
        <v>7</v>
      </c>
      <c r="AH139" s="376"/>
      <c r="AI139" s="374" t="s">
        <v>285</v>
      </c>
    </row>
    <row r="140" customFormat="false" ht="17.35" hidden="false" customHeight="false" outlineLevel="0" collapsed="false">
      <c r="A140" s="293" t="s">
        <v>290</v>
      </c>
      <c r="B140" s="182" t="n">
        <f aca="false">G137</f>
        <v>0</v>
      </c>
      <c r="C140" s="182"/>
      <c r="D140" s="378" t="n">
        <v>0</v>
      </c>
      <c r="E140" s="378"/>
      <c r="F140" s="182" t="n">
        <v>0</v>
      </c>
      <c r="G140" s="182"/>
      <c r="H140" s="151" t="n">
        <f aca="false">(B140-(B140*D140))-F140</f>
        <v>0</v>
      </c>
      <c r="J140" s="293" t="s">
        <v>290</v>
      </c>
      <c r="K140" s="182" t="n">
        <f aca="false">P137</f>
        <v>0</v>
      </c>
      <c r="L140" s="182"/>
      <c r="M140" s="378" t="n">
        <v>0</v>
      </c>
      <c r="N140" s="378"/>
      <c r="O140" s="182" t="n">
        <v>0</v>
      </c>
      <c r="P140" s="182"/>
      <c r="Q140" s="151" t="n">
        <f aca="false">(K140-(K140*M140))-O140</f>
        <v>0</v>
      </c>
      <c r="S140" s="293" t="s">
        <v>290</v>
      </c>
      <c r="T140" s="182" t="n">
        <f aca="false">Y137</f>
        <v>0</v>
      </c>
      <c r="U140" s="182"/>
      <c r="V140" s="378" t="n">
        <v>0</v>
      </c>
      <c r="W140" s="378"/>
      <c r="X140" s="182" t="n">
        <v>0</v>
      </c>
      <c r="Y140" s="182"/>
      <c r="Z140" s="151" t="n">
        <f aca="false">(T140-(T140*V140))-X140</f>
        <v>0</v>
      </c>
      <c r="AB140" s="293" t="s">
        <v>290</v>
      </c>
      <c r="AC140" s="182" t="n">
        <f aca="false">AH137</f>
        <v>0</v>
      </c>
      <c r="AD140" s="182"/>
      <c r="AE140" s="378" t="n">
        <v>0</v>
      </c>
      <c r="AF140" s="378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293" t="s">
        <v>291</v>
      </c>
      <c r="B141" s="182" t="n">
        <v>0</v>
      </c>
      <c r="C141" s="182"/>
      <c r="D141" s="378" t="n">
        <v>0</v>
      </c>
      <c r="E141" s="378"/>
      <c r="F141" s="182" t="n">
        <v>0</v>
      </c>
      <c r="G141" s="182"/>
      <c r="H141" s="151" t="n">
        <f aca="false">(B141-(B141*D141))-F141</f>
        <v>0</v>
      </c>
      <c r="J141" s="293" t="s">
        <v>291</v>
      </c>
      <c r="K141" s="182" t="n">
        <v>0</v>
      </c>
      <c r="L141" s="182"/>
      <c r="M141" s="378" t="n">
        <v>0</v>
      </c>
      <c r="N141" s="378"/>
      <c r="O141" s="182" t="n">
        <v>0</v>
      </c>
      <c r="P141" s="182"/>
      <c r="Q141" s="151" t="n">
        <f aca="false">(K141-(K141*M141))-O141</f>
        <v>0</v>
      </c>
      <c r="S141" s="293" t="s">
        <v>291</v>
      </c>
      <c r="T141" s="182" t="n">
        <v>0</v>
      </c>
      <c r="U141" s="182"/>
      <c r="V141" s="378" t="n">
        <v>0</v>
      </c>
      <c r="W141" s="378"/>
      <c r="X141" s="182" t="n">
        <v>0</v>
      </c>
      <c r="Y141" s="182"/>
      <c r="Z141" s="151" t="n">
        <f aca="false">(T141-(T141*V141))-X141</f>
        <v>0</v>
      </c>
      <c r="AB141" s="293" t="s">
        <v>291</v>
      </c>
      <c r="AC141" s="182" t="n">
        <v>0</v>
      </c>
      <c r="AD141" s="182"/>
      <c r="AE141" s="378" t="n">
        <v>0</v>
      </c>
      <c r="AF141" s="378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293" t="s">
        <v>292</v>
      </c>
      <c r="B142" s="182" t="n">
        <v>0</v>
      </c>
      <c r="C142" s="182"/>
      <c r="D142" s="378" t="n">
        <v>0</v>
      </c>
      <c r="E142" s="378"/>
      <c r="F142" s="182" t="n">
        <v>0</v>
      </c>
      <c r="G142" s="182"/>
      <c r="H142" s="151" t="n">
        <f aca="false">(B142-(B142*D142))-F142</f>
        <v>0</v>
      </c>
      <c r="J142" s="293" t="s">
        <v>292</v>
      </c>
      <c r="K142" s="182" t="n">
        <v>0</v>
      </c>
      <c r="L142" s="182"/>
      <c r="M142" s="378" t="n">
        <v>0</v>
      </c>
      <c r="N142" s="378"/>
      <c r="O142" s="182" t="n">
        <v>0</v>
      </c>
      <c r="P142" s="182"/>
      <c r="Q142" s="151" t="n">
        <f aca="false">(K142-(K142*M142))-O142</f>
        <v>0</v>
      </c>
      <c r="S142" s="293" t="s">
        <v>292</v>
      </c>
      <c r="T142" s="182" t="n">
        <v>0</v>
      </c>
      <c r="U142" s="182"/>
      <c r="V142" s="378" t="n">
        <v>0</v>
      </c>
      <c r="W142" s="378"/>
      <c r="X142" s="182" t="n">
        <v>0</v>
      </c>
      <c r="Y142" s="182"/>
      <c r="Z142" s="151" t="n">
        <f aca="false">(T142-(T142*V142))-X142</f>
        <v>0</v>
      </c>
      <c r="AB142" s="293" t="s">
        <v>292</v>
      </c>
      <c r="AC142" s="182" t="n">
        <v>0</v>
      </c>
      <c r="AD142" s="182"/>
      <c r="AE142" s="378" t="n">
        <v>0</v>
      </c>
      <c r="AF142" s="378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293"/>
      <c r="B143" s="12"/>
      <c r="C143" s="12"/>
      <c r="D143" s="12"/>
      <c r="E143" s="12"/>
      <c r="F143" s="12"/>
      <c r="G143" s="373"/>
      <c r="H143" s="374"/>
      <c r="J143" s="293"/>
      <c r="K143" s="12"/>
      <c r="L143" s="12"/>
      <c r="M143" s="12"/>
      <c r="N143" s="12"/>
      <c r="O143" s="12"/>
      <c r="P143" s="373"/>
      <c r="Q143" s="374"/>
      <c r="S143" s="293"/>
      <c r="T143" s="12"/>
      <c r="U143" s="12"/>
      <c r="V143" s="12"/>
      <c r="W143" s="12"/>
      <c r="X143" s="12"/>
      <c r="Y143" s="373"/>
      <c r="Z143" s="374"/>
      <c r="AB143" s="293"/>
      <c r="AC143" s="12"/>
      <c r="AD143" s="12"/>
      <c r="AE143" s="12"/>
      <c r="AF143" s="12"/>
      <c r="AG143" s="12"/>
      <c r="AH143" s="373"/>
      <c r="AI143" s="374"/>
    </row>
    <row r="144" customFormat="false" ht="19.7" hidden="false" customHeight="false" outlineLevel="0" collapsed="false">
      <c r="A144" s="298" t="s">
        <v>11</v>
      </c>
      <c r="B144" s="298"/>
      <c r="C144" s="298"/>
      <c r="D144" s="298"/>
      <c r="E144" s="298"/>
      <c r="F144" s="298"/>
      <c r="G144" s="299" t="n">
        <f aca="false">H9</f>
        <v>47687.5</v>
      </c>
      <c r="H144" s="379" t="n">
        <f aca="false">C134+E134+G134+H137</f>
        <v>47687.5</v>
      </c>
      <c r="J144" s="298" t="s">
        <v>11</v>
      </c>
      <c r="K144" s="298"/>
      <c r="L144" s="298"/>
      <c r="M144" s="298"/>
      <c r="N144" s="298"/>
      <c r="O144" s="298"/>
      <c r="P144" s="299" t="n">
        <f aca="false">H9</f>
        <v>47687.5</v>
      </c>
      <c r="Q144" s="379" t="n">
        <f aca="false">L134+N134+P134+Q137</f>
        <v>29462.5</v>
      </c>
      <c r="S144" s="298" t="s">
        <v>11</v>
      </c>
      <c r="T144" s="298"/>
      <c r="U144" s="298"/>
      <c r="V144" s="298"/>
      <c r="W144" s="298"/>
      <c r="X144" s="298"/>
      <c r="Y144" s="299" t="n">
        <f aca="false">H9</f>
        <v>47687.5</v>
      </c>
      <c r="Z144" s="379" t="n">
        <f aca="false">U134+W134+Y134+Z137</f>
        <v>35973.9575</v>
      </c>
      <c r="AB144" s="298" t="s">
        <v>11</v>
      </c>
      <c r="AC144" s="298"/>
      <c r="AD144" s="298"/>
      <c r="AE144" s="298"/>
      <c r="AF144" s="298"/>
      <c r="AG144" s="298"/>
      <c r="AH144" s="299" t="n">
        <f aca="false">H9</f>
        <v>47687.5</v>
      </c>
      <c r="AI144" s="379" t="n">
        <f aca="false">AD134+AF134+AH134+AI137</f>
        <v>35973.9575</v>
      </c>
    </row>
    <row r="145" customFormat="false" ht="17.35" hidden="false" customHeight="false" outlineLevel="0" collapsed="false">
      <c r="A145" s="301" t="s">
        <v>12</v>
      </c>
      <c r="B145" s="301"/>
      <c r="C145" s="301"/>
      <c r="D145" s="301"/>
      <c r="E145" s="301"/>
      <c r="F145" s="301"/>
      <c r="G145" s="302" t="n">
        <f aca="false">H10</f>
        <v>550</v>
      </c>
      <c r="H145" s="11" t="n">
        <f aca="false">G145</f>
        <v>550</v>
      </c>
      <c r="J145" s="301" t="s">
        <v>12</v>
      </c>
      <c r="K145" s="301"/>
      <c r="L145" s="301"/>
      <c r="M145" s="301"/>
      <c r="N145" s="301"/>
      <c r="O145" s="301"/>
      <c r="P145" s="302" t="n">
        <f aca="false">H10</f>
        <v>550</v>
      </c>
      <c r="Q145" s="11" t="n">
        <f aca="false">P145</f>
        <v>550</v>
      </c>
      <c r="S145" s="301" t="s">
        <v>12</v>
      </c>
      <c r="T145" s="301"/>
      <c r="U145" s="301"/>
      <c r="V145" s="301"/>
      <c r="W145" s="301"/>
      <c r="X145" s="301"/>
      <c r="Y145" s="302" t="n">
        <f aca="false">H10</f>
        <v>550</v>
      </c>
      <c r="Z145" s="11" t="n">
        <f aca="false">Y145</f>
        <v>550</v>
      </c>
      <c r="AB145" s="301" t="s">
        <v>12</v>
      </c>
      <c r="AC145" s="301"/>
      <c r="AD145" s="301"/>
      <c r="AE145" s="301"/>
      <c r="AF145" s="301"/>
      <c r="AG145" s="301"/>
      <c r="AH145" s="302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301" t="s">
        <v>14</v>
      </c>
      <c r="B146" s="301"/>
      <c r="C146" s="301"/>
      <c r="D146" s="301"/>
      <c r="E146" s="301"/>
      <c r="F146" s="301"/>
      <c r="G146" s="302" t="n">
        <f aca="false">H11</f>
        <v>9647.5</v>
      </c>
      <c r="H146" s="11" t="n">
        <f aca="false">(H144+H145)*20%</f>
        <v>9647.5</v>
      </c>
      <c r="J146" s="301" t="s">
        <v>14</v>
      </c>
      <c r="K146" s="301"/>
      <c r="L146" s="301"/>
      <c r="M146" s="301"/>
      <c r="N146" s="301"/>
      <c r="O146" s="301"/>
      <c r="P146" s="302" t="n">
        <f aca="false">H11</f>
        <v>9647.5</v>
      </c>
      <c r="Q146" s="11" t="n">
        <f aca="false">(Q144+Q145)*20%</f>
        <v>6002.5</v>
      </c>
      <c r="S146" s="301" t="s">
        <v>14</v>
      </c>
      <c r="T146" s="301"/>
      <c r="U146" s="301"/>
      <c r="V146" s="301"/>
      <c r="W146" s="301"/>
      <c r="X146" s="301"/>
      <c r="Y146" s="302" t="n">
        <f aca="false">H11</f>
        <v>9647.5</v>
      </c>
      <c r="Z146" s="11" t="n">
        <f aca="false">(Z144+Z145)*20%</f>
        <v>7304.7915</v>
      </c>
      <c r="AB146" s="301" t="s">
        <v>14</v>
      </c>
      <c r="AC146" s="301"/>
      <c r="AD146" s="301"/>
      <c r="AE146" s="301"/>
      <c r="AF146" s="301"/>
      <c r="AG146" s="301"/>
      <c r="AH146" s="302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301" t="s">
        <v>15</v>
      </c>
      <c r="B147" s="301"/>
      <c r="C147" s="301"/>
      <c r="D147" s="301"/>
      <c r="E147" s="301"/>
      <c r="F147" s="301"/>
      <c r="G147" s="302" t="n">
        <f aca="false">H12</f>
        <v>0</v>
      </c>
      <c r="H147" s="11" t="n">
        <v>0</v>
      </c>
      <c r="J147" s="301" t="s">
        <v>15</v>
      </c>
      <c r="K147" s="301"/>
      <c r="L147" s="301"/>
      <c r="M147" s="301"/>
      <c r="N147" s="301"/>
      <c r="O147" s="301"/>
      <c r="P147" s="302" t="n">
        <f aca="false">H12</f>
        <v>0</v>
      </c>
      <c r="Q147" s="11" t="n">
        <f aca="false">P147</f>
        <v>0</v>
      </c>
      <c r="S147" s="301" t="s">
        <v>15</v>
      </c>
      <c r="T147" s="301"/>
      <c r="U147" s="301"/>
      <c r="V147" s="301"/>
      <c r="W147" s="301"/>
      <c r="X147" s="301"/>
      <c r="Y147" s="302" t="n">
        <f aca="false">H12</f>
        <v>0</v>
      </c>
      <c r="Z147" s="11" t="n">
        <f aca="false">Y147</f>
        <v>0</v>
      </c>
      <c r="AB147" s="301" t="s">
        <v>15</v>
      </c>
      <c r="AC147" s="301"/>
      <c r="AD147" s="301"/>
      <c r="AE147" s="301"/>
      <c r="AF147" s="301"/>
      <c r="AG147" s="301"/>
      <c r="AH147" s="302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301" t="s">
        <v>16</v>
      </c>
      <c r="B148" s="301"/>
      <c r="C148" s="301"/>
      <c r="D148" s="301"/>
      <c r="E148" s="301"/>
      <c r="F148" s="301"/>
      <c r="G148" s="302" t="n">
        <f aca="false">H13</f>
        <v>585</v>
      </c>
      <c r="H148" s="11" t="n">
        <f aca="false">G148</f>
        <v>585</v>
      </c>
      <c r="J148" s="301" t="s">
        <v>16</v>
      </c>
      <c r="K148" s="301"/>
      <c r="L148" s="301"/>
      <c r="M148" s="301"/>
      <c r="N148" s="301"/>
      <c r="O148" s="301"/>
      <c r="P148" s="302" t="n">
        <f aca="false">H13</f>
        <v>585</v>
      </c>
      <c r="Q148" s="11" t="n">
        <f aca="false">P148</f>
        <v>585</v>
      </c>
      <c r="S148" s="301" t="s">
        <v>16</v>
      </c>
      <c r="T148" s="301"/>
      <c r="U148" s="301"/>
      <c r="V148" s="301"/>
      <c r="W148" s="301"/>
      <c r="X148" s="301"/>
      <c r="Y148" s="302" t="n">
        <f aca="false">H13</f>
        <v>585</v>
      </c>
      <c r="Z148" s="11" t="n">
        <f aca="false">Y148</f>
        <v>585</v>
      </c>
      <c r="AB148" s="301" t="s">
        <v>16</v>
      </c>
      <c r="AC148" s="301"/>
      <c r="AD148" s="301"/>
      <c r="AE148" s="301"/>
      <c r="AF148" s="301"/>
      <c r="AG148" s="301"/>
      <c r="AH148" s="302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301" t="s">
        <v>17</v>
      </c>
      <c r="B149" s="301"/>
      <c r="C149" s="301"/>
      <c r="D149" s="301"/>
      <c r="E149" s="301"/>
      <c r="F149" s="301"/>
      <c r="G149" s="302" t="n">
        <f aca="false">H14</f>
        <v>55</v>
      </c>
      <c r="H149" s="11" t="n">
        <v>55</v>
      </c>
      <c r="J149" s="301" t="s">
        <v>17</v>
      </c>
      <c r="K149" s="301"/>
      <c r="L149" s="301"/>
      <c r="M149" s="301"/>
      <c r="N149" s="301"/>
      <c r="O149" s="301"/>
      <c r="P149" s="302" t="n">
        <f aca="false">H14</f>
        <v>55</v>
      </c>
      <c r="Q149" s="11" t="n">
        <v>55</v>
      </c>
      <c r="S149" s="301" t="s">
        <v>17</v>
      </c>
      <c r="T149" s="301"/>
      <c r="U149" s="301"/>
      <c r="V149" s="301"/>
      <c r="W149" s="301"/>
      <c r="X149" s="301"/>
      <c r="Y149" s="302" t="n">
        <f aca="false">H14</f>
        <v>55</v>
      </c>
      <c r="Z149" s="11" t="n">
        <v>55</v>
      </c>
      <c r="AB149" s="301" t="s">
        <v>17</v>
      </c>
      <c r="AC149" s="301"/>
      <c r="AD149" s="301"/>
      <c r="AE149" s="301"/>
      <c r="AF149" s="301"/>
      <c r="AG149" s="301"/>
      <c r="AH149" s="302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301" t="s">
        <v>19</v>
      </c>
      <c r="B150" s="301"/>
      <c r="C150" s="301"/>
      <c r="D150" s="301"/>
      <c r="E150" s="301"/>
      <c r="F150" s="301"/>
      <c r="G150" s="380" t="n">
        <f aca="false">H15</f>
        <v>58525</v>
      </c>
      <c r="H150" s="381" t="n">
        <f aca="false">(H144+H145+H148+H149+H146)-H147</f>
        <v>58525</v>
      </c>
      <c r="J150" s="301" t="s">
        <v>19</v>
      </c>
      <c r="K150" s="301"/>
      <c r="L150" s="301"/>
      <c r="M150" s="301"/>
      <c r="N150" s="301"/>
      <c r="O150" s="301"/>
      <c r="P150" s="380" t="n">
        <f aca="false">H15</f>
        <v>58525</v>
      </c>
      <c r="Q150" s="381" t="n">
        <f aca="false">(Q144+Q145+Q148+Q149+Q146)-Q147</f>
        <v>36655</v>
      </c>
      <c r="S150" s="301" t="s">
        <v>19</v>
      </c>
      <c r="T150" s="301"/>
      <c r="U150" s="301"/>
      <c r="V150" s="301"/>
      <c r="W150" s="301"/>
      <c r="X150" s="301"/>
      <c r="Y150" s="380" t="n">
        <f aca="false">H15</f>
        <v>58525</v>
      </c>
      <c r="Z150" s="381" t="n">
        <f aca="false">(Z144+Z145+Z148+Z149+Z146)-Z147</f>
        <v>44468.749</v>
      </c>
      <c r="AB150" s="301" t="s">
        <v>19</v>
      </c>
      <c r="AC150" s="301"/>
      <c r="AD150" s="301"/>
      <c r="AE150" s="301"/>
      <c r="AF150" s="301"/>
      <c r="AG150" s="301"/>
      <c r="AH150" s="380" t="n">
        <f aca="false">H15</f>
        <v>58525</v>
      </c>
      <c r="AI150" s="381" t="n">
        <f aca="false">(AI144+AI145+AI148+AI149+AI146)-AI147</f>
        <v>44468.749</v>
      </c>
    </row>
    <row r="151" customFormat="false" ht="17.35" hidden="false" customHeight="false" outlineLevel="0" collapsed="false">
      <c r="A151" s="301" t="s">
        <v>20</v>
      </c>
      <c r="B151" s="301"/>
      <c r="C151" s="301"/>
      <c r="D151" s="301"/>
      <c r="E151" s="301"/>
      <c r="F151" s="301"/>
      <c r="G151" s="302" t="n">
        <f aca="false">H16</f>
        <v>0</v>
      </c>
      <c r="H151" s="314" t="n">
        <f aca="false">G151</f>
        <v>0</v>
      </c>
      <c r="J151" s="301" t="s">
        <v>20</v>
      </c>
      <c r="K151" s="301"/>
      <c r="L151" s="301"/>
      <c r="M151" s="301"/>
      <c r="N151" s="301"/>
      <c r="O151" s="301"/>
      <c r="P151" s="302" t="n">
        <f aca="false">H16</f>
        <v>0</v>
      </c>
      <c r="Q151" s="314" t="n">
        <f aca="false">P151</f>
        <v>0</v>
      </c>
      <c r="S151" s="301" t="s">
        <v>20</v>
      </c>
      <c r="T151" s="301"/>
      <c r="U151" s="301"/>
      <c r="V151" s="301"/>
      <c r="W151" s="301"/>
      <c r="X151" s="301"/>
      <c r="Y151" s="302" t="n">
        <f aca="false">H16</f>
        <v>0</v>
      </c>
      <c r="Z151" s="314" t="n">
        <f aca="false">Y151</f>
        <v>0</v>
      </c>
      <c r="AB151" s="301" t="s">
        <v>20</v>
      </c>
      <c r="AC151" s="301"/>
      <c r="AD151" s="301"/>
      <c r="AE151" s="301"/>
      <c r="AF151" s="301"/>
      <c r="AG151" s="301"/>
      <c r="AH151" s="302" t="n">
        <f aca="false">H16</f>
        <v>0</v>
      </c>
      <c r="AI151" s="314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382" t="s">
        <v>22</v>
      </c>
      <c r="K152" s="382"/>
      <c r="L152" s="382"/>
      <c r="M152" s="382"/>
      <c r="N152" s="382"/>
      <c r="O152" s="382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304" t="s">
        <v>21</v>
      </c>
      <c r="B153" s="305" t="s">
        <v>25</v>
      </c>
      <c r="C153" s="305"/>
      <c r="D153" s="305"/>
      <c r="E153" s="305"/>
      <c r="F153" s="305"/>
      <c r="G153" s="302" t="n">
        <f aca="false">H18</f>
        <v>0</v>
      </c>
      <c r="H153" s="314" t="n">
        <f aca="false">G153</f>
        <v>0</v>
      </c>
      <c r="J153" s="304" t="s">
        <v>21</v>
      </c>
      <c r="K153" s="305" t="s">
        <v>25</v>
      </c>
      <c r="L153" s="305"/>
      <c r="M153" s="305"/>
      <c r="N153" s="305"/>
      <c r="O153" s="305"/>
      <c r="P153" s="302" t="n">
        <f aca="false">H18</f>
        <v>0</v>
      </c>
      <c r="Q153" s="314" t="n">
        <f aca="false">P153</f>
        <v>0</v>
      </c>
      <c r="S153" s="304" t="s">
        <v>21</v>
      </c>
      <c r="T153" s="305" t="s">
        <v>25</v>
      </c>
      <c r="U153" s="305"/>
      <c r="V153" s="305"/>
      <c r="W153" s="305"/>
      <c r="X153" s="305"/>
      <c r="Y153" s="302" t="n">
        <f aca="false">H18</f>
        <v>0</v>
      </c>
      <c r="Z153" s="314" t="n">
        <f aca="false">Y153</f>
        <v>0</v>
      </c>
      <c r="AB153" s="304" t="s">
        <v>21</v>
      </c>
      <c r="AC153" s="305" t="s">
        <v>25</v>
      </c>
      <c r="AD153" s="305"/>
      <c r="AE153" s="305"/>
      <c r="AF153" s="305"/>
      <c r="AG153" s="305"/>
      <c r="AH153" s="302" t="n">
        <f aca="false">H18</f>
        <v>0</v>
      </c>
      <c r="AI153" s="314" t="n">
        <f aca="false">AH153</f>
        <v>0</v>
      </c>
    </row>
    <row r="154" customFormat="false" ht="17.35" hidden="false" customHeight="false" outlineLevel="0" collapsed="false">
      <c r="A154" s="304" t="s">
        <v>24</v>
      </c>
      <c r="B154" s="305" t="s">
        <v>25</v>
      </c>
      <c r="C154" s="305"/>
      <c r="D154" s="305"/>
      <c r="E154" s="305"/>
      <c r="F154" s="305"/>
      <c r="G154" s="302" t="n">
        <f aca="false">H19</f>
        <v>0</v>
      </c>
      <c r="H154" s="314" t="n">
        <v>0</v>
      </c>
      <c r="I154" s="288" t="n">
        <f aca="false">(G151+G154+G155+G153)</f>
        <v>0</v>
      </c>
      <c r="J154" s="304" t="s">
        <v>24</v>
      </c>
      <c r="K154" s="305" t="s">
        <v>25</v>
      </c>
      <c r="L154" s="305"/>
      <c r="M154" s="305"/>
      <c r="N154" s="305"/>
      <c r="O154" s="305"/>
      <c r="P154" s="302" t="n">
        <f aca="false">H19</f>
        <v>0</v>
      </c>
      <c r="Q154" s="314" t="n">
        <f aca="false">P154</f>
        <v>0</v>
      </c>
      <c r="S154" s="304" t="s">
        <v>24</v>
      </c>
      <c r="T154" s="305" t="s">
        <v>25</v>
      </c>
      <c r="U154" s="305"/>
      <c r="V154" s="305"/>
      <c r="W154" s="305"/>
      <c r="X154" s="305"/>
      <c r="Y154" s="302" t="n">
        <f aca="false">H19</f>
        <v>0</v>
      </c>
      <c r="Z154" s="314" t="n">
        <f aca="false">Y154</f>
        <v>0</v>
      </c>
      <c r="AB154" s="304" t="s">
        <v>24</v>
      </c>
      <c r="AC154" s="305" t="s">
        <v>25</v>
      </c>
      <c r="AD154" s="305"/>
      <c r="AE154" s="305"/>
      <c r="AF154" s="305"/>
      <c r="AG154" s="305"/>
      <c r="AH154" s="302" t="n">
        <f aca="false">H19</f>
        <v>0</v>
      </c>
      <c r="AI154" s="314" t="n">
        <f aca="false">AH154</f>
        <v>0</v>
      </c>
    </row>
    <row r="155" customFormat="false" ht="17.35" hidden="false" customHeight="false" outlineLevel="0" collapsed="false">
      <c r="A155" s="383" t="s">
        <v>26</v>
      </c>
      <c r="B155" s="384" t="s">
        <v>25</v>
      </c>
      <c r="C155" s="384"/>
      <c r="D155" s="384"/>
      <c r="E155" s="384"/>
      <c r="F155" s="384"/>
      <c r="G155" s="302" t="n">
        <f aca="false">H20</f>
        <v>0</v>
      </c>
      <c r="H155" s="314" t="n">
        <v>0</v>
      </c>
      <c r="I155" s="288" t="n">
        <f aca="false">(H151+H153+H154+H155)</f>
        <v>0</v>
      </c>
      <c r="J155" s="383" t="s">
        <v>26</v>
      </c>
      <c r="K155" s="384" t="s">
        <v>25</v>
      </c>
      <c r="L155" s="384"/>
      <c r="M155" s="384"/>
      <c r="N155" s="384"/>
      <c r="O155" s="384"/>
      <c r="P155" s="302" t="n">
        <f aca="false">H20</f>
        <v>0</v>
      </c>
      <c r="Q155" s="314" t="n">
        <f aca="false">P155</f>
        <v>0</v>
      </c>
      <c r="S155" s="383" t="s">
        <v>26</v>
      </c>
      <c r="T155" s="384" t="s">
        <v>25</v>
      </c>
      <c r="U155" s="384"/>
      <c r="V155" s="384"/>
      <c r="W155" s="384"/>
      <c r="X155" s="384"/>
      <c r="Y155" s="302" t="n">
        <f aca="false">H20</f>
        <v>0</v>
      </c>
      <c r="Z155" s="314" t="n">
        <f aca="false">Y155</f>
        <v>0</v>
      </c>
      <c r="AB155" s="383" t="s">
        <v>26</v>
      </c>
      <c r="AC155" s="384" t="s">
        <v>25</v>
      </c>
      <c r="AD155" s="384"/>
      <c r="AE155" s="384"/>
      <c r="AF155" s="384"/>
      <c r="AG155" s="384"/>
      <c r="AH155" s="302" t="n">
        <f aca="false">H20</f>
        <v>0</v>
      </c>
      <c r="AI155" s="314" t="n">
        <f aca="false">AH155</f>
        <v>0</v>
      </c>
    </row>
    <row r="156" customFormat="false" ht="19.7" hidden="false" customHeight="false" outlineLevel="0" collapsed="false">
      <c r="A156" s="301" t="s">
        <v>29</v>
      </c>
      <c r="B156" s="301"/>
      <c r="C156" s="301"/>
      <c r="D156" s="301"/>
      <c r="E156" s="301"/>
      <c r="F156" s="301"/>
      <c r="G156" s="380" t="n">
        <f aca="false">G150-((G153*1.2)+(G154*1.2)+(G155*1.2)+(G151*1.2))</f>
        <v>58525</v>
      </c>
      <c r="H156" s="385" t="n">
        <f aca="false">H150-((H153*1.2)+(H154*1.2)+(H155*1.2)+(H151*1.2))</f>
        <v>58525</v>
      </c>
      <c r="J156" s="386" t="s">
        <v>29</v>
      </c>
      <c r="K156" s="386"/>
      <c r="L156" s="386"/>
      <c r="M156" s="386"/>
      <c r="N156" s="386"/>
      <c r="O156" s="386"/>
      <c r="P156" s="380" t="n">
        <f aca="false">P150-((P153*1.2)+(P154*1.2)+(P155*1.2)+(P151*1.2))</f>
        <v>58525</v>
      </c>
      <c r="Q156" s="385" t="n">
        <f aca="false">Q150-((Q153*1.2)+(Q154*1.2)+(Q155*1.2)+(Q151*1.2))</f>
        <v>36655</v>
      </c>
      <c r="S156" s="301" t="s">
        <v>29</v>
      </c>
      <c r="T156" s="301"/>
      <c r="U156" s="301"/>
      <c r="V156" s="301"/>
      <c r="W156" s="301"/>
      <c r="X156" s="301"/>
      <c r="Y156" s="380" t="n">
        <f aca="false">Y150-((Y153*1.2)+(Y154*1.2)+(Y155*1.2)+(Y151*1.2))</f>
        <v>58525</v>
      </c>
      <c r="Z156" s="385" t="n">
        <f aca="false">Z150-((Z153*1.2)+(Z154*1.2)+(Z155*1.2)+(Z151*1.2))</f>
        <v>44468.749</v>
      </c>
      <c r="AB156" s="301" t="s">
        <v>29</v>
      </c>
      <c r="AC156" s="301"/>
      <c r="AD156" s="301"/>
      <c r="AE156" s="301"/>
      <c r="AF156" s="301"/>
      <c r="AG156" s="301"/>
      <c r="AH156" s="380" t="n">
        <f aca="false">AH150-((AH153*1.2)+(AH154*1.2)+(AH155*1.2)+(AH151*1.2))</f>
        <v>58525</v>
      </c>
      <c r="AI156" s="385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301" t="s">
        <v>293</v>
      </c>
      <c r="B157" s="301"/>
      <c r="C157" s="301"/>
      <c r="D157" s="301"/>
      <c r="E157" s="301"/>
      <c r="F157" s="301"/>
      <c r="G157" s="302"/>
      <c r="H157" s="314" t="n">
        <f aca="false">((H156-G156)-(H146-G146))+((I155-I154)*0.2)</f>
        <v>0</v>
      </c>
      <c r="I157" s="288" t="n">
        <f aca="false">(H157-G90)/1.2</f>
        <v>0</v>
      </c>
      <c r="J157" s="301" t="s">
        <v>293</v>
      </c>
      <c r="K157" s="301"/>
      <c r="L157" s="301"/>
      <c r="M157" s="301"/>
      <c r="N157" s="301"/>
      <c r="O157" s="301"/>
      <c r="P157" s="302"/>
      <c r="Q157" s="314" t="n">
        <f aca="false">Q156-P156</f>
        <v>-21870</v>
      </c>
      <c r="S157" s="301" t="s">
        <v>293</v>
      </c>
      <c r="T157" s="301"/>
      <c r="U157" s="301"/>
      <c r="V157" s="301"/>
      <c r="W157" s="301"/>
      <c r="X157" s="301"/>
      <c r="Y157" s="302"/>
      <c r="Z157" s="314" t="n">
        <f aca="false">Z156-Y156</f>
        <v>-14056.251</v>
      </c>
      <c r="AB157" s="301" t="s">
        <v>293</v>
      </c>
      <c r="AC157" s="301"/>
      <c r="AD157" s="301"/>
      <c r="AE157" s="301"/>
      <c r="AF157" s="301"/>
      <c r="AG157" s="301"/>
      <c r="AH157" s="302"/>
      <c r="AI157" s="314" t="n">
        <f aca="false">AI156-AH156</f>
        <v>-14056.251</v>
      </c>
    </row>
    <row r="158" customFormat="false" ht="17.35" hidden="false" customHeight="false" outlineLevel="0" collapsed="false">
      <c r="A158" s="293"/>
      <c r="B158" s="12"/>
      <c r="C158" s="12"/>
      <c r="D158" s="12"/>
      <c r="E158" s="308"/>
      <c r="F158" s="308"/>
      <c r="G158" s="308"/>
      <c r="H158" s="11"/>
      <c r="J158" s="293"/>
      <c r="K158" s="12"/>
      <c r="L158" s="12"/>
      <c r="M158" s="12"/>
      <c r="N158" s="308"/>
      <c r="O158" s="308"/>
      <c r="P158" s="308"/>
      <c r="Q158" s="11"/>
      <c r="S158" s="293"/>
      <c r="T158" s="12"/>
      <c r="U158" s="12"/>
      <c r="V158" s="12"/>
      <c r="W158" s="308"/>
      <c r="X158" s="308"/>
      <c r="Y158" s="308"/>
      <c r="Z158" s="11"/>
      <c r="AB158" s="293"/>
      <c r="AC158" s="12"/>
      <c r="AD158" s="12"/>
      <c r="AE158" s="12"/>
      <c r="AF158" s="308"/>
      <c r="AG158" s="308"/>
      <c r="AH158" s="308"/>
      <c r="AI158" s="11"/>
    </row>
    <row r="159" customFormat="false" ht="22.05" hidden="false" customHeight="false" outlineLevel="0" collapsed="false">
      <c r="A159" s="312" t="s">
        <v>294</v>
      </c>
      <c r="B159" s="312"/>
      <c r="C159" s="312"/>
      <c r="D159" s="312"/>
      <c r="E159" s="312"/>
      <c r="F159" s="312"/>
      <c r="G159" s="312"/>
      <c r="H159" s="312"/>
      <c r="J159" s="312" t="s">
        <v>294</v>
      </c>
      <c r="K159" s="312"/>
      <c r="L159" s="312"/>
      <c r="M159" s="312"/>
      <c r="N159" s="312"/>
      <c r="O159" s="312"/>
      <c r="P159" s="312"/>
      <c r="Q159" s="312"/>
      <c r="S159" s="312" t="s">
        <v>294</v>
      </c>
      <c r="T159" s="312"/>
      <c r="U159" s="312"/>
      <c r="V159" s="312"/>
      <c r="W159" s="312"/>
      <c r="X159" s="312"/>
      <c r="Y159" s="312"/>
      <c r="Z159" s="312"/>
      <c r="AB159" s="312" t="s">
        <v>294</v>
      </c>
      <c r="AC159" s="312"/>
      <c r="AD159" s="312"/>
      <c r="AE159" s="312"/>
      <c r="AF159" s="312"/>
      <c r="AG159" s="312"/>
      <c r="AH159" s="312"/>
      <c r="AI159" s="312"/>
    </row>
    <row r="160" customFormat="false" ht="17.35" hidden="false" customHeight="false" outlineLevel="0" collapsed="false">
      <c r="A160" s="293"/>
      <c r="B160" s="12"/>
      <c r="C160" s="12"/>
      <c r="D160" s="12"/>
      <c r="E160" s="308"/>
      <c r="F160" s="308"/>
      <c r="G160" s="308"/>
      <c r="H160" s="11"/>
      <c r="J160" s="293"/>
      <c r="K160" s="12"/>
      <c r="L160" s="12"/>
      <c r="M160" s="12"/>
      <c r="N160" s="308"/>
      <c r="O160" s="308"/>
      <c r="P160" s="308"/>
      <c r="Q160" s="11"/>
      <c r="S160" s="293"/>
      <c r="T160" s="12"/>
      <c r="U160" s="12"/>
      <c r="V160" s="12"/>
      <c r="W160" s="308"/>
      <c r="X160" s="308"/>
      <c r="Y160" s="308"/>
      <c r="Z160" s="11"/>
      <c r="AB160" s="293"/>
      <c r="AC160" s="12"/>
      <c r="AD160" s="12"/>
      <c r="AE160" s="12"/>
      <c r="AF160" s="308"/>
      <c r="AG160" s="308"/>
      <c r="AH160" s="308"/>
      <c r="AI160" s="11"/>
    </row>
    <row r="161" customFormat="false" ht="17.35" hidden="false" customHeight="false" outlineLevel="0" collapsed="false">
      <c r="A161" s="293" t="s">
        <v>141</v>
      </c>
      <c r="B161" s="12"/>
      <c r="C161" s="12"/>
      <c r="D161" s="308"/>
      <c r="E161" s="113" t="n">
        <v>0</v>
      </c>
      <c r="F161" s="113"/>
      <c r="G161" s="113" t="n">
        <v>0</v>
      </c>
      <c r="H161" s="113"/>
      <c r="J161" s="293" t="s">
        <v>141</v>
      </c>
      <c r="K161" s="12"/>
      <c r="L161" s="12"/>
      <c r="M161" s="308"/>
      <c r="N161" s="113" t="n">
        <v>10000</v>
      </c>
      <c r="O161" s="113"/>
      <c r="P161" s="113" t="n">
        <v>5000</v>
      </c>
      <c r="Q161" s="113"/>
      <c r="S161" s="293" t="s">
        <v>141</v>
      </c>
      <c r="T161" s="12"/>
      <c r="U161" s="12"/>
      <c r="V161" s="308"/>
      <c r="W161" s="113" t="n">
        <v>10000</v>
      </c>
      <c r="X161" s="113"/>
      <c r="Y161" s="113" t="n">
        <v>5000</v>
      </c>
      <c r="Z161" s="113"/>
      <c r="AB161" s="293" t="s">
        <v>141</v>
      </c>
      <c r="AC161" s="12"/>
      <c r="AD161" s="12"/>
      <c r="AE161" s="308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293" t="s">
        <v>142</v>
      </c>
      <c r="B162" s="12"/>
      <c r="C162" s="12"/>
      <c r="D162" s="308"/>
      <c r="E162" s="165" t="n">
        <f aca="false">G162</f>
        <v>0</v>
      </c>
      <c r="F162" s="165"/>
      <c r="G162" s="113" t="n">
        <v>0</v>
      </c>
      <c r="H162" s="113"/>
      <c r="J162" s="293" t="s">
        <v>142</v>
      </c>
      <c r="K162" s="12"/>
      <c r="L162" s="12"/>
      <c r="M162" s="308"/>
      <c r="N162" s="165" t="n">
        <f aca="false">P162</f>
        <v>7000</v>
      </c>
      <c r="O162" s="165"/>
      <c r="P162" s="113" t="n">
        <v>7000</v>
      </c>
      <c r="Q162" s="113"/>
      <c r="S162" s="293" t="s">
        <v>142</v>
      </c>
      <c r="T162" s="12"/>
      <c r="U162" s="12"/>
      <c r="V162" s="308"/>
      <c r="W162" s="165" t="n">
        <f aca="false">Y162</f>
        <v>7000</v>
      </c>
      <c r="X162" s="165"/>
      <c r="Y162" s="113" t="n">
        <v>7000</v>
      </c>
      <c r="Z162" s="113"/>
      <c r="AB162" s="293" t="s">
        <v>142</v>
      </c>
      <c r="AC162" s="12"/>
      <c r="AD162" s="12"/>
      <c r="AE162" s="308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293" t="s">
        <v>143</v>
      </c>
      <c r="B163" s="12"/>
      <c r="C163" s="12"/>
      <c r="D163" s="308"/>
      <c r="E163" s="165" t="n">
        <f aca="false">E161-E162</f>
        <v>0</v>
      </c>
      <c r="F163" s="165"/>
      <c r="G163" s="116" t="n">
        <f aca="false">G161-G162</f>
        <v>0</v>
      </c>
      <c r="H163" s="116"/>
      <c r="J163" s="293" t="s">
        <v>143</v>
      </c>
      <c r="K163" s="12"/>
      <c r="L163" s="12"/>
      <c r="M163" s="308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293" t="s">
        <v>143</v>
      </c>
      <c r="T163" s="12"/>
      <c r="U163" s="12"/>
      <c r="V163" s="308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293" t="s">
        <v>143</v>
      </c>
      <c r="AC163" s="12"/>
      <c r="AD163" s="12"/>
      <c r="AE163" s="308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293" t="s">
        <v>144</v>
      </c>
      <c r="B164" s="12"/>
      <c r="C164" s="12"/>
      <c r="D164" s="308"/>
      <c r="E164" s="165" t="n">
        <f aca="false">E163-G163</f>
        <v>0</v>
      </c>
      <c r="F164" s="165"/>
      <c r="G164" s="308"/>
      <c r="H164" s="11"/>
      <c r="J164" s="293" t="s">
        <v>144</v>
      </c>
      <c r="K164" s="12"/>
      <c r="L164" s="12"/>
      <c r="M164" s="308"/>
      <c r="N164" s="165" t="n">
        <f aca="false">N163-P163</f>
        <v>5000</v>
      </c>
      <c r="O164" s="165"/>
      <c r="P164" s="308"/>
      <c r="Q164" s="11"/>
      <c r="S164" s="293" t="s">
        <v>144</v>
      </c>
      <c r="T164" s="12"/>
      <c r="U164" s="12"/>
      <c r="V164" s="308"/>
      <c r="W164" s="165" t="n">
        <f aca="false">W163-Y163</f>
        <v>5000</v>
      </c>
      <c r="X164" s="165"/>
      <c r="Y164" s="308"/>
      <c r="Z164" s="11"/>
      <c r="AB164" s="293" t="s">
        <v>144</v>
      </c>
      <c r="AC164" s="12"/>
      <c r="AD164" s="12"/>
      <c r="AE164" s="308"/>
      <c r="AF164" s="165" t="n">
        <f aca="false">AF163-AH163</f>
        <v>5000</v>
      </c>
      <c r="AG164" s="165"/>
      <c r="AH164" s="308"/>
      <c r="AI164" s="11"/>
    </row>
    <row r="165" customFormat="false" ht="17.35" hidden="false" customHeight="false" outlineLevel="0" collapsed="false">
      <c r="A165" s="293"/>
      <c r="B165" s="12"/>
      <c r="C165" s="12"/>
      <c r="D165" s="308"/>
      <c r="E165" s="12"/>
      <c r="F165" s="308"/>
      <c r="G165" s="308"/>
      <c r="H165" s="11"/>
      <c r="J165" s="293"/>
      <c r="K165" s="12"/>
      <c r="L165" s="12"/>
      <c r="M165" s="308"/>
      <c r="N165" s="12"/>
      <c r="O165" s="308"/>
      <c r="P165" s="308"/>
      <c r="Q165" s="11"/>
      <c r="S165" s="293"/>
      <c r="T165" s="12"/>
      <c r="U165" s="12"/>
      <c r="V165" s="308"/>
      <c r="W165" s="12"/>
      <c r="X165" s="308"/>
      <c r="Y165" s="308"/>
      <c r="Z165" s="11"/>
      <c r="AB165" s="293"/>
      <c r="AC165" s="12"/>
      <c r="AD165" s="12"/>
      <c r="AE165" s="308"/>
      <c r="AF165" s="12"/>
      <c r="AG165" s="308"/>
      <c r="AH165" s="308"/>
      <c r="AI165" s="11"/>
    </row>
    <row r="166" customFormat="false" ht="17.35" hidden="false" customHeight="false" outlineLevel="0" collapsed="false">
      <c r="A166" s="310" t="s">
        <v>295</v>
      </c>
      <c r="B166" s="311"/>
      <c r="C166" s="311"/>
      <c r="D166" s="334"/>
      <c r="E166" s="311"/>
      <c r="F166" s="334"/>
      <c r="G166" s="387" t="n">
        <f aca="false">B120</f>
        <v>0</v>
      </c>
      <c r="H166" s="387"/>
      <c r="J166" s="310" t="s">
        <v>295</v>
      </c>
      <c r="K166" s="311"/>
      <c r="L166" s="311"/>
      <c r="M166" s="334"/>
      <c r="N166" s="311"/>
      <c r="O166" s="334"/>
      <c r="P166" s="387" t="n">
        <f aca="false">K120</f>
        <v>1000</v>
      </c>
      <c r="Q166" s="387"/>
      <c r="S166" s="310" t="s">
        <v>295</v>
      </c>
      <c r="T166" s="311"/>
      <c r="U166" s="311"/>
      <c r="V166" s="334"/>
      <c r="W166" s="311"/>
      <c r="X166" s="334"/>
      <c r="Y166" s="387" t="n">
        <f aca="false">T120</f>
        <v>1000</v>
      </c>
      <c r="Z166" s="387"/>
      <c r="AB166" s="310" t="s">
        <v>295</v>
      </c>
      <c r="AC166" s="311"/>
      <c r="AD166" s="311"/>
      <c r="AE166" s="334"/>
      <c r="AF166" s="311"/>
      <c r="AG166" s="334"/>
      <c r="AH166" s="387" t="n">
        <f aca="false">AC120</f>
        <v>1000</v>
      </c>
      <c r="AI166" s="387"/>
    </row>
    <row r="167" customFormat="false" ht="19.7" hidden="false" customHeight="false" outlineLevel="0" collapsed="false">
      <c r="A167" s="388" t="s">
        <v>296</v>
      </c>
      <c r="B167" s="12"/>
      <c r="C167" s="12"/>
      <c r="D167" s="308"/>
      <c r="E167" s="12"/>
      <c r="F167" s="308"/>
      <c r="G167" s="389" t="n">
        <f aca="false">H156-G163-G166</f>
        <v>58525</v>
      </c>
      <c r="H167" s="389"/>
      <c r="J167" s="388" t="s">
        <v>296</v>
      </c>
      <c r="K167" s="12"/>
      <c r="L167" s="12"/>
      <c r="M167" s="308"/>
      <c r="N167" s="12"/>
      <c r="O167" s="308"/>
      <c r="P167" s="389" t="n">
        <f aca="false">Q156-P163-P166</f>
        <v>37655</v>
      </c>
      <c r="Q167" s="389"/>
      <c r="S167" s="388" t="s">
        <v>296</v>
      </c>
      <c r="T167" s="12"/>
      <c r="U167" s="12"/>
      <c r="V167" s="308"/>
      <c r="W167" s="12"/>
      <c r="X167" s="308"/>
      <c r="Y167" s="389" t="n">
        <f aca="false">Z156-Y163-Y166</f>
        <v>45468.749</v>
      </c>
      <c r="Z167" s="389"/>
      <c r="AB167" s="388" t="s">
        <v>296</v>
      </c>
      <c r="AC167" s="12"/>
      <c r="AD167" s="12"/>
      <c r="AE167" s="308"/>
      <c r="AF167" s="12"/>
      <c r="AG167" s="308"/>
      <c r="AH167" s="389" t="n">
        <f aca="false">AI156-AH163-AH166</f>
        <v>45468.749</v>
      </c>
      <c r="AI167" s="389"/>
    </row>
    <row r="168" customFormat="false" ht="17.35" hidden="false" customHeight="false" outlineLevel="0" collapsed="false">
      <c r="A168" s="321" t="s">
        <v>54</v>
      </c>
      <c r="B168" s="322"/>
      <c r="C168" s="322"/>
      <c r="D168" s="350"/>
      <c r="E168" s="322"/>
      <c r="F168" s="350"/>
      <c r="G168" s="390" t="n">
        <f aca="false">B123</f>
        <v>416.67</v>
      </c>
      <c r="H168" s="390"/>
      <c r="J168" s="321" t="s">
        <v>54</v>
      </c>
      <c r="K168" s="322"/>
      <c r="L168" s="322"/>
      <c r="M168" s="350"/>
      <c r="N168" s="322"/>
      <c r="O168" s="350"/>
      <c r="P168" s="390" t="n">
        <f aca="false">K123</f>
        <v>239.99</v>
      </c>
      <c r="Q168" s="390"/>
      <c r="S168" s="321" t="s">
        <v>54</v>
      </c>
      <c r="T168" s="322"/>
      <c r="U168" s="322"/>
      <c r="V168" s="350"/>
      <c r="W168" s="322"/>
      <c r="X168" s="350"/>
      <c r="Y168" s="390" t="n">
        <f aca="false">T123</f>
        <v>199.99</v>
      </c>
      <c r="Z168" s="390"/>
      <c r="AB168" s="321" t="s">
        <v>54</v>
      </c>
      <c r="AC168" s="322"/>
      <c r="AD168" s="322"/>
      <c r="AE168" s="350"/>
      <c r="AF168" s="322"/>
      <c r="AG168" s="350"/>
      <c r="AH168" s="390" t="n">
        <f aca="false">AC123</f>
        <v>239.99</v>
      </c>
      <c r="AI168" s="390"/>
    </row>
    <row r="169" customFormat="false" ht="17.35" hidden="false" customHeight="false" outlineLevel="0" collapsed="false">
      <c r="A169" s="293"/>
      <c r="B169" s="12"/>
      <c r="C169" s="12"/>
      <c r="D169" s="12"/>
      <c r="E169" s="308"/>
      <c r="F169" s="308"/>
      <c r="G169" s="308"/>
      <c r="H169" s="11"/>
      <c r="J169" s="293"/>
      <c r="K169" s="12"/>
      <c r="L169" s="12"/>
      <c r="M169" s="12"/>
      <c r="N169" s="308"/>
      <c r="O169" s="308"/>
      <c r="P169" s="308"/>
      <c r="Q169" s="11"/>
      <c r="S169" s="293"/>
      <c r="T169" s="12"/>
      <c r="U169" s="12"/>
      <c r="V169" s="12"/>
      <c r="W169" s="308"/>
      <c r="X169" s="308"/>
      <c r="Y169" s="308"/>
      <c r="Z169" s="11"/>
      <c r="AB169" s="293"/>
      <c r="AC169" s="12"/>
      <c r="AD169" s="12"/>
      <c r="AE169" s="12"/>
      <c r="AF169" s="308"/>
      <c r="AG169" s="308"/>
      <c r="AH169" s="308"/>
      <c r="AI169" s="11"/>
    </row>
    <row r="170" customFormat="false" ht="17.35" hidden="false" customHeight="false" outlineLevel="0" collapsed="false">
      <c r="A170" s="293"/>
      <c r="B170" s="12"/>
      <c r="C170" s="12"/>
      <c r="D170" s="12"/>
      <c r="E170" s="308"/>
      <c r="F170" s="308"/>
      <c r="G170" s="308"/>
      <c r="H170" s="11"/>
      <c r="J170" s="293"/>
      <c r="K170" s="12"/>
      <c r="L170" s="12"/>
      <c r="M170" s="12"/>
      <c r="N170" s="308"/>
      <c r="O170" s="308"/>
      <c r="P170" s="308"/>
      <c r="Q170" s="11"/>
      <c r="S170" s="293"/>
      <c r="T170" s="12"/>
      <c r="U170" s="12"/>
      <c r="V170" s="12"/>
      <c r="W170" s="308"/>
      <c r="X170" s="308"/>
      <c r="Y170" s="308"/>
      <c r="Z170" s="11"/>
      <c r="AB170" s="293"/>
      <c r="AC170" s="12"/>
      <c r="AD170" s="12"/>
      <c r="AE170" s="12"/>
      <c r="AF170" s="308"/>
      <c r="AG170" s="308"/>
      <c r="AH170" s="308"/>
      <c r="AI170" s="11"/>
    </row>
    <row r="171" customFormat="false" ht="22.05" hidden="false" customHeight="false" outlineLevel="0" collapsed="false">
      <c r="A171" s="312" t="s">
        <v>218</v>
      </c>
      <c r="B171" s="312"/>
      <c r="C171" s="312"/>
      <c r="D171" s="312"/>
      <c r="E171" s="312"/>
      <c r="F171" s="312"/>
      <c r="G171" s="312"/>
      <c r="H171" s="312"/>
      <c r="J171" s="312" t="s">
        <v>218</v>
      </c>
      <c r="K171" s="312"/>
      <c r="L171" s="312"/>
      <c r="M171" s="312"/>
      <c r="N171" s="312"/>
      <c r="O171" s="312"/>
      <c r="P171" s="312"/>
      <c r="Q171" s="312"/>
      <c r="S171" s="312" t="s">
        <v>218</v>
      </c>
      <c r="T171" s="312"/>
      <c r="U171" s="312"/>
      <c r="V171" s="312"/>
      <c r="W171" s="312"/>
      <c r="X171" s="312"/>
      <c r="Y171" s="312"/>
      <c r="Z171" s="312"/>
      <c r="AB171" s="312" t="s">
        <v>218</v>
      </c>
      <c r="AC171" s="312"/>
      <c r="AD171" s="312"/>
      <c r="AE171" s="312"/>
      <c r="AF171" s="312"/>
      <c r="AG171" s="312"/>
      <c r="AH171" s="312"/>
      <c r="AI171" s="312"/>
    </row>
    <row r="172" customFormat="false" ht="17.35" hidden="false" customHeight="false" outlineLevel="0" collapsed="false">
      <c r="A172" s="293"/>
      <c r="B172" s="12"/>
      <c r="C172" s="12"/>
      <c r="D172" s="12"/>
      <c r="E172" s="308"/>
      <c r="F172" s="308"/>
      <c r="G172" s="308"/>
      <c r="H172" s="11"/>
      <c r="J172" s="293"/>
      <c r="K172" s="12"/>
      <c r="L172" s="12"/>
      <c r="M172" s="12"/>
      <c r="N172" s="308"/>
      <c r="O172" s="308"/>
      <c r="P172" s="308"/>
      <c r="Q172" s="11"/>
      <c r="S172" s="293"/>
      <c r="T172" s="12"/>
      <c r="U172" s="12"/>
      <c r="V172" s="12"/>
      <c r="W172" s="308"/>
      <c r="X172" s="308"/>
      <c r="Y172" s="308"/>
      <c r="Z172" s="11"/>
      <c r="AB172" s="293"/>
      <c r="AC172" s="12"/>
      <c r="AD172" s="12"/>
      <c r="AE172" s="12"/>
      <c r="AF172" s="308"/>
      <c r="AG172" s="308"/>
      <c r="AH172" s="308"/>
      <c r="AI172" s="11"/>
    </row>
    <row r="173" customFormat="false" ht="17.35" hidden="false" customHeight="false" outlineLevel="0" collapsed="false">
      <c r="A173" s="293" t="s">
        <v>148</v>
      </c>
      <c r="B173" s="122" t="n">
        <v>0</v>
      </c>
      <c r="C173" s="122"/>
      <c r="D173" s="12"/>
      <c r="E173" s="308"/>
      <c r="F173" s="308"/>
      <c r="G173" s="308"/>
      <c r="H173" s="11"/>
      <c r="J173" s="293" t="s">
        <v>148</v>
      </c>
      <c r="K173" s="122" t="n">
        <v>0</v>
      </c>
      <c r="L173" s="122"/>
      <c r="M173" s="12"/>
      <c r="N173" s="308"/>
      <c r="O173" s="308"/>
      <c r="P173" s="308"/>
      <c r="Q173" s="11"/>
      <c r="S173" s="293" t="s">
        <v>148</v>
      </c>
      <c r="T173" s="122" t="n">
        <v>0</v>
      </c>
      <c r="U173" s="122"/>
      <c r="V173" s="12"/>
      <c r="W173" s="308"/>
      <c r="X173" s="308"/>
      <c r="Y173" s="308"/>
      <c r="Z173" s="11"/>
      <c r="AB173" s="293" t="s">
        <v>148</v>
      </c>
      <c r="AC173" s="122" t="n">
        <v>0</v>
      </c>
      <c r="AD173" s="122"/>
      <c r="AE173" s="12"/>
      <c r="AF173" s="308"/>
      <c r="AG173" s="308"/>
      <c r="AH173" s="308"/>
      <c r="AI173" s="11"/>
    </row>
    <row r="174" customFormat="false" ht="17.35" hidden="false" customHeight="false" outlineLevel="0" collapsed="false">
      <c r="A174" s="293"/>
      <c r="B174" s="12"/>
      <c r="C174" s="12"/>
      <c r="D174" s="12"/>
      <c r="E174" s="308"/>
      <c r="F174" s="308"/>
      <c r="G174" s="308"/>
      <c r="H174" s="11"/>
      <c r="J174" s="293"/>
      <c r="K174" s="12"/>
      <c r="L174" s="12"/>
      <c r="M174" s="12"/>
      <c r="N174" s="308"/>
      <c r="O174" s="308"/>
      <c r="P174" s="308"/>
      <c r="Q174" s="11"/>
      <c r="S174" s="293"/>
      <c r="T174" s="12"/>
      <c r="U174" s="12"/>
      <c r="V174" s="12"/>
      <c r="W174" s="308"/>
      <c r="X174" s="308"/>
      <c r="Y174" s="308"/>
      <c r="Z174" s="11"/>
      <c r="AB174" s="293"/>
      <c r="AC174" s="12"/>
      <c r="AD174" s="12"/>
      <c r="AE174" s="12"/>
      <c r="AF174" s="308"/>
      <c r="AG174" s="308"/>
      <c r="AH174" s="308"/>
      <c r="AI174" s="11"/>
    </row>
    <row r="175" customFormat="false" ht="17.35" hidden="false" customHeight="false" outlineLevel="0" collapsed="false">
      <c r="A175" s="391" t="s">
        <v>297</v>
      </c>
      <c r="B175" s="392" t="s">
        <v>298</v>
      </c>
      <c r="C175" s="392"/>
      <c r="D175" s="392"/>
      <c r="E175" s="392" t="s">
        <v>299</v>
      </c>
      <c r="F175" s="308"/>
      <c r="G175" s="308"/>
      <c r="H175" s="11"/>
      <c r="J175" s="391" t="s">
        <v>297</v>
      </c>
      <c r="K175" s="392" t="s">
        <v>298</v>
      </c>
      <c r="L175" s="392"/>
      <c r="M175" s="392"/>
      <c r="N175" s="392" t="s">
        <v>299</v>
      </c>
      <c r="O175" s="308"/>
      <c r="P175" s="308"/>
      <c r="Q175" s="11"/>
      <c r="S175" s="391" t="s">
        <v>297</v>
      </c>
      <c r="T175" s="392" t="s">
        <v>298</v>
      </c>
      <c r="U175" s="392"/>
      <c r="V175" s="392"/>
      <c r="W175" s="392" t="s">
        <v>299</v>
      </c>
      <c r="X175" s="308"/>
      <c r="Y175" s="308"/>
      <c r="Z175" s="11"/>
      <c r="AB175" s="391" t="s">
        <v>297</v>
      </c>
      <c r="AC175" s="392" t="s">
        <v>298</v>
      </c>
      <c r="AD175" s="392"/>
      <c r="AE175" s="392"/>
      <c r="AF175" s="392" t="s">
        <v>299</v>
      </c>
      <c r="AG175" s="308"/>
      <c r="AH175" s="308"/>
      <c r="AI175" s="11"/>
    </row>
    <row r="176" customFormat="false" ht="17.35" hidden="false" customHeight="false" outlineLevel="0" collapsed="false">
      <c r="A176" s="393" t="n">
        <f aca="false">B104</f>
        <v>1639.88541555755</v>
      </c>
      <c r="B176" s="133" t="n">
        <f aca="false">B103</f>
        <v>0</v>
      </c>
      <c r="C176" s="392"/>
      <c r="D176" s="392"/>
      <c r="E176" s="133" t="n">
        <f aca="false">B105</f>
        <v>1639.88541555755</v>
      </c>
      <c r="F176" s="308"/>
      <c r="G176" s="308"/>
      <c r="H176" s="11"/>
      <c r="J176" s="393" t="n">
        <f aca="false">K104</f>
        <v>1569.706327631</v>
      </c>
      <c r="K176" s="133" t="n">
        <f aca="false">K103</f>
        <v>0</v>
      </c>
      <c r="L176" s="392"/>
      <c r="M176" s="392"/>
      <c r="N176" s="133" t="n">
        <f aca="false">K105</f>
        <v>1569.706327631</v>
      </c>
      <c r="O176" s="308"/>
      <c r="P176" s="308"/>
      <c r="Q176" s="11"/>
      <c r="S176" s="393" t="n">
        <f aca="false">T104</f>
        <v>1674.61110912406</v>
      </c>
      <c r="T176" s="133" t="n">
        <f aca="false">T103</f>
        <v>0</v>
      </c>
      <c r="U176" s="392"/>
      <c r="V176" s="392"/>
      <c r="W176" s="133" t="n">
        <f aca="false">T105</f>
        <v>1674.61110912406</v>
      </c>
      <c r="X176" s="308"/>
      <c r="Y176" s="308"/>
      <c r="Z176" s="11"/>
      <c r="AB176" s="393" t="n">
        <f aca="false">AC104</f>
        <v>1674.61110912406</v>
      </c>
      <c r="AC176" s="133" t="n">
        <f aca="false">AC103</f>
        <v>0</v>
      </c>
      <c r="AD176" s="392"/>
      <c r="AE176" s="392"/>
      <c r="AF176" s="133" t="n">
        <f aca="false">AC105</f>
        <v>1674.61110912406</v>
      </c>
      <c r="AG176" s="308"/>
      <c r="AH176" s="308"/>
      <c r="AI176" s="11"/>
    </row>
    <row r="177" customFormat="false" ht="17.35" hidden="false" customHeight="false" outlineLevel="0" collapsed="false">
      <c r="A177" s="293"/>
      <c r="B177" s="12"/>
      <c r="C177" s="12"/>
      <c r="D177" s="12"/>
      <c r="E177" s="308"/>
      <c r="F177" s="308"/>
      <c r="G177" s="308"/>
      <c r="H177" s="11"/>
      <c r="J177" s="293"/>
      <c r="K177" s="12"/>
      <c r="L177" s="12"/>
      <c r="M177" s="12"/>
      <c r="N177" s="308"/>
      <c r="O177" s="308"/>
      <c r="P177" s="308"/>
      <c r="Q177" s="11"/>
      <c r="S177" s="293"/>
      <c r="T177" s="12"/>
      <c r="U177" s="12"/>
      <c r="V177" s="12"/>
      <c r="W177" s="308"/>
      <c r="X177" s="308"/>
      <c r="Y177" s="308"/>
      <c r="Z177" s="11"/>
      <c r="AB177" s="293"/>
      <c r="AC177" s="12"/>
      <c r="AD177" s="12"/>
      <c r="AE177" s="12"/>
      <c r="AF177" s="308"/>
      <c r="AG177" s="308"/>
      <c r="AH177" s="308"/>
      <c r="AI177" s="11"/>
    </row>
    <row r="178" customFormat="false" ht="17.35" hidden="false" customHeight="false" outlineLevel="0" collapsed="false">
      <c r="A178" s="293" t="s">
        <v>81</v>
      </c>
      <c r="B178" s="12" t="s">
        <v>82</v>
      </c>
      <c r="C178" s="12"/>
      <c r="D178" s="308"/>
      <c r="E178" s="12" t="s">
        <v>300</v>
      </c>
      <c r="F178" s="308"/>
      <c r="G178" s="308"/>
      <c r="H178" s="11"/>
      <c r="J178" s="293" t="s">
        <v>81</v>
      </c>
      <c r="K178" s="12" t="s">
        <v>82</v>
      </c>
      <c r="L178" s="12"/>
      <c r="M178" s="308"/>
      <c r="N178" s="12" t="s">
        <v>300</v>
      </c>
      <c r="O178" s="308"/>
      <c r="P178" s="308"/>
      <c r="Q178" s="11"/>
      <c r="S178" s="293" t="s">
        <v>81</v>
      </c>
      <c r="T178" s="12" t="s">
        <v>82</v>
      </c>
      <c r="U178" s="12"/>
      <c r="V178" s="308"/>
      <c r="W178" s="12" t="s">
        <v>300</v>
      </c>
      <c r="X178" s="308"/>
      <c r="Y178" s="308"/>
      <c r="Z178" s="11"/>
      <c r="AB178" s="293" t="s">
        <v>81</v>
      </c>
      <c r="AC178" s="12" t="s">
        <v>82</v>
      </c>
      <c r="AD178" s="12"/>
      <c r="AE178" s="308"/>
      <c r="AF178" s="12" t="s">
        <v>300</v>
      </c>
      <c r="AG178" s="308"/>
      <c r="AH178" s="308"/>
      <c r="AI178" s="11"/>
    </row>
    <row r="179" customFormat="false" ht="17.35" hidden="false" customHeight="false" outlineLevel="0" collapsed="false">
      <c r="A179" s="394" t="str">
        <f aca="false">K29</f>
        <v>33</v>
      </c>
      <c r="B179" s="126" t="str">
        <f aca="false">K30</f>
        <v>5000</v>
      </c>
      <c r="C179" s="395"/>
      <c r="D179" s="308"/>
      <c r="E179" s="140" t="str">
        <f aca="false">IF(A120="YES", A40, 0)</f>
        <v>12</v>
      </c>
      <c r="F179" s="308"/>
      <c r="G179" s="308"/>
      <c r="H179" s="11"/>
      <c r="J179" s="394" t="str">
        <f aca="false">K29</f>
        <v>33</v>
      </c>
      <c r="K179" s="396" t="str">
        <f aca="false">K30</f>
        <v>5000</v>
      </c>
      <c r="L179" s="395"/>
      <c r="M179" s="308"/>
      <c r="N179" s="140" t="str">
        <f aca="false">IF(A120="YES", A40, 0)</f>
        <v>12</v>
      </c>
      <c r="O179" s="308"/>
      <c r="P179" s="308"/>
      <c r="Q179" s="11"/>
      <c r="S179" s="394" t="str">
        <f aca="false">K29</f>
        <v>33</v>
      </c>
      <c r="T179" s="396" t="str">
        <f aca="false">K30</f>
        <v>5000</v>
      </c>
      <c r="U179" s="395"/>
      <c r="V179" s="308"/>
      <c r="W179" s="140" t="str">
        <f aca="false">IF(A120="YES", A40, 0)</f>
        <v>12</v>
      </c>
      <c r="X179" s="308"/>
      <c r="Y179" s="308"/>
      <c r="Z179" s="11"/>
      <c r="AB179" s="394" t="str">
        <f aca="false">K29</f>
        <v>33</v>
      </c>
      <c r="AC179" s="396" t="str">
        <f aca="false">K30</f>
        <v>5000</v>
      </c>
      <c r="AD179" s="395"/>
      <c r="AE179" s="308"/>
      <c r="AF179" s="140" t="str">
        <f aca="false">IF(A120="YES", A40, 0)</f>
        <v>12</v>
      </c>
      <c r="AG179" s="308"/>
      <c r="AH179" s="308"/>
      <c r="AI179" s="11"/>
    </row>
    <row r="180" customFormat="false" ht="17.35" hidden="false" customHeight="false" outlineLevel="0" collapsed="false">
      <c r="A180" s="293"/>
      <c r="B180" s="12"/>
      <c r="C180" s="12"/>
      <c r="D180" s="308"/>
      <c r="E180" s="12"/>
      <c r="F180" s="308"/>
      <c r="G180" s="308"/>
      <c r="H180" s="11"/>
      <c r="J180" s="293"/>
      <c r="K180" s="12"/>
      <c r="L180" s="12"/>
      <c r="M180" s="308"/>
      <c r="N180" s="12"/>
      <c r="O180" s="308"/>
      <c r="P180" s="308"/>
      <c r="Q180" s="11"/>
      <c r="S180" s="293"/>
      <c r="T180" s="12"/>
      <c r="U180" s="12"/>
      <c r="V180" s="308"/>
      <c r="W180" s="12"/>
      <c r="X180" s="308"/>
      <c r="Y180" s="308"/>
      <c r="Z180" s="11"/>
      <c r="AB180" s="293"/>
      <c r="AC180" s="12"/>
      <c r="AD180" s="12"/>
      <c r="AE180" s="308"/>
      <c r="AF180" s="12"/>
      <c r="AG180" s="308"/>
      <c r="AH180" s="308"/>
      <c r="AI180" s="11"/>
    </row>
    <row r="181" customFormat="false" ht="17.35" hidden="false" customHeight="false" outlineLevel="0" collapsed="false">
      <c r="A181" s="293" t="s">
        <v>301</v>
      </c>
      <c r="B181" s="12" t="s">
        <v>302</v>
      </c>
      <c r="C181" s="12"/>
      <c r="D181" s="308"/>
      <c r="E181" s="12" t="s">
        <v>303</v>
      </c>
      <c r="F181" s="308"/>
      <c r="G181" s="308"/>
      <c r="H181" s="11"/>
      <c r="J181" s="293" t="s">
        <v>301</v>
      </c>
      <c r="K181" s="12" t="s">
        <v>302</v>
      </c>
      <c r="L181" s="12"/>
      <c r="M181" s="308"/>
      <c r="N181" s="12" t="s">
        <v>303</v>
      </c>
      <c r="O181" s="308"/>
      <c r="P181" s="308"/>
      <c r="Q181" s="11"/>
      <c r="S181" s="293" t="s">
        <v>301</v>
      </c>
      <c r="T181" s="12" t="s">
        <v>302</v>
      </c>
      <c r="U181" s="12"/>
      <c r="V181" s="308"/>
      <c r="W181" s="12" t="s">
        <v>303</v>
      </c>
      <c r="X181" s="308"/>
      <c r="Y181" s="308"/>
      <c r="Z181" s="11"/>
      <c r="AB181" s="293" t="s">
        <v>301</v>
      </c>
      <c r="AC181" s="12" t="s">
        <v>302</v>
      </c>
      <c r="AD181" s="12"/>
      <c r="AE181" s="308"/>
      <c r="AF181" s="12" t="s">
        <v>303</v>
      </c>
      <c r="AG181" s="308"/>
      <c r="AH181" s="308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36" t="n">
        <f aca="false">H146</f>
        <v>9647.5</v>
      </c>
      <c r="C182" s="316"/>
      <c r="D182" s="308"/>
      <c r="E182" s="140" t="n">
        <f aca="false">H148+H149</f>
        <v>640</v>
      </c>
      <c r="F182" s="308"/>
      <c r="G182" s="308"/>
      <c r="H182" s="11"/>
      <c r="J182" s="139" t="n">
        <f aca="false">Q150-Q146-Q148-Q149</f>
        <v>30012.5</v>
      </c>
      <c r="K182" s="136" t="n">
        <f aca="false">Q146</f>
        <v>6002.5</v>
      </c>
      <c r="L182" s="316"/>
      <c r="M182" s="308"/>
      <c r="N182" s="140" t="n">
        <f aca="false">Q148+Q149</f>
        <v>640</v>
      </c>
      <c r="O182" s="308"/>
      <c r="P182" s="308"/>
      <c r="Q182" s="11"/>
      <c r="S182" s="139" t="n">
        <f aca="false">Z150-Z146-Z148-Z149</f>
        <v>36523.9575</v>
      </c>
      <c r="T182" s="136" t="n">
        <f aca="false">Z146</f>
        <v>7304.7915</v>
      </c>
      <c r="U182" s="316"/>
      <c r="V182" s="308"/>
      <c r="W182" s="140" t="n">
        <f aca="false">Z148+Z149</f>
        <v>640</v>
      </c>
      <c r="X182" s="308"/>
      <c r="Y182" s="308"/>
      <c r="Z182" s="11"/>
      <c r="AB182" s="139" t="n">
        <f aca="false">AI150-AI146-AI148-AI149</f>
        <v>36523.9575</v>
      </c>
      <c r="AC182" s="136" t="n">
        <f aca="false">AI146</f>
        <v>7304.7915</v>
      </c>
      <c r="AD182" s="316"/>
      <c r="AE182" s="308"/>
      <c r="AF182" s="140" t="n">
        <f aca="false">AI148+AI149</f>
        <v>640</v>
      </c>
      <c r="AG182" s="308"/>
      <c r="AH182" s="308"/>
      <c r="AI182" s="11"/>
    </row>
    <row r="183" customFormat="false" ht="17.35" hidden="false" customHeight="false" outlineLevel="0" collapsed="false">
      <c r="A183" s="293"/>
      <c r="B183" s="12"/>
      <c r="C183" s="12"/>
      <c r="D183" s="308"/>
      <c r="E183" s="12"/>
      <c r="F183" s="308"/>
      <c r="G183" s="308"/>
      <c r="H183" s="11"/>
      <c r="J183" s="293"/>
      <c r="K183" s="12"/>
      <c r="L183" s="12"/>
      <c r="M183" s="308"/>
      <c r="N183" s="12"/>
      <c r="O183" s="308"/>
      <c r="P183" s="308"/>
      <c r="Q183" s="11"/>
      <c r="S183" s="293"/>
      <c r="T183" s="12"/>
      <c r="U183" s="12"/>
      <c r="V183" s="308"/>
      <c r="W183" s="12"/>
      <c r="X183" s="308"/>
      <c r="Y183" s="308"/>
      <c r="Z183" s="11"/>
      <c r="AB183" s="293"/>
      <c r="AC183" s="12"/>
      <c r="AD183" s="12"/>
      <c r="AE183" s="308"/>
      <c r="AF183" s="12"/>
      <c r="AG183" s="308"/>
      <c r="AH183" s="308"/>
      <c r="AI183" s="11"/>
    </row>
    <row r="184" customFormat="false" ht="17.35" hidden="false" customHeight="false" outlineLevel="0" collapsed="false">
      <c r="A184" s="293" t="s">
        <v>304</v>
      </c>
      <c r="B184" s="12" t="s">
        <v>145</v>
      </c>
      <c r="C184" s="12"/>
      <c r="D184" s="308"/>
      <c r="E184" s="12" t="s">
        <v>281</v>
      </c>
      <c r="F184" s="308"/>
      <c r="G184" s="308"/>
      <c r="H184" s="11"/>
      <c r="J184" s="293" t="s">
        <v>304</v>
      </c>
      <c r="K184" s="12" t="s">
        <v>145</v>
      </c>
      <c r="L184" s="12"/>
      <c r="M184" s="308"/>
      <c r="N184" s="12" t="s">
        <v>281</v>
      </c>
      <c r="O184" s="308"/>
      <c r="P184" s="308"/>
      <c r="Q184" s="11"/>
      <c r="S184" s="293" t="s">
        <v>304</v>
      </c>
      <c r="T184" s="12" t="s">
        <v>145</v>
      </c>
      <c r="U184" s="12"/>
      <c r="V184" s="308"/>
      <c r="W184" s="12" t="s">
        <v>281</v>
      </c>
      <c r="X184" s="308"/>
      <c r="Y184" s="308"/>
      <c r="Z184" s="11"/>
      <c r="AB184" s="293" t="s">
        <v>304</v>
      </c>
      <c r="AC184" s="12" t="s">
        <v>145</v>
      </c>
      <c r="AD184" s="12"/>
      <c r="AE184" s="308"/>
      <c r="AF184" s="12" t="s">
        <v>281</v>
      </c>
      <c r="AG184" s="308"/>
      <c r="AH184" s="308"/>
      <c r="AI184" s="11"/>
    </row>
    <row r="185" customFormat="false" ht="17.35" hidden="false" customHeight="false" outlineLevel="0" collapsed="false">
      <c r="A185" s="139" t="n">
        <f aca="false">H156</f>
        <v>58525</v>
      </c>
      <c r="B185" s="136" t="n">
        <f aca="false">B120</f>
        <v>0</v>
      </c>
      <c r="C185" s="136"/>
      <c r="D185" s="308"/>
      <c r="E185" s="136" t="n">
        <f aca="false">E120</f>
        <v>0</v>
      </c>
      <c r="F185" s="308"/>
      <c r="G185" s="308"/>
      <c r="H185" s="146"/>
      <c r="J185" s="139" t="n">
        <f aca="false">Q150</f>
        <v>36655</v>
      </c>
      <c r="K185" s="136" t="n">
        <f aca="false">K120</f>
        <v>1000</v>
      </c>
      <c r="L185" s="136"/>
      <c r="M185" s="308"/>
      <c r="N185" s="136" t="n">
        <f aca="false">N120</f>
        <v>0</v>
      </c>
      <c r="O185" s="308"/>
      <c r="P185" s="308"/>
      <c r="Q185" s="146"/>
      <c r="S185" s="139" t="n">
        <f aca="false">Z150</f>
        <v>44468.749</v>
      </c>
      <c r="T185" s="136" t="n">
        <f aca="false">T120</f>
        <v>1000</v>
      </c>
      <c r="U185" s="136"/>
      <c r="V185" s="308"/>
      <c r="W185" s="136" t="n">
        <f aca="false">W120</f>
        <v>0</v>
      </c>
      <c r="X185" s="308"/>
      <c r="Y185" s="308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308"/>
      <c r="AF185" s="136" t="n">
        <f aca="false">AF120</f>
        <v>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12"/>
      <c r="C186" s="12"/>
      <c r="D186" s="308"/>
      <c r="E186" s="12"/>
      <c r="F186" s="308"/>
      <c r="G186" s="308"/>
      <c r="H186" s="11"/>
      <c r="J186" s="293"/>
      <c r="K186" s="12"/>
      <c r="L186" s="12"/>
      <c r="M186" s="308"/>
      <c r="N186" s="12"/>
      <c r="O186" s="308"/>
      <c r="P186" s="308"/>
      <c r="Q186" s="11"/>
      <c r="S186" s="293"/>
      <c r="T186" s="12"/>
      <c r="U186" s="12"/>
      <c r="V186" s="308"/>
      <c r="W186" s="12"/>
      <c r="X186" s="308"/>
      <c r="Y186" s="308"/>
      <c r="Z186" s="11"/>
      <c r="AB186" s="293"/>
      <c r="AC186" s="12"/>
      <c r="AD186" s="12"/>
      <c r="AE186" s="308"/>
      <c r="AF186" s="12"/>
      <c r="AG186" s="308"/>
      <c r="AH186" s="308"/>
      <c r="AI186" s="11"/>
    </row>
    <row r="187" customFormat="false" ht="17.35" hidden="false" customHeight="false" outlineLevel="0" collapsed="false">
      <c r="A187" s="293" t="s">
        <v>282</v>
      </c>
      <c r="B187" s="12" t="s">
        <v>141</v>
      </c>
      <c r="C187" s="12"/>
      <c r="D187" s="308"/>
      <c r="E187" s="12" t="s">
        <v>296</v>
      </c>
      <c r="F187" s="308"/>
      <c r="G187" s="308"/>
      <c r="H187" s="11"/>
      <c r="J187" s="293" t="s">
        <v>282</v>
      </c>
      <c r="K187" s="12" t="s">
        <v>141</v>
      </c>
      <c r="L187" s="12"/>
      <c r="M187" s="308"/>
      <c r="N187" s="12" t="s">
        <v>296</v>
      </c>
      <c r="O187" s="308"/>
      <c r="P187" s="308"/>
      <c r="Q187" s="11"/>
      <c r="S187" s="293" t="s">
        <v>282</v>
      </c>
      <c r="T187" s="12" t="s">
        <v>141</v>
      </c>
      <c r="U187" s="12"/>
      <c r="V187" s="308"/>
      <c r="W187" s="12" t="s">
        <v>296</v>
      </c>
      <c r="X187" s="308"/>
      <c r="Y187" s="308"/>
      <c r="Z187" s="11"/>
      <c r="AB187" s="293" t="s">
        <v>282</v>
      </c>
      <c r="AC187" s="12" t="s">
        <v>141</v>
      </c>
      <c r="AD187" s="12"/>
      <c r="AE187" s="308"/>
      <c r="AF187" s="12" t="s">
        <v>296</v>
      </c>
      <c r="AG187" s="308"/>
      <c r="AH187" s="308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36" t="n">
        <f aca="false">G163</f>
        <v>0</v>
      </c>
      <c r="C188" s="136"/>
      <c r="D188" s="308"/>
      <c r="E188" s="136" t="n">
        <f aca="false">A185-A188-B188</f>
        <v>58525</v>
      </c>
      <c r="F188" s="308"/>
      <c r="G188" s="308"/>
      <c r="H188" s="146"/>
      <c r="J188" s="141" t="n">
        <f aca="false">K185+N185</f>
        <v>1000</v>
      </c>
      <c r="K188" s="136" t="n">
        <f aca="false">P163</f>
        <v>-2000</v>
      </c>
      <c r="L188" s="136"/>
      <c r="M188" s="308"/>
      <c r="N188" s="136" t="n">
        <f aca="false">J185-J188-K188</f>
        <v>37655</v>
      </c>
      <c r="O188" s="308"/>
      <c r="P188" s="308"/>
      <c r="Q188" s="146"/>
      <c r="S188" s="141" t="n">
        <f aca="false">T185+W185</f>
        <v>1000</v>
      </c>
      <c r="T188" s="136" t="n">
        <f aca="false">Y163</f>
        <v>-2000</v>
      </c>
      <c r="U188" s="136"/>
      <c r="V188" s="308"/>
      <c r="W188" s="136" t="n">
        <f aca="false">S185-S188-T188</f>
        <v>45468.749</v>
      </c>
      <c r="X188" s="308"/>
      <c r="Y188" s="308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308"/>
      <c r="AF188" s="136" t="n">
        <f aca="false">AB185-AB188-AC188</f>
        <v>45468.749</v>
      </c>
      <c r="AG188" s="308"/>
      <c r="AH188" s="308"/>
      <c r="AI188" s="146"/>
    </row>
    <row r="189" customFormat="false" ht="17.35" hidden="false" customHeight="false" outlineLevel="0" collapsed="false">
      <c r="A189" s="293"/>
      <c r="B189" s="12"/>
      <c r="C189" s="12"/>
      <c r="D189" s="308"/>
      <c r="E189" s="12"/>
      <c r="F189" s="308"/>
      <c r="G189" s="308"/>
      <c r="H189" s="11"/>
      <c r="J189" s="293"/>
      <c r="K189" s="12"/>
      <c r="L189" s="12"/>
      <c r="M189" s="308"/>
      <c r="N189" s="12"/>
      <c r="O189" s="308"/>
      <c r="P189" s="308"/>
      <c r="Q189" s="11"/>
      <c r="S189" s="293"/>
      <c r="T189" s="12"/>
      <c r="U189" s="12"/>
      <c r="V189" s="308"/>
      <c r="W189" s="12"/>
      <c r="X189" s="308"/>
      <c r="Y189" s="308"/>
      <c r="Z189" s="11"/>
      <c r="AB189" s="293"/>
      <c r="AC189" s="12"/>
      <c r="AD189" s="12"/>
      <c r="AE189" s="308"/>
      <c r="AF189" s="12"/>
      <c r="AG189" s="308"/>
      <c r="AH189" s="308"/>
      <c r="AI189" s="11"/>
    </row>
    <row r="190" customFormat="false" ht="17.35" hidden="false" customHeight="false" outlineLevel="0" collapsed="false">
      <c r="A190" s="293" t="s">
        <v>305</v>
      </c>
      <c r="B190" s="12" t="s">
        <v>54</v>
      </c>
      <c r="C190" s="12"/>
      <c r="D190" s="308"/>
      <c r="E190" s="12" t="s">
        <v>306</v>
      </c>
      <c r="F190" s="308"/>
      <c r="G190" s="308"/>
      <c r="H190" s="11"/>
      <c r="J190" s="293" t="s">
        <v>305</v>
      </c>
      <c r="K190" s="12" t="s">
        <v>54</v>
      </c>
      <c r="L190" s="12"/>
      <c r="M190" s="308"/>
      <c r="N190" s="12" t="s">
        <v>306</v>
      </c>
      <c r="O190" s="308"/>
      <c r="P190" s="308"/>
      <c r="Q190" s="11"/>
      <c r="S190" s="293" t="s">
        <v>305</v>
      </c>
      <c r="T190" s="12" t="s">
        <v>54</v>
      </c>
      <c r="U190" s="12"/>
      <c r="V190" s="308"/>
      <c r="W190" s="12" t="s">
        <v>306</v>
      </c>
      <c r="X190" s="308"/>
      <c r="Y190" s="308"/>
      <c r="Z190" s="11"/>
      <c r="AB190" s="293" t="s">
        <v>305</v>
      </c>
      <c r="AC190" s="12" t="s">
        <v>54</v>
      </c>
      <c r="AD190" s="12"/>
      <c r="AE190" s="308"/>
      <c r="AF190" s="12" t="s">
        <v>306</v>
      </c>
      <c r="AG190" s="308"/>
      <c r="AH190" s="308"/>
      <c r="AI190" s="11"/>
    </row>
    <row r="191" customFormat="false" ht="17.35" hidden="false" customHeight="false" outlineLevel="0" collapsed="false">
      <c r="A191" s="141" t="n">
        <f aca="false">(A176*B68)+E194-E188-A194</f>
        <v>-6036.66670215851</v>
      </c>
      <c r="B191" s="136" t="n">
        <f aca="false">B123</f>
        <v>416.67</v>
      </c>
      <c r="C191" s="136"/>
      <c r="D191" s="308"/>
      <c r="E191" s="136" t="n">
        <f aca="false">E188+A191+B191+A194</f>
        <v>52915.0032978415</v>
      </c>
      <c r="F191" s="308"/>
      <c r="G191" s="308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308"/>
      <c r="N191" s="136" t="n">
        <f aca="false">N188+J191+K191+J194</f>
        <v>50502.592484192</v>
      </c>
      <c r="O191" s="308"/>
      <c r="P191" s="308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308"/>
      <c r="W191" s="136" t="n">
        <f aca="false">W188+S191+T191+S194</f>
        <v>53809.5454919699</v>
      </c>
      <c r="X191" s="308"/>
      <c r="Y191" s="308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308"/>
      <c r="AF191" s="136" t="n">
        <f aca="false">AF188+AB191+AC191+AB194</f>
        <v>53849.5454919699</v>
      </c>
      <c r="AG191" s="308"/>
      <c r="AH191" s="308"/>
      <c r="AI191" s="146"/>
    </row>
    <row r="192" customFormat="false" ht="17.35" hidden="false" customHeight="false" outlineLevel="0" collapsed="false">
      <c r="A192" s="293"/>
      <c r="B192" s="12"/>
      <c r="C192" s="12"/>
      <c r="D192" s="308"/>
      <c r="E192" s="12"/>
      <c r="F192" s="308"/>
      <c r="G192" s="308"/>
      <c r="H192" s="11"/>
      <c r="J192" s="293"/>
      <c r="K192" s="12"/>
      <c r="L192" s="12"/>
      <c r="M192" s="308"/>
      <c r="N192" s="12"/>
      <c r="O192" s="308"/>
      <c r="P192" s="308"/>
      <c r="Q192" s="11"/>
      <c r="S192" s="293"/>
      <c r="T192" s="12"/>
      <c r="U192" s="12"/>
      <c r="V192" s="308"/>
      <c r="W192" s="12"/>
      <c r="X192" s="308"/>
      <c r="Y192" s="308"/>
      <c r="Z192" s="11"/>
      <c r="AB192" s="293"/>
      <c r="AC192" s="12"/>
      <c r="AD192" s="12"/>
      <c r="AE192" s="308"/>
      <c r="AF192" s="12"/>
      <c r="AG192" s="308"/>
      <c r="AH192" s="308"/>
      <c r="AI192" s="11"/>
    </row>
    <row r="193" customFormat="false" ht="17.35" hidden="false" customHeight="false" outlineLevel="0" collapsed="false">
      <c r="A193" s="293" t="s">
        <v>307</v>
      </c>
      <c r="B193" s="12" t="s">
        <v>308</v>
      </c>
      <c r="C193" s="12"/>
      <c r="D193" s="308"/>
      <c r="E193" s="12" t="s">
        <v>309</v>
      </c>
      <c r="F193" s="308"/>
      <c r="G193" s="308"/>
      <c r="H193" s="11"/>
      <c r="J193" s="293" t="s">
        <v>307</v>
      </c>
      <c r="K193" s="12" t="s">
        <v>308</v>
      </c>
      <c r="L193" s="12"/>
      <c r="M193" s="308"/>
      <c r="N193" s="12" t="s">
        <v>309</v>
      </c>
      <c r="O193" s="308"/>
      <c r="P193" s="308"/>
      <c r="Q193" s="11"/>
      <c r="S193" s="293" t="s">
        <v>307</v>
      </c>
      <c r="T193" s="12" t="s">
        <v>308</v>
      </c>
      <c r="U193" s="12"/>
      <c r="V193" s="308"/>
      <c r="W193" s="12" t="s">
        <v>309</v>
      </c>
      <c r="X193" s="308"/>
      <c r="Y193" s="308"/>
      <c r="Z193" s="11"/>
      <c r="AB193" s="293" t="s">
        <v>307</v>
      </c>
      <c r="AC193" s="12" t="s">
        <v>308</v>
      </c>
      <c r="AD193" s="12"/>
      <c r="AE193" s="308"/>
      <c r="AF193" s="12" t="s">
        <v>309</v>
      </c>
      <c r="AG193" s="308"/>
      <c r="AH193" s="308"/>
      <c r="AI193" s="11"/>
    </row>
    <row r="194" customFormat="false" ht="17.35" hidden="false" customHeight="false" outlineLevel="0" collapsed="false">
      <c r="A194" s="141" t="n">
        <f aca="false">B69</f>
        <v>10</v>
      </c>
      <c r="B194" s="136" t="n">
        <f aca="false">A188+B191</f>
        <v>416.67</v>
      </c>
      <c r="C194" s="136"/>
      <c r="D194" s="308"/>
      <c r="E194" s="136" t="n">
        <f aca="false">E179+A194</f>
        <v>22</v>
      </c>
      <c r="F194" s="308"/>
      <c r="G194" s="308"/>
      <c r="H194" s="146"/>
      <c r="J194" s="141" t="n">
        <f aca="false">K69</f>
        <v>20</v>
      </c>
      <c r="K194" s="136" t="n">
        <f aca="false">J188+K191</f>
        <v>1239.99</v>
      </c>
      <c r="L194" s="136"/>
      <c r="M194" s="308"/>
      <c r="N194" s="136" t="n">
        <f aca="false">N179+J194</f>
        <v>32</v>
      </c>
      <c r="O194" s="308"/>
      <c r="P194" s="308"/>
      <c r="Q194" s="146"/>
      <c r="S194" s="141" t="n">
        <f aca="false">T69</f>
        <v>10</v>
      </c>
      <c r="T194" s="136" t="n">
        <f aca="false">S188+T191</f>
        <v>1199.99</v>
      </c>
      <c r="U194" s="136"/>
      <c r="V194" s="308"/>
      <c r="W194" s="136" t="n">
        <f aca="false">W179+S194</f>
        <v>22</v>
      </c>
      <c r="X194" s="308"/>
      <c r="Y194" s="308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308"/>
      <c r="AF194" s="136" t="n">
        <f aca="false">AF179+AB194</f>
        <v>22</v>
      </c>
      <c r="AG194" s="308"/>
      <c r="AH194" s="308"/>
      <c r="AI194" s="146"/>
    </row>
    <row r="195" customFormat="false" ht="17.35" hidden="false" customHeight="false" outlineLevel="0" collapsed="false">
      <c r="A195" s="293"/>
      <c r="B195" s="12"/>
      <c r="C195" s="12"/>
      <c r="D195" s="12"/>
      <c r="E195" s="308"/>
      <c r="F195" s="308"/>
      <c r="G195" s="308"/>
      <c r="H195" s="11"/>
      <c r="J195" s="293"/>
      <c r="K195" s="12"/>
      <c r="L195" s="12"/>
      <c r="M195" s="12"/>
      <c r="N195" s="308"/>
      <c r="O195" s="308"/>
      <c r="P195" s="308"/>
      <c r="Q195" s="11"/>
      <c r="S195" s="293"/>
      <c r="T195" s="12"/>
      <c r="U195" s="12"/>
      <c r="V195" s="12"/>
      <c r="W195" s="308"/>
      <c r="X195" s="12"/>
      <c r="Y195" s="12"/>
      <c r="Z195" s="11"/>
      <c r="AB195" s="293"/>
      <c r="AC195" s="12"/>
      <c r="AD195" s="12"/>
      <c r="AE195" s="12"/>
      <c r="AF195" s="308"/>
      <c r="AG195" s="308"/>
      <c r="AH195" s="308"/>
      <c r="AI195" s="11"/>
    </row>
    <row r="196" customFormat="false" ht="17.35" hidden="false" customHeight="false" outlineLevel="0" collapsed="false">
      <c r="A196" s="293" t="s">
        <v>310</v>
      </c>
      <c r="B196" s="12" t="s">
        <v>311</v>
      </c>
      <c r="C196" s="12"/>
      <c r="D196" s="12"/>
      <c r="E196" s="115" t="s">
        <v>312</v>
      </c>
      <c r="F196" s="308"/>
      <c r="G196" s="308"/>
      <c r="H196" s="11"/>
      <c r="J196" s="293" t="s">
        <v>310</v>
      </c>
      <c r="K196" s="12" t="s">
        <v>311</v>
      </c>
      <c r="L196" s="12"/>
      <c r="M196" s="12"/>
      <c r="N196" s="115" t="s">
        <v>312</v>
      </c>
      <c r="O196" s="308"/>
      <c r="P196" s="308"/>
      <c r="Q196" s="11"/>
      <c r="S196" s="293" t="s">
        <v>310</v>
      </c>
      <c r="T196" s="12" t="s">
        <v>311</v>
      </c>
      <c r="U196" s="12"/>
      <c r="V196" s="12"/>
      <c r="W196" s="115" t="s">
        <v>312</v>
      </c>
      <c r="X196" s="12"/>
      <c r="Y196" s="12"/>
      <c r="Z196" s="11"/>
      <c r="AB196" s="293" t="s">
        <v>310</v>
      </c>
      <c r="AC196" s="12" t="s">
        <v>311</v>
      </c>
      <c r="AD196" s="12"/>
      <c r="AE196" s="12"/>
      <c r="AF196" s="115" t="s">
        <v>312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IF(E114="YES", H15*0.000002, 0)</f>
        <v>0.11705</v>
      </c>
      <c r="B197" s="136" t="n">
        <f aca="false">(G167*B76)</f>
        <v>548.671875</v>
      </c>
      <c r="C197" s="12"/>
      <c r="D197" s="12"/>
      <c r="E197" s="136" t="n">
        <f aca="false">(E40*A117)*0.1</f>
        <v>0</v>
      </c>
      <c r="F197" s="308"/>
      <c r="G197" s="308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308"/>
      <c r="P197" s="308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36"/>
      <c r="C198" s="12"/>
      <c r="D198" s="12"/>
      <c r="E198" s="308"/>
      <c r="F198" s="308"/>
      <c r="G198" s="308"/>
      <c r="H198" s="11"/>
      <c r="J198" s="141"/>
      <c r="K198" s="136"/>
      <c r="L198" s="12"/>
      <c r="M198" s="12"/>
      <c r="N198" s="308"/>
      <c r="O198" s="308"/>
      <c r="P198" s="308"/>
      <c r="Q198" s="11"/>
      <c r="S198" s="141"/>
      <c r="T198" s="136"/>
      <c r="U198" s="12"/>
      <c r="V198" s="12"/>
      <c r="W198" s="308"/>
      <c r="X198" s="12"/>
      <c r="Y198" s="12"/>
      <c r="Z198" s="11"/>
      <c r="AB198" s="141"/>
      <c r="AC198" s="136"/>
      <c r="AD198" s="12"/>
      <c r="AE198" s="12"/>
      <c r="AF198" s="308"/>
      <c r="AG198" s="12"/>
      <c r="AH198" s="12"/>
      <c r="AI198" s="11"/>
    </row>
    <row r="199" customFormat="false" ht="17.35" hidden="false" customHeight="false" outlineLevel="0" collapsed="false">
      <c r="A199" s="144" t="s">
        <v>313</v>
      </c>
      <c r="B199" s="115" t="s">
        <v>314</v>
      </c>
      <c r="C199" s="12"/>
      <c r="D199" s="12"/>
      <c r="E199" s="115" t="s">
        <v>315</v>
      </c>
      <c r="F199" s="308"/>
      <c r="G199" s="308"/>
      <c r="H199" s="11"/>
      <c r="J199" s="144" t="s">
        <v>313</v>
      </c>
      <c r="K199" s="115" t="s">
        <v>314</v>
      </c>
      <c r="L199" s="12"/>
      <c r="M199" s="12"/>
      <c r="N199" s="115" t="s">
        <v>315</v>
      </c>
      <c r="O199" s="308"/>
      <c r="P199" s="308"/>
      <c r="Q199" s="11"/>
      <c r="S199" s="144" t="s">
        <v>313</v>
      </c>
      <c r="T199" s="115" t="s">
        <v>314</v>
      </c>
      <c r="U199" s="12"/>
      <c r="V199" s="12"/>
      <c r="W199" s="115" t="s">
        <v>315</v>
      </c>
      <c r="X199" s="12"/>
      <c r="Y199" s="12"/>
      <c r="Z199" s="11"/>
      <c r="AB199" s="144" t="s">
        <v>313</v>
      </c>
      <c r="AC199" s="115" t="s">
        <v>314</v>
      </c>
      <c r="AD199" s="12"/>
      <c r="AE199" s="12"/>
      <c r="AF199" s="115" t="s">
        <v>315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B194-100</f>
        <v>316.67</v>
      </c>
      <c r="B200" s="136" t="n">
        <f aca="false">B197+E197+A200</f>
        <v>865.341875</v>
      </c>
      <c r="C200" s="12"/>
      <c r="D200" s="12"/>
      <c r="E200" s="136" t="n">
        <f aca="false">H157</f>
        <v>0</v>
      </c>
      <c r="F200" s="308"/>
      <c r="G200" s="308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308"/>
      <c r="P200" s="308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93"/>
      <c r="B201" s="12"/>
      <c r="C201" s="12"/>
      <c r="D201" s="12"/>
      <c r="E201" s="308"/>
      <c r="F201" s="308"/>
      <c r="G201" s="308"/>
      <c r="H201" s="11"/>
      <c r="J201" s="293"/>
      <c r="K201" s="12"/>
      <c r="L201" s="12"/>
      <c r="M201" s="12"/>
      <c r="N201" s="308"/>
      <c r="O201" s="308"/>
      <c r="P201" s="308"/>
      <c r="Q201" s="11"/>
      <c r="S201" s="293"/>
      <c r="T201" s="12"/>
      <c r="U201" s="12"/>
      <c r="V201" s="12"/>
      <c r="W201" s="308"/>
      <c r="X201" s="308"/>
      <c r="Y201" s="308"/>
      <c r="Z201" s="11"/>
      <c r="AB201" s="293"/>
      <c r="AC201" s="12"/>
      <c r="AD201" s="12"/>
      <c r="AE201" s="12"/>
      <c r="AF201" s="308"/>
      <c r="AG201" s="308"/>
      <c r="AH201" s="308"/>
      <c r="AI201" s="11"/>
    </row>
    <row r="202" customFormat="false" ht="17.35" hidden="false" customHeight="false" outlineLevel="0" collapsed="false">
      <c r="A202" s="326" t="s">
        <v>316</v>
      </c>
      <c r="B202" s="12"/>
      <c r="C202" s="12"/>
      <c r="D202" s="327"/>
      <c r="E202" s="327"/>
      <c r="F202" s="327"/>
      <c r="G202" s="327"/>
      <c r="H202" s="328"/>
      <c r="J202" s="326" t="s">
        <v>316</v>
      </c>
      <c r="K202" s="12"/>
      <c r="L202" s="12"/>
      <c r="M202" s="327"/>
      <c r="N202" s="327"/>
      <c r="O202" s="327"/>
      <c r="P202" s="327"/>
      <c r="Q202" s="328"/>
      <c r="S202" s="326" t="s">
        <v>316</v>
      </c>
      <c r="T202" s="12"/>
      <c r="U202" s="12"/>
      <c r="V202" s="327"/>
      <c r="W202" s="327"/>
      <c r="X202" s="327"/>
      <c r="Y202" s="327"/>
      <c r="Z202" s="328"/>
      <c r="AB202" s="326" t="s">
        <v>316</v>
      </c>
      <c r="AC202" s="12"/>
      <c r="AD202" s="12"/>
      <c r="AE202" s="327"/>
      <c r="AF202" s="327"/>
      <c r="AG202" s="327"/>
      <c r="AH202" s="327"/>
      <c r="AI202" s="328"/>
    </row>
    <row r="203" customFormat="false" ht="17.35" hidden="false" customHeight="false" outlineLevel="0" collapsed="false">
      <c r="A203" s="293"/>
      <c r="B203" s="329"/>
      <c r="C203" s="329"/>
      <c r="D203" s="12"/>
      <c r="E203" s="308"/>
      <c r="F203" s="308"/>
      <c r="G203" s="308"/>
      <c r="H203" s="11"/>
      <c r="J203" s="293"/>
      <c r="K203" s="329"/>
      <c r="L203" s="329"/>
      <c r="M203" s="12"/>
      <c r="N203" s="308"/>
      <c r="O203" s="308"/>
      <c r="P203" s="308"/>
      <c r="Q203" s="11"/>
      <c r="S203" s="293"/>
      <c r="T203" s="329"/>
      <c r="U203" s="329"/>
      <c r="V203" s="12"/>
      <c r="W203" s="308"/>
      <c r="X203" s="308"/>
      <c r="Y203" s="308"/>
      <c r="Z203" s="11"/>
      <c r="AB203" s="293"/>
      <c r="AC203" s="329"/>
      <c r="AD203" s="329"/>
      <c r="AE203" s="12"/>
      <c r="AF203" s="308"/>
      <c r="AG203" s="308"/>
      <c r="AH203" s="308"/>
      <c r="AI203" s="11"/>
    </row>
    <row r="204" customFormat="false" ht="19.7" hidden="false" customHeight="false" outlineLevel="0" collapsed="false">
      <c r="A204" s="397" t="s">
        <v>81</v>
      </c>
      <c r="B204" s="331" t="s">
        <v>82</v>
      </c>
      <c r="C204" s="331"/>
      <c r="D204" s="331"/>
      <c r="E204" s="308"/>
      <c r="F204" s="308"/>
      <c r="G204" s="308"/>
      <c r="H204" s="11"/>
      <c r="J204" s="397" t="s">
        <v>81</v>
      </c>
      <c r="K204" s="398" t="s">
        <v>82</v>
      </c>
      <c r="L204" s="398"/>
      <c r="M204" s="398"/>
      <c r="N204" s="308"/>
      <c r="O204" s="308"/>
      <c r="P204" s="308"/>
      <c r="Q204" s="11"/>
      <c r="S204" s="397" t="s">
        <v>81</v>
      </c>
      <c r="T204" s="331" t="s">
        <v>82</v>
      </c>
      <c r="U204" s="331"/>
      <c r="V204" s="331"/>
      <c r="W204" s="308"/>
      <c r="X204" s="308"/>
      <c r="Y204" s="308"/>
      <c r="Z204" s="11"/>
      <c r="AB204" s="397" t="s">
        <v>81</v>
      </c>
      <c r="AC204" s="331" t="s">
        <v>82</v>
      </c>
      <c r="AD204" s="331"/>
      <c r="AE204" s="331"/>
      <c r="AF204" s="308"/>
      <c r="AG204" s="308"/>
      <c r="AH204" s="308"/>
      <c r="AI204" s="11"/>
    </row>
    <row r="205" customFormat="false" ht="19.5" hidden="false" customHeight="true" outlineLevel="0" collapsed="false">
      <c r="A205" s="397"/>
      <c r="B205" s="332" t="str">
        <f aca="false">K30</f>
        <v>5000</v>
      </c>
      <c r="C205" s="332"/>
      <c r="D205" s="332"/>
      <c r="E205" s="308"/>
      <c r="F205" s="308"/>
      <c r="G205" s="308"/>
      <c r="H205" s="11"/>
      <c r="J205" s="397"/>
      <c r="K205" s="399" t="str">
        <f aca="false">K30</f>
        <v>5000</v>
      </c>
      <c r="L205" s="399"/>
      <c r="M205" s="399"/>
      <c r="N205" s="308"/>
      <c r="O205" s="308"/>
      <c r="P205" s="308"/>
      <c r="Q205" s="11"/>
      <c r="S205" s="397"/>
      <c r="T205" s="332" t="str">
        <f aca="false">K30</f>
        <v>5000</v>
      </c>
      <c r="U205" s="332"/>
      <c r="V205" s="332"/>
      <c r="W205" s="308"/>
      <c r="X205" s="308"/>
      <c r="Y205" s="308"/>
      <c r="Z205" s="11"/>
      <c r="AB205" s="397"/>
      <c r="AC205" s="332" t="str">
        <f aca="false">K30</f>
        <v>5000</v>
      </c>
      <c r="AD205" s="332"/>
      <c r="AE205" s="332"/>
      <c r="AF205" s="308"/>
      <c r="AG205" s="308"/>
      <c r="AH205" s="308"/>
      <c r="AI205" s="11"/>
    </row>
    <row r="206" customFormat="false" ht="17.35" hidden="false" customHeight="false" outlineLevel="0" collapsed="false">
      <c r="A206" s="333" t="str">
        <f aca="false">K29</f>
        <v>33</v>
      </c>
      <c r="B206" s="71" t="n">
        <f aca="false">B105</f>
        <v>1639.88541555755</v>
      </c>
      <c r="C206" s="71"/>
      <c r="D206" s="71"/>
      <c r="E206" s="308"/>
      <c r="F206" s="308"/>
      <c r="G206" s="308"/>
      <c r="H206" s="11"/>
      <c r="J206" s="333" t="str">
        <f aca="false">K29</f>
        <v>33</v>
      </c>
      <c r="K206" s="71" t="n">
        <f aca="false">K105</f>
        <v>1569.706327631</v>
      </c>
      <c r="L206" s="71"/>
      <c r="M206" s="71"/>
      <c r="N206" s="308"/>
      <c r="O206" s="308"/>
      <c r="P206" s="308"/>
      <c r="Q206" s="11"/>
      <c r="S206" s="333" t="str">
        <f aca="false">K29</f>
        <v>33</v>
      </c>
      <c r="T206" s="71" t="n">
        <f aca="false">T105</f>
        <v>1674.61110912406</v>
      </c>
      <c r="U206" s="71"/>
      <c r="V206" s="71"/>
      <c r="W206" s="308"/>
      <c r="X206" s="308"/>
      <c r="Y206" s="308"/>
      <c r="Z206" s="11"/>
      <c r="AB206" s="333" t="str">
        <f aca="false">K29</f>
        <v>33</v>
      </c>
      <c r="AC206" s="71" t="n">
        <f aca="false">AC105</f>
        <v>1674.61110912406</v>
      </c>
      <c r="AD206" s="71"/>
      <c r="AE206" s="71"/>
      <c r="AF206" s="308"/>
      <c r="AG206" s="308"/>
      <c r="AH206" s="308"/>
      <c r="AI206" s="11"/>
    </row>
    <row r="207" customFormat="false" ht="17.35" hidden="false" customHeight="false" outlineLevel="0" collapsed="false">
      <c r="A207" s="293"/>
      <c r="B207" s="12"/>
      <c r="C207" s="12"/>
      <c r="D207" s="12"/>
      <c r="E207" s="308"/>
      <c r="F207" s="308"/>
      <c r="G207" s="308"/>
      <c r="H207" s="11"/>
      <c r="J207" s="293"/>
      <c r="K207" s="12"/>
      <c r="L207" s="12"/>
      <c r="M207" s="12"/>
      <c r="N207" s="308"/>
      <c r="O207" s="308"/>
      <c r="P207" s="308"/>
      <c r="Q207" s="11"/>
      <c r="S207" s="293"/>
      <c r="T207" s="12"/>
      <c r="U207" s="12"/>
      <c r="V207" s="12"/>
      <c r="W207" s="308"/>
      <c r="X207" s="308"/>
      <c r="Y207" s="308"/>
      <c r="Z207" s="11"/>
      <c r="AB207" s="293"/>
      <c r="AC207" s="12"/>
      <c r="AD207" s="12"/>
      <c r="AE207" s="12"/>
      <c r="AF207" s="308"/>
      <c r="AG207" s="308"/>
      <c r="AH207" s="308"/>
      <c r="AI207" s="11"/>
    </row>
    <row r="208" customFormat="false" ht="17.35" hidden="false" customHeight="false" outlineLevel="0" collapsed="false">
      <c r="A208" s="293"/>
      <c r="B208" s="12"/>
      <c r="C208" s="12"/>
      <c r="D208" s="12"/>
      <c r="E208" s="308"/>
      <c r="F208" s="308"/>
      <c r="G208" s="308"/>
      <c r="H208" s="11"/>
      <c r="J208" s="293"/>
      <c r="K208" s="12"/>
      <c r="L208" s="12"/>
      <c r="M208" s="12"/>
      <c r="N208" s="308"/>
      <c r="O208" s="308"/>
      <c r="P208" s="308"/>
      <c r="Q208" s="11"/>
      <c r="S208" s="293"/>
      <c r="T208" s="12"/>
      <c r="U208" s="12"/>
      <c r="V208" s="12"/>
      <c r="W208" s="308"/>
      <c r="X208" s="308"/>
      <c r="Y208" s="308"/>
      <c r="Z208" s="11"/>
      <c r="AB208" s="293"/>
      <c r="AC208" s="12"/>
      <c r="AD208" s="12"/>
      <c r="AE208" s="12"/>
      <c r="AF208" s="308"/>
      <c r="AG208" s="308"/>
      <c r="AH208" s="308"/>
      <c r="AI208" s="11"/>
    </row>
    <row r="209" customFormat="false" ht="17.35" hidden="false" customHeight="false" outlineLevel="0" collapsed="false">
      <c r="A209" s="293"/>
      <c r="B209" s="12"/>
      <c r="C209" s="12"/>
      <c r="D209" s="12"/>
      <c r="E209" s="308"/>
      <c r="F209" s="308"/>
      <c r="G209" s="308"/>
      <c r="H209" s="11"/>
      <c r="J209" s="293"/>
      <c r="K209" s="12"/>
      <c r="L209" s="12"/>
      <c r="M209" s="12"/>
      <c r="N209" s="308"/>
      <c r="O209" s="308"/>
      <c r="P209" s="308"/>
      <c r="Q209" s="11"/>
      <c r="S209" s="293"/>
      <c r="T209" s="12"/>
      <c r="U209" s="12"/>
      <c r="V209" s="12"/>
      <c r="W209" s="308"/>
      <c r="X209" s="308"/>
      <c r="Y209" s="308"/>
      <c r="Z209" s="11"/>
      <c r="AB209" s="293"/>
      <c r="AC209" s="12"/>
      <c r="AD209" s="12"/>
      <c r="AE209" s="12"/>
      <c r="AF209" s="308"/>
      <c r="AG209" s="308"/>
      <c r="AH209" s="308"/>
      <c r="AI209" s="11"/>
    </row>
    <row r="210" customFormat="false" ht="17.35" hidden="false" customHeight="false" outlineLevel="0" collapsed="false">
      <c r="A210" s="293"/>
      <c r="B210" s="12"/>
      <c r="C210" s="12"/>
      <c r="D210" s="12"/>
      <c r="E210" s="308"/>
      <c r="F210" s="308"/>
      <c r="G210" s="308"/>
      <c r="H210" s="11"/>
      <c r="J210" s="293"/>
      <c r="K210" s="12"/>
      <c r="L210" s="12"/>
      <c r="M210" s="12"/>
      <c r="N210" s="308"/>
      <c r="O210" s="308"/>
      <c r="P210" s="308"/>
      <c r="Q210" s="11"/>
      <c r="S210" s="293"/>
      <c r="T210" s="12"/>
      <c r="U210" s="12"/>
      <c r="V210" s="12"/>
      <c r="W210" s="308"/>
      <c r="X210" s="308"/>
      <c r="Y210" s="308"/>
      <c r="Z210" s="11"/>
      <c r="AB210" s="293"/>
      <c r="AC210" s="12"/>
      <c r="AD210" s="12"/>
      <c r="AE210" s="12"/>
      <c r="AF210" s="308"/>
      <c r="AG210" s="308"/>
      <c r="AH210" s="308"/>
      <c r="AI210" s="11"/>
    </row>
    <row r="211" customFormat="false" ht="17.35" hidden="false" customHeight="false" outlineLevel="0" collapsed="false">
      <c r="A211" s="321"/>
      <c r="B211" s="322"/>
      <c r="C211" s="322"/>
      <c r="D211" s="322"/>
      <c r="E211" s="322"/>
      <c r="F211" s="322"/>
      <c r="G211" s="322"/>
      <c r="H211" s="85"/>
      <c r="J211" s="321"/>
      <c r="K211" s="322"/>
      <c r="L211" s="322"/>
      <c r="M211" s="322"/>
      <c r="N211" s="322"/>
      <c r="O211" s="322"/>
      <c r="P211" s="322"/>
      <c r="Q211" s="85"/>
      <c r="S211" s="321"/>
      <c r="T211" s="322"/>
      <c r="U211" s="322"/>
      <c r="V211" s="322"/>
      <c r="W211" s="322"/>
      <c r="X211" s="322"/>
      <c r="Y211" s="322"/>
      <c r="Z211" s="85"/>
      <c r="AB211" s="321"/>
      <c r="AC211" s="322"/>
      <c r="AD211" s="322"/>
      <c r="AE211" s="322"/>
      <c r="AF211" s="322"/>
      <c r="AG211" s="322"/>
      <c r="AH211" s="322"/>
      <c r="AI211" s="85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B67" colorId="64" zoomScale="75" zoomScaleNormal="75" zoomScalePageLayoutView="100" workbookViewId="0">
      <selection pane="topLeft" activeCell="L67" activeCellId="0" sqref="L67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6" min="2" style="288" width="18.88"/>
    <col collapsed="false" customWidth="true" hidden="false" outlineLevel="0" max="7" min="7" style="288" width="23.13"/>
    <col collapsed="false" customWidth="true" hidden="false" outlineLevel="0" max="9" min="8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44952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51961.7272372354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D41</f>
        <v>6000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32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4125.32107917265</v>
      </c>
      <c r="C86" s="402" t="n">
        <f aca="false">(B82/((1+B84)^(B85+1)))</f>
        <v>4125.32107917265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26.6800219733353</v>
      </c>
      <c r="C87" s="402" t="n">
        <f aca="false">((1-(1/((1+B84)^B85)))/B84)</f>
        <v>26.6800219733353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43752.1789208274</v>
      </c>
      <c r="C88" s="402" t="n">
        <f aca="false">B81-B86</f>
        <v>43752.1789208274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1639.88541555755</v>
      </c>
      <c r="C89" s="402" t="n">
        <f aca="false">(B88/B87)</f>
        <v>1639.88541555755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52476.3332978415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52476.3332978415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IF(B38="YES",((H36/B85)*(1+A108)*1.2),"0")</f>
        <v>21.15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1639.88541555755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1661.03541555755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28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1639.88541555755</v>
      </c>
      <c r="B167" s="286" t="n">
        <f aca="false">B94</f>
        <v>21.15</v>
      </c>
      <c r="C167" s="439"/>
      <c r="D167" s="439"/>
      <c r="E167" s="286" t="n">
        <f aca="false">B96</f>
        <v>1661.03541555755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n">
        <f aca="false">IF(A111="YES", A40, 0)</f>
        <v>0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v>500</v>
      </c>
      <c r="B182" s="164" t="str">
        <f aca="false">B114</f>
        <v>199.99</v>
      </c>
      <c r="C182" s="164"/>
      <c r="D182" s="308"/>
      <c r="E182" s="164" t="n">
        <f aca="false">E179+A182+B182+A185</f>
        <v>58234.994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 t="n">
        <v>3</v>
      </c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199.99</v>
      </c>
      <c r="C185" s="164"/>
      <c r="D185" s="308"/>
      <c r="E185" s="164" t="n">
        <f aca="false">E170+A185</f>
        <v>10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</f>
        <v>143.81251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B185-100</f>
        <v>99.99</v>
      </c>
      <c r="B191" s="164" t="n">
        <f aca="false">B188+E188+A191</f>
        <v>243.80251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1661.03541555755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45" colorId="64" zoomScale="75" zoomScaleNormal="75" zoomScalePageLayoutView="100" workbookViewId="0">
      <selection pane="topLeft" activeCell="B65" activeCellId="0" sqref="B65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6" min="2" style="288" width="18.88"/>
    <col collapsed="false" customWidth="true" hidden="false" outlineLevel="0" max="7" min="7" style="288" width="23.13"/>
    <col collapsed="false" customWidth="true" hidden="false" outlineLevel="0" max="9" min="8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44952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0.024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48146.4245961704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D41</f>
        <v>6000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0.089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0.00741666666666667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32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4701.64581571928</v>
      </c>
      <c r="C86" s="402" t="n">
        <f aca="false">(B82/((1+B84)^(B85+1)))</f>
        <v>4701.64581571928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28.392890887209</v>
      </c>
      <c r="C87" s="402" t="n">
        <f aca="false">((1-(1/((1+B84)^B85)))/B84)</f>
        <v>28.392890887209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43175.8541842807</v>
      </c>
      <c r="C88" s="402" t="n">
        <f aca="false">B81-B86</f>
        <v>43175.8541842807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1520.65720802426</v>
      </c>
      <c r="C89" s="402" t="n">
        <f aca="false">(B88/B87)</f>
        <v>1520.65720802426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48661.0306567764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48661.0306567764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IF(B38="YES",((H36/B85)*(1+A108)),"0")</f>
        <v>17.625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1520.65720802426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1538.28220802426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0.089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1520.65720802426</v>
      </c>
      <c r="B167" s="286" t="n">
        <f aca="false">B94</f>
        <v>17.625</v>
      </c>
      <c r="C167" s="439"/>
      <c r="D167" s="439"/>
      <c r="E167" s="286" t="n">
        <f aca="false">B96</f>
        <v>1538.28220802426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str">
        <f aca="false">IF(A111="YES", A40, 0)</f>
        <v>Monthly maintenance rental (Ex. VAT)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v>500</v>
      </c>
      <c r="B182" s="164" t="str">
        <f aca="false">B114</f>
        <v>199.99</v>
      </c>
      <c r="C182" s="164"/>
      <c r="D182" s="308"/>
      <c r="E182" s="164" t="n">
        <f aca="false">E179+A182+B182+A185</f>
        <v>58234.994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 t="n">
        <v>3</v>
      </c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199.99</v>
      </c>
      <c r="C185" s="164"/>
      <c r="D185" s="308"/>
      <c r="E185" s="164" t="e">
        <f aca="false">E170+A185</f>
        <v>#VALUE!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</f>
        <v>143.81251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B185-100</f>
        <v>99.99</v>
      </c>
      <c r="B191" s="164" t="n">
        <f aca="false">B188+E188+A191</f>
        <v>243.80251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1538.28220802426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25" colorId="64" zoomScale="75" zoomScaleNormal="75" zoomScalePageLayoutView="100" workbookViewId="0">
      <selection pane="topLeft" activeCell="A42" activeCellId="0" sqref="A42"/>
    </sheetView>
  </sheetViews>
  <sheetFormatPr defaultColWidth="8.3125" defaultRowHeight="17.35" zeroHeight="false" outlineLevelRow="0" outlineLevelCol="0"/>
  <cols>
    <col collapsed="false" customWidth="true" hidden="false" outlineLevel="0" max="1" min="1" style="288" width="41.67"/>
    <col collapsed="false" customWidth="true" hidden="false" outlineLevel="0" max="6" min="2" style="288" width="18.88"/>
    <col collapsed="false" customWidth="true" hidden="false" outlineLevel="0" max="7" min="7" style="288" width="23.13"/>
    <col collapsed="false" customWidth="true" hidden="false" outlineLevel="0" max="9" min="8" style="288" width="18.88"/>
    <col collapsed="false" customWidth="true" hidden="false" outlineLevel="0" max="10" min="10" style="288" width="41.67"/>
    <col collapsed="false" customWidth="true" hidden="false" outlineLevel="0" max="17" min="11" style="288" width="18.88"/>
    <col collapsed="false" customWidth="false" hidden="false" outlineLevel="0" max="18" min="18" style="288" width="8.32"/>
    <col collapsed="false" customWidth="true" hidden="false" outlineLevel="0" max="19" min="19" style="288" width="41.67"/>
    <col collapsed="false" customWidth="true" hidden="false" outlineLevel="0" max="24" min="20" style="288" width="18.88"/>
    <col collapsed="false" customWidth="true" hidden="false" outlineLevel="0" max="26" min="25" style="53" width="18.88"/>
    <col collapsed="false" customWidth="false" hidden="false" outlineLevel="0" max="27" min="27" style="288" width="8.32"/>
    <col collapsed="false" customWidth="true" hidden="false" outlineLevel="0" max="28" min="28" style="288" width="41.67"/>
    <col collapsed="false" customWidth="true" hidden="false" outlineLevel="0" max="35" min="29" style="288" width="18.88"/>
    <col collapsed="false" customWidth="false" hidden="false" outlineLevel="0" max="1024" min="36" style="288" width="8.32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44952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55466.9696823396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IF(A111="YES", 0,0)</f>
        <v>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33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0</v>
      </c>
      <c r="C86" s="402" t="n">
        <f aca="false">(B82/((1+B84)^(B85+1)))</f>
        <v>0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27.3675754865307</v>
      </c>
      <c r="C87" s="402" t="n">
        <f aca="false">((1-(1/((1+B84)^B85)))/B84)</f>
        <v>27.3675754865307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47877.5</v>
      </c>
      <c r="C88" s="402" t="n">
        <f aca="false">B81-B86</f>
        <v>47877.5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1749.42424196705</v>
      </c>
      <c r="C89" s="402" t="n">
        <f aca="false">(B88/B87)</f>
        <v>1749.42424196705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57730.9999849127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57730.9999849127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IF(B38="YES",((H36/B85)*(1+A108)*1.2),"0")</f>
        <v>20.5090909090909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1749.42424196705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1769.93333287614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338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1749.42424196705</v>
      </c>
      <c r="B167" s="286" t="n">
        <f aca="false">B94</f>
        <v>20.5090909090909</v>
      </c>
      <c r="C167" s="439"/>
      <c r="D167" s="439"/>
      <c r="E167" s="286" t="n">
        <f aca="false">B96</f>
        <v>1769.93333287614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str">
        <f aca="false">IF(A111="YES", A40, 0)</f>
        <v>Monthly maintenance rental (Ex. VAT)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v>500</v>
      </c>
      <c r="B182" s="164" t="str">
        <f aca="false">B114</f>
        <v>199.99</v>
      </c>
      <c r="C182" s="164"/>
      <c r="D182" s="308"/>
      <c r="E182" s="164" t="n">
        <f aca="false">E179+A182+B182+A185</f>
        <v>58234.994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 t="n">
        <v>3</v>
      </c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199.99</v>
      </c>
      <c r="C185" s="164"/>
      <c r="D185" s="308"/>
      <c r="E185" s="164" t="e">
        <f aca="false">E170+A185</f>
        <v>#VALUE!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</f>
        <v>143.81251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B185-100</f>
        <v>99.99</v>
      </c>
      <c r="B191" s="164" t="n">
        <f aca="false">B188+E188+A191</f>
        <v>243.80251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1769.93333287614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9" colorId="64" zoomScale="75" zoomScaleNormal="75" zoomScalePageLayoutView="100" workbookViewId="0">
      <selection pane="topLeft" activeCell="A128" activeCellId="0" sqref="A128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44952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5.28</v>
      </c>
      <c r="E32" s="407"/>
      <c r="F32" s="171"/>
      <c r="G32" s="408" t="s">
        <v>319</v>
      </c>
      <c r="H32" s="406" t="str">
        <f aca="false">A41</f>
        <v>5.28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505.28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339</v>
      </c>
      <c r="B41" s="58" t="n">
        <f aca="false">IF(B38="YES", D38+A41, D38)</f>
        <v>505.28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str">
        <f aca="false">H32</f>
        <v>5.28</v>
      </c>
      <c r="I44" s="65" t="n">
        <f aca="false">((A41*(B35-1))+D32)/B35</f>
        <v>5.28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506.28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506.28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1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11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58" t="s">
        <v>98</v>
      </c>
      <c r="B80" s="259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0" t="s">
        <v>99</v>
      </c>
      <c r="B81" s="261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6814.79427188382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6.864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567.899522656985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574.763522656985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118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30</v>
      </c>
      <c r="C111" s="110"/>
      <c r="D111" s="113" t="n">
        <v>200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6.864</v>
      </c>
      <c r="C134" s="191"/>
      <c r="D134" s="120" t="n">
        <f aca="false">B97</f>
        <v>574.763522656985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Monthly in advance </v>
      </c>
      <c r="B137" s="136" t="n">
        <f aca="false">B96*B63</f>
        <v>567.899522656985</v>
      </c>
      <c r="C137" s="13"/>
      <c r="D137" s="136" t="n">
        <f aca="false">IF(A111="YES", B95*B63, 0)</f>
        <v>6.864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574.763522656985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6.864</v>
      </c>
      <c r="C143" s="13"/>
      <c r="D143" s="136" t="n">
        <f aca="false">B97</f>
        <v>574.763522656985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1.2672</v>
      </c>
      <c r="H148" s="164" t="n">
        <f aca="false">G108-100</f>
        <v>139.988</v>
      </c>
      <c r="I148" s="164"/>
      <c r="J148" s="164" t="n">
        <f aca="false">(H145+J145+G148+H148)-H151</f>
        <v>1462.4427</v>
      </c>
      <c r="K148" s="146"/>
      <c r="L148" s="171"/>
      <c r="M148" s="141" t="n">
        <f aca="false">IF(M111="YES", ((A41*N111)*0.1)*(M133), 0)</f>
        <v>1.2672</v>
      </c>
      <c r="N148" s="164" t="n">
        <f aca="false">M108-100</f>
        <v>99.99</v>
      </c>
      <c r="O148" s="164"/>
      <c r="P148" s="164" t="n">
        <f aca="false">(N145+P145+M148+N148)-N151</f>
        <v>1422.4447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43.2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722.04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574.763522656985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6.864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Monthly in advance </v>
      </c>
      <c r="B180" s="164" t="n">
        <f aca="false">B96*B63</f>
        <v>567.899522656985</v>
      </c>
      <c r="C180" s="31"/>
      <c r="D180" s="164" t="n">
        <f aca="false">IF(A111="YES", B95*B63, 0)</f>
        <v>6.864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574.763522656985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6.864</v>
      </c>
      <c r="C186" s="31"/>
      <c r="D186" s="164" t="n">
        <f aca="false">B97</f>
        <v>574.763522656985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722.04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B32" activeCellId="0" sqref="B32"/>
    </sheetView>
  </sheetViews>
  <sheetFormatPr defaultColWidth="10.8398437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5" min="2" style="0" width="18.12"/>
    <col collapsed="false" customWidth="true" hidden="false" outlineLevel="0" max="7" min="7" style="0" width="40"/>
    <col collapsed="false" customWidth="true" hidden="false" outlineLevel="0" max="11" min="8" style="0" width="18.12"/>
    <col collapsed="false" customWidth="true" hidden="false" outlineLevel="0" max="12" min="12" style="0" width="8"/>
    <col collapsed="false" customWidth="true" hidden="false" outlineLevel="0" max="13" min="13" style="0" width="40"/>
    <col collapsed="false" customWidth="true" hidden="false" outlineLevel="0" max="17" min="14" style="0" width="18.12"/>
    <col collapsed="false" customWidth="true" hidden="false" outlineLevel="0" max="26" min="18" style="0" width="8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44952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((B89*H29)+B87)*1.2</f>
        <v>12920.74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9011.95135538524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IF(B105=Z104,(((H44*B35)+(H44*B35)*(B111/100))/(B64)),(((H44*B35)+(H44*B35)*(B111/100))/(B63+B64)))*1.2</f>
        <v>0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750.995946282103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750.995946282103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28</v>
      </c>
      <c r="B111" s="110" t="n">
        <v>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239.99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-2760.01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0</v>
      </c>
      <c r="C134" s="191"/>
      <c r="D134" s="120" t="n">
        <f aca="false">B97</f>
        <v>750.995946282103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 Terminal pause with 9 down </v>
      </c>
      <c r="B137" s="136" t="n">
        <f aca="false">B96*B63</f>
        <v>6758.96351653893</v>
      </c>
      <c r="C137" s="13"/>
      <c r="D137" s="136" t="n">
        <f aca="false">IF(A111="YES", B95*B63, 0)</f>
        <v>0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6758.96351653893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0</v>
      </c>
      <c r="C143" s="13"/>
      <c r="D143" s="136" t="n">
        <f aca="false">B97</f>
        <v>750.995946282103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0)*0.1</f>
        <v>0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678.841666666667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750.995946282103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0</v>
      </c>
      <c r="C177" s="192"/>
      <c r="D177" s="160" t="n">
        <f aca="false">B91</f>
        <v>12920.74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 Terminal pause with 9 down </v>
      </c>
      <c r="B180" s="164" t="n">
        <f aca="false">B96*B63</f>
        <v>6758.96351653893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6758.96351653893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0</v>
      </c>
      <c r="C186" s="31"/>
      <c r="D186" s="164" t="n">
        <f aca="false">B97</f>
        <v>750.995946282103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678.841666666667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99.9916666666667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3573.09166666667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3573.09166666667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3118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2020-12-02T11:02:33Z</dcterms:created>
  <dc:creator>Kushal Panchal</dc:creator>
  <dc:description/>
  <dc:language>en-US</dc:language>
  <cp:lastModifiedBy/>
  <dcterms:modified xsi:type="dcterms:W3CDTF">2023-01-25T12:42:47Z</dcterms:modified>
  <cp:revision>416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