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<sst xmlns="http://schemas.openxmlformats.org/spreadsheetml/2006/main" count="34953" uniqueCount="419">
  <si>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</si>
  <si>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</si>
  <si>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</si>
  <si>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</si>
  <si>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</si>
  <si>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</si>
  <si>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</si>
  <si>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</si>
  <si>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</si>
  <si>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</si>
  <si>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</si>
  <si>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</si>
  <si>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</si>
  <si>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</si>
  <si>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</si>
  <si>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</si>
  <si>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</si>
  <si>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</si>
  <si>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</si>
  <si>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</si>
  <si>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</si>
  <si>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</si>
  <si>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</si>
  <si>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</si>
  <si>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</si>
  <si>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</si>
  <si>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</si>
  <si>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</si>
  <si>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</si>
  <si>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</si>
  <si>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</si>
  <si>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</si>
  <si>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</si>
  <si>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</si>
  <si>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</si>
  <si>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</si>
  <si>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</si>
  <si>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</si>
  <si>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</si>
  <si>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</si>
  <si>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</si>
  <si>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</si>
  <si>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</si>
  <si>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</si>
  <si>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</si>
  <si>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</si>
  <si>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</si>
  <si>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</si>
  <si>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</si>
  <si>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</si>
  <si>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</si>
  <si>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</si>
  <si>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</si>
  <si>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</si>
  <si>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</si>
  <si>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</si>
  <si>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</si>
  <si>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</si>
  <si>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</si>
  <si>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</si>
  <si>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</si>
  <si>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</si>
  <si>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</si>
  <si>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</si>
  <si>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</si>
  <si>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</si>
  <si>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</si>
  <si>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</si>
  <si>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</si>
  <si>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</si>
  <si>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</si>
  <si>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</si>
  <si>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</si>
  <si>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</si>
  <si>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</si>
  <si>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</si>
  <si>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</si>
  <si>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</si>
  <si>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</si>
  <si>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</si>
  <si>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</si>
  <si>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</si>
  <si>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</si>
  <si>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</si>
  <si>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</si>
  <si>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</si>
  <si>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</si>
  <si>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</si>
  <si>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</si>
  <si>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</si>
  <si>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</si>
  <si>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</si>
  <si>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</si>
  <si>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</si>
  <si>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</si>
  <si>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</si>
  <si>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</si>
  <si>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</si>
  <si>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</si>
  <si>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</si>
  <si>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</si>
  <si>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</si>
  <si>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</si>
  <si>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</si>
  <si>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</si>
  <si>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</si>
  <si>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</si>
  <si>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</si>
  <si>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</si>
  <si>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</si>
  <si>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</si>
  <si>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</si>
  <si>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</si>
  <si>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</si>
  <si>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</si>
  <si>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</si>
  <si>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</si>
  <si>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</si>
  <si>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</si>
  <si>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</si>
  <si>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</si>
  <si>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</si>
  <si>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</si>
  <si>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</si>
  <si>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</si>
  <si>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</si>
  <si>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</si>
  <si>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</si>
  <si>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</si>
  <si>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</si>
  <si>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</si>
  <si>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</si>
  <si>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</si>
  <si>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</si>
  <si>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</si>
  <si>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</si>
  <si>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</si>
  <si>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</si>
  <si>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</si>
  <si>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</si>
  <si>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</si>
  <si>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</si>
  <si>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</si>
  <si>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</si>
  <si>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</si>
  <si>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</si>
  <si>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</si>
  <si>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</si>
  <si>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</si>
  <si>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</si>
  <si>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</si>
  <si>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</si>
  <si>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</si>
  <si>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</si>
  <si>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</si>
  <si>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</si>
  <si>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</si>
  <si>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</si>
  <si>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</si>
  <si>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</si>
  <si>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</si>
  <si>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</si>
  <si>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</si>
  <si>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</si>
  <si>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</si>
  <si>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</si>
  <si>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</si>
  <si>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</si>
  <si>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</si>
  <si>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</si>
  <si>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</si>
  <si>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</si>
  <si>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</si>
  <si>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</si>
  <si>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</si>
  <si>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</si>
  <si>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</si>
  <si>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</si>
  <si>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</si>
  <si>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</si>
  <si>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</si>
  <si>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</si>
  <si>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</si>
  <si>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</si>
  <si>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</si>
  <si>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</si>
  <si>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</si>
  <si>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</si>
  <si>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</si>
  <si>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</si>
  <si>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</si>
  <si>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</si>
  <si>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</si>
  <si>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</si>
  <si>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</si>
  <si>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</si>
  <si>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</si>
  <si>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</si>
  <si>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</si>
  <si>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</si>
  <si>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</si>
  <si>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</si>
  <si>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</si>
  <si>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</si>
  <si>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</si>
  <si>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</si>
  <si>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</si>
  <si>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</si>
  <si>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</si>
  <si>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</si>
  <si>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</si>
  <si>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</si>
  <si>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</si>
  <si>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</si>
  <si>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</si>
  <si>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</si>
  <si>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</si>
  <si>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</si>
  <si>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</si>
  <si>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</si>
  <si>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</si>
  <si>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</si>
  <si>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</si>
  <si>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</si>
  <si>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</si>
  <si>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</si>
  <si>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</si>
  <si>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</si>
  <si>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</si>
  <si>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</si>
  <si>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</si>
  <si>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</si>
  <si>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</si>
  <si>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</si>
  <si>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254.00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</si>
  <si>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</si>
  <si>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</si>
  <si>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</si>
  <si>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</si>
  <si>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</si>
  <si>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</si>
  <si>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</si>
  <si>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</si>
  <si>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</si>
  <si>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</si>
  <si>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</si>
  <si>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</si>
  <si>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</si>
  <si>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</si>
  <si>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</si>
  <si>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</si>
  <si>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</si>
  <si>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</si>
  <si>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</si>
  <si>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</si>
  <si>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</si>
  <si>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</si>
  <si>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</si>
  <si>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</si>
  <si>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</si>
  <si>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</si>
  <si>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</si>
  <si>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</si>
  <si>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</si>
  <si>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</si>
  <si>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</si>
  <si>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</si>
  <si>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</si>
  <si>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</si>
  <si>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</si>
  <si>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</si>
  <si>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</si>
  <si>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</si>
  <si>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</si>
  <si>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</si>
  <si>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</si>
  <si>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</si>
  <si>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</si>
  <si>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</si>
  <si>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</si>
  <si>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</si>
  <si>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</si>
  <si>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</si>
  <si>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</si>
  <si>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</si>
  <si>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</si>
  <si>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</si>
  <si>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</si>
  <si>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</si>
  <si>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</si>
  <si>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</si>
  <si>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</si>
  <si>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</si>
  <si>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</si>
  <si>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</si>
  <si>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</si>
  <si>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</si>
  <si>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</si>
  <si>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</si>
  <si>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</si>
  <si>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</si>
  <si>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</si>
  <si>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</si>
  <si>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</si>
  <si>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</si>
  <si>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</si>
  <si>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</si>
  <si>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</si>
  <si>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</si>
  <si>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</si>
  <si>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</si>
  <si>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</si>
  <si>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</si>
  <si>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</si>
  <si>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</si>
  <si>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</si>
  <si>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</si>
  <si>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</si>
  <si>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</si>
  <si>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</si>
  <si>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</si>
  <si>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</si>
  <si>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</si>
  <si>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</si>
  <si>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</si>
  <si>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</si>
  <si>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</si>
  <si>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</si>
  <si>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</si>
  <si>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</si>
  <si>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</si>
  <si>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</si>
  <si>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</si>
  <si>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</si>
  <si>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</si>
  <si>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</si>
  <si>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</si>
  <si>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</si>
  <si>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</si>
  <si>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</si>
  <si>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</si>
  <si>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</si>
  <si>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</si>
  <si>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</si>
  <si>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</si>
  <si>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</si>
  <si>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</si>
  <si>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</si>
  <si>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</si>
  <si>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</si>
  <si>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</si>
  <si>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</si>
  <si>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</si>
  <si>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</si>
  <si>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</si>
  <si>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</si>
  <si>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</si>
  <si>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</si>
  <si>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</si>
  <si>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</si>
  <si>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</si>
  <si>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</si>
  <si>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</si>
  <si>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</si>
  <si>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</si>
  <si>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</si>
  <si>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</si>
  <si>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</si>
  <si>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</si>
  <si>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</si>
  <si>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</si>
  <si>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</si>
  <si>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</si>
  <si>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</si>
  <si>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</si>
  <si>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</si>
  <si>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</si>
  <si>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</si>
  <si>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</si>
  <si>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</si>
  <si>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</si>
  <si>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OTR Calculation</t>
  </si>
  <si>
    <t xml:space="preserve">609.18</t>
  </si>
  <si>
    <t xml:space="preserve">27045.00</t>
  </si>
  <si>
    <t xml:space="preserve">442.53</t>
  </si>
  <si>
    <t xml:space="preserve">69019.99</t>
  </si>
  <si>
    <t xml:space="preserve">8.19</t>
  </si>
  <si>
    <t xml:space="preserve">60</t>
  </si>
  <si>
    <t xml:space="preserve">2</t>
  </si>
  <si>
    <t xml:space="preserve">RFL included?</t>
  </si>
  <si>
    <t>NO</t>
  </si>
  <si>
    <t>60</t>
  </si>
  <si>
    <t>Limited Credit</t>
  </si>
  <si>
    <t>YES</t>
  </si>
  <si>
    <t>199.99</t>
  </si>
  <si>
    <t>100</t>
  </si>
  <si>
    <t>0</t>
  </si>
  <si>
    <t>200</t>
  </si>
  <si>
    <t xml:space="preserve"> Terminal pause with 6 down </t>
  </si>
  <si>
    <t>69019.99</t>
  </si>
  <si>
    <t>1000</t>
  </si>
  <si>
    <t>33</t>
  </si>
  <si>
    <t>5000</t>
  </si>
  <si>
    <t>500</t>
  </si>
  <si>
    <t>609.18</t>
  </si>
  <si>
    <t>12</t>
  </si>
  <si>
    <t>239.99</t>
  </si>
  <si>
    <t>50</t>
  </si>
  <si>
    <t>A1 Credit</t>
  </si>
  <si>
    <t>40</t>
  </si>
  <si>
    <t>6000</t>
  </si>
  <si>
    <t>20</t>
  </si>
  <si>
    <t>10</t>
  </si>
  <si>
    <t>1</t>
  </si>
  <si>
    <t>70</t>
  </si>
  <si>
    <t>30</t>
  </si>
  <si>
    <t>8.19</t>
  </si>
  <si>
    <t>2</t>
  </si>
  <si>
    <t>442.53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</si>
</sst>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16333.33</v>
      </c>
      <c r="C2" s="4" t="s">
        <v>2</v>
      </c>
      <c r="D2" s="5" t="n">
        <f aca="false">C9</f>
        <v>3266.666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19599.996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16333.33</v>
      </c>
      <c r="C9" s="9" t="n">
        <f aca="false">B9*0.2</f>
        <v>3266.666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16333.33</v>
      </c>
      <c r="C15" s="9" t="n">
        <f aca="false">SUM(C9:C13)</f>
        <v>3266.666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19599.996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16333.33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19599.996</v>
      </c>
      <c r="B37" s="31"/>
      <c r="C37" s="40" t="s">
        <v>45</v>
      </c>
      <c r="D37" s="40"/>
      <c r="E37" s="31"/>
      <c r="F37" s="42" t="n">
        <f aca="false">A37-C37</f>
        <v>18599.996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3266.666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188.888833333333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361.111166666667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363.777833333333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313.777833333333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80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363.777833333333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13014.7521092442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0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363.777833333333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363.777833333333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363.777833333333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18599.996</v>
      </c>
      <c r="C90" s="31"/>
      <c r="D90" s="31"/>
      <c r="E90" s="22"/>
      <c r="F90" s="24" t="s">
        <v>106</v>
      </c>
      <c r="G90" s="26" t="n">
        <f aca="false">F37</f>
        <v>18599.996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12245.0542001204</v>
      </c>
      <c r="C97" s="31"/>
      <c r="D97" s="31"/>
      <c r="E97" s="22"/>
      <c r="F97" s="30" t="s">
        <v>113</v>
      </c>
      <c r="G97" s="32" t="n">
        <f aca="false">G90-G95</f>
        <v>11851.926698559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1184.25019174947</v>
      </c>
      <c r="C98" s="31"/>
      <c r="D98" s="31"/>
      <c r="E98" s="22"/>
      <c r="F98" s="30" t="s">
        <v>114</v>
      </c>
      <c r="G98" s="32" t="n">
        <f aca="false">(G97/G96)</f>
        <v>1112.78019224174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13026.7521092442</v>
      </c>
      <c r="C99" s="31"/>
      <c r="D99" s="31"/>
      <c r="E99" s="22"/>
      <c r="F99" s="30" t="s">
        <v>115</v>
      </c>
      <c r="G99" s="32" t="n">
        <f aca="false">((G98*(G94))+G86)</f>
        <v>12240.5821146591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13026.7521092442</v>
      </c>
      <c r="C101" s="31"/>
      <c r="D101" s="31"/>
      <c r="E101" s="22"/>
      <c r="F101" s="55" t="s">
        <v>117</v>
      </c>
      <c r="G101" s="64" t="n">
        <f aca="false">(G99+G100)</f>
        <v>12240.5821146591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1184.25019174947</v>
      </c>
      <c r="C104" s="31"/>
      <c r="D104" s="31"/>
      <c r="E104" s="22"/>
      <c r="F104" s="94" t="s">
        <v>119</v>
      </c>
      <c r="G104" s="95" t="n">
        <f aca="false">G101/(G94)</f>
        <v>1112.78019224174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1269.34110084038</v>
      </c>
      <c r="C105" s="31"/>
      <c r="D105" s="31"/>
      <c r="E105" s="22" t="s">
        <v>18</v>
      </c>
      <c r="F105" s="96" t="s">
        <v>120</v>
      </c>
      <c r="G105" s="97" t="n">
        <f aca="false">G103+G104</f>
        <v>1112.78019224174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19599.996</v>
      </c>
      <c r="C130" s="120" t="n">
        <v>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19599.996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19599.996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19599.996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19599.996</v>
      </c>
      <c r="C134" s="132" t="n">
        <f aca="false">C130-C133</f>
        <v>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16333.33</v>
      </c>
      <c r="H144" s="152" t="n">
        <f aca="false">C134+E134+G134+H137</f>
        <v>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3266.666</v>
      </c>
      <c r="H146" s="32" t="n">
        <f aca="false">(H144+H145)*20%</f>
        <v>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19599.996</v>
      </c>
      <c r="H150" s="156" t="n">
        <f aca="false">(H144+H145+H148+H149+H146)-H147</f>
        <v>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19599.996</v>
      </c>
      <c r="H156" s="163" t="n">
        <f aca="false">H150-((H153*1.2)+(H154*1.2)+(H155*1.2)+(H151*1.2))</f>
        <v>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-16333.33</v>
      </c>
      <c r="I157" s="1" t="n">
        <f aca="false">(H157-G90)/1.2</f>
        <v>-29111.105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1184.25019174947</v>
      </c>
      <c r="B176" s="176" t="n">
        <f aca="false">B103</f>
        <v>85.0909090909091</v>
      </c>
      <c r="C176" s="173"/>
      <c r="D176" s="173"/>
      <c r="E176" s="176" t="n">
        <f aca="false">B105</f>
        <v>1269.34110084038</v>
      </c>
      <c r="F176" s="22"/>
      <c r="G176" s="22" t="n">
        <f aca="false">ROUND(G104,2)</f>
        <v>1112.78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0</v>
      </c>
      <c r="B182" s="102" t="n">
        <f aca="false">H146</f>
        <v>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20226.7521092442</v>
      </c>
      <c r="B191" s="102" t="str">
        <f aca="false">B123</f>
        <v>239.99</v>
      </c>
      <c r="C191" s="102"/>
      <c r="D191" s="22"/>
      <c r="E191" s="102" t="n">
        <f aca="false">E188+A191+B191+A194</f>
        <v>20476.7421092442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9.72624</v>
      </c>
      <c r="B197" s="102" t="n">
        <f aca="false">(G167*B76)/1.2</f>
        <v>0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99.9916666666667</v>
      </c>
      <c r="C200" s="92"/>
      <c r="D200" s="92"/>
      <c r="E200" s="102" t="n">
        <f aca="false">H157</f>
        <v>-16333.33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1269.34110084038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19440.58</v>
      </c>
      <c r="B210" s="185" t="n">
        <f aca="false">E188+A210+B191+A194</f>
        <v>19690.57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1184.25019174947</v>
      </c>
      <c r="B221" s="176" t="n">
        <f aca="false">B176</f>
        <v>85.0909090909091</v>
      </c>
      <c r="C221" s="173"/>
      <c r="D221" s="173"/>
      <c r="E221" s="176" t="n">
        <f aca="false">E176</f>
        <v>1269.34110084038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0</v>
      </c>
      <c r="B224" s="102" t="n">
        <f aca="false">B182</f>
        <v>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20226.7521092442</v>
      </c>
      <c r="B233" s="102" t="str">
        <f aca="false">B191</f>
        <v>239.99</v>
      </c>
      <c r="C233" s="102"/>
      <c r="D233" s="112"/>
      <c r="E233" s="102" t="n">
        <f aca="false">E191</f>
        <v>20476.7421092442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1184.25019174947</v>
      </c>
      <c r="B239" s="102" t="n">
        <f aca="false">B176</f>
        <v>85.0909090909091</v>
      </c>
      <c r="C239" s="185"/>
      <c r="D239" s="185"/>
      <c r="E239" s="102" t="n">
        <f aca="false">E176</f>
        <v>1269.34110084038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29.17872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9.72624</v>
      </c>
      <c r="B245" s="102" t="n">
        <f aca="false">E242+A245</f>
        <v>38.90496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-16333.33</v>
      </c>
      <c r="B249" s="102" t="n">
        <f aca="false">B197</f>
        <v>0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-16233.3383333333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796.172109244177</v>
      </c>
      <c r="C263" s="196"/>
      <c r="D263" s="197" t="s">
        <v>217</v>
      </c>
      <c r="E263" s="197"/>
      <c r="F263" s="199" t="n">
        <f aca="false">F270+F276+F278+B279+B280</f>
        <v>0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896.163775910843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13026.7521092442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0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896.163775910843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19899.996</v>
      </c>
      <c r="B37" s="31"/>
      <c r="C37" s="40" t="s">
        <v>45</v>
      </c>
      <c r="D37" s="40"/>
      <c r="E37" s="31"/>
      <c r="F37" s="42" t="n">
        <f aca="false">A37-C37</f>
        <v>18899.996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3316.666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193.0555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306.9445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309.611166666667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309.611166666667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234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309.611166666667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13333.9034636526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112.5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309.611166666667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309.611166666667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309.611166666667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18899.996</v>
      </c>
      <c r="C90" s="31"/>
      <c r="D90" s="31"/>
      <c r="E90" s="22"/>
      <c r="F90" s="24" t="s">
        <v>106</v>
      </c>
      <c r="G90" s="26" t="n">
        <f aca="false">F37</f>
        <v>18899.996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12545.0542001204</v>
      </c>
      <c r="C97" s="31"/>
      <c r="D97" s="31"/>
      <c r="E97" s="22"/>
      <c r="F97" s="30" t="s">
        <v>113</v>
      </c>
      <c r="G97" s="32" t="n">
        <f aca="false">G90-G95</f>
        <v>12151.926698559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1213.26395124115</v>
      </c>
      <c r="C98" s="31"/>
      <c r="D98" s="31"/>
      <c r="E98" s="22"/>
      <c r="F98" s="30" t="s">
        <v>114</v>
      </c>
      <c r="G98" s="32" t="n">
        <f aca="false">(G97/G96)</f>
        <v>1140.94726297743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13345.9034636526</v>
      </c>
      <c r="C99" s="31"/>
      <c r="D99" s="31"/>
      <c r="E99" s="22"/>
      <c r="F99" s="30" t="s">
        <v>115</v>
      </c>
      <c r="G99" s="32" t="n">
        <f aca="false">((G98*(G94))+G86)</f>
        <v>12550.4198927517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13345.9034636526</v>
      </c>
      <c r="C101" s="31"/>
      <c r="D101" s="31"/>
      <c r="E101" s="22"/>
      <c r="F101" s="55" t="s">
        <v>117</v>
      </c>
      <c r="G101" s="64" t="n">
        <f aca="false">(G99+G100)</f>
        <v>12550.4198927517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1213.26395124115</v>
      </c>
      <c r="C104" s="31"/>
      <c r="D104" s="31"/>
      <c r="E104" s="22"/>
      <c r="F104" s="94" t="s">
        <v>119</v>
      </c>
      <c r="G104" s="95" t="n">
        <f aca="false">G101/(G94)</f>
        <v>1140.94726297743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1213.26395124115</v>
      </c>
      <c r="C105" s="31"/>
      <c r="D105" s="31"/>
      <c r="E105" s="22" t="s">
        <v>18</v>
      </c>
      <c r="F105" s="96" t="s">
        <v>120</v>
      </c>
      <c r="G105" s="97" t="n">
        <f aca="false">G103+G104</f>
        <v>1140.94726297743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19899.996</v>
      </c>
      <c r="C130" s="120" t="n">
        <v>18750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19899.996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19899.996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19899.996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19899.996</v>
      </c>
      <c r="C134" s="132" t="n">
        <f aca="false">C130-C133</f>
        <v>18750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16583.33</v>
      </c>
      <c r="H144" s="152" t="n">
        <f aca="false">C134+E134+G134+H137</f>
        <v>18750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3316.666</v>
      </c>
      <c r="H146" s="32" t="n">
        <f aca="false">(H144+H145)*20%</f>
        <v>3750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19899.996</v>
      </c>
      <c r="H150" s="156" t="n">
        <f aca="false">(H144+H145+H148+H149+H146)-H147</f>
        <v>22500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19899.996</v>
      </c>
      <c r="H156" s="163" t="n">
        <f aca="false">H150-((H153*1.2)+(H154*1.2)+(H155*1.2)+(H151*1.2))</f>
        <v>22500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2166.67</v>
      </c>
      <c r="I157" s="1" t="n">
        <f aca="false">(H157-G90)/1.2</f>
        <v>-13944.4383333333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22500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1213.26395124115</v>
      </c>
      <c r="B176" s="176" t="n">
        <f aca="false">B103</f>
        <v>0</v>
      </c>
      <c r="C176" s="173"/>
      <c r="D176" s="173"/>
      <c r="E176" s="176" t="n">
        <f aca="false">B105</f>
        <v>1213.26395124115</v>
      </c>
      <c r="F176" s="22"/>
      <c r="G176" s="22" t="n">
        <f aca="false">ROUND(G104,2)</f>
        <v>1140.95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18750</v>
      </c>
      <c r="B182" s="102" t="n">
        <f aca="false">H146</f>
        <v>3750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22500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22500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-1954.09653634737</v>
      </c>
      <c r="B191" s="102" t="str">
        <f aca="false">B123</f>
        <v>199.99</v>
      </c>
      <c r="C191" s="102"/>
      <c r="D191" s="22"/>
      <c r="E191" s="102" t="n">
        <f aca="false">E188+A191+(B191*1.2)+A194</f>
        <v>20795.8914636526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8.1052</v>
      </c>
      <c r="B197" s="102" t="n">
        <f aca="false">(G167*B76)/1.2</f>
        <v>93.75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193.74</v>
      </c>
      <c r="C200" s="92"/>
      <c r="D200" s="92"/>
      <c r="E200" s="102" t="n">
        <f aca="false">H157</f>
        <v>2166.67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1213.26395124115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-2749.55</v>
      </c>
      <c r="B210" s="185" t="n">
        <f aca="false">E188+A210+(B191*1.2)+A194</f>
        <v>20000.438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1213.26395124115</v>
      </c>
      <c r="B221" s="176" t="n">
        <f aca="false">B176</f>
        <v>0</v>
      </c>
      <c r="C221" s="173"/>
      <c r="D221" s="173"/>
      <c r="E221" s="176" t="n">
        <f aca="false">E176</f>
        <v>1213.26395124115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18750</v>
      </c>
      <c r="B224" s="102" t="n">
        <f aca="false">B182</f>
        <v>3750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22500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22500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-1954.09653634737</v>
      </c>
      <c r="B233" s="102" t="str">
        <f aca="false">B191</f>
        <v>199.99</v>
      </c>
      <c r="C233" s="102"/>
      <c r="D233" s="112"/>
      <c r="E233" s="102" t="n">
        <f aca="false">E191</f>
        <v>20795.8914636526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1213.26395124115</v>
      </c>
      <c r="B239" s="102" t="n">
        <f aca="false">B176</f>
        <v>0</v>
      </c>
      <c r="C239" s="185"/>
      <c r="D239" s="185"/>
      <c r="E239" s="102" t="n">
        <f aca="false">E176</f>
        <v>1213.26395124115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24.3156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8.1052</v>
      </c>
      <c r="B245" s="102" t="n">
        <f aca="false">E242+A245</f>
        <v>32.4208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2166.67</v>
      </c>
      <c r="B249" s="102" t="n">
        <f aca="false">B197</f>
        <v>93.75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2360.41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805.453463652626</v>
      </c>
      <c r="C263" s="196"/>
      <c r="D263" s="197" t="s">
        <v>217</v>
      </c>
      <c r="E263" s="197"/>
      <c r="F263" s="199" t="n">
        <f aca="false">F270+F276+F278+B279+B280</f>
        <v>112.5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792.943463652626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13345.9034636526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112.5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792.943463652626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16806.5358348192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220.3124625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14844.1760889046</v>
      </c>
      <c r="C88" s="92" t="n">
        <f aca="false">B81-B86</f>
        <v>14844.1760889046</v>
      </c>
      <c r="D88" s="92"/>
      <c r="E88" s="112"/>
      <c r="F88" s="30" t="s">
        <v>113</v>
      </c>
      <c r="G88" s="32" t="n">
        <f aca="false">G81-G86</f>
        <v>14075.6270487143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540.840608474464</v>
      </c>
      <c r="C89" s="92" t="n">
        <f aca="false">(B88/B87)</f>
        <v>540.840608474464</v>
      </c>
      <c r="D89" s="92"/>
      <c r="E89" s="112"/>
      <c r="F89" s="30" t="s">
        <v>114</v>
      </c>
      <c r="G89" s="32" t="n">
        <f aca="false">(G88/G87)</f>
        <v>480.272828124815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17306.8994711829</v>
      </c>
      <c r="C90" s="92"/>
      <c r="D90" s="92"/>
      <c r="E90" s="112"/>
      <c r="F90" s="30" t="s">
        <v>115</v>
      </c>
      <c r="G90" s="32" t="n">
        <f aca="false">((G89*(G85))+G77)</f>
        <v>15368.7304999941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17306.8994711829</v>
      </c>
      <c r="C92" s="92"/>
      <c r="D92" s="92"/>
      <c r="E92" s="112"/>
      <c r="F92" s="55" t="s">
        <v>117</v>
      </c>
      <c r="G92" s="64" t="n">
        <f aca="false">(G90+G91)</f>
        <v>15368.7304999941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540.840608474464</v>
      </c>
      <c r="C95" s="92"/>
      <c r="D95" s="92"/>
      <c r="E95" s="112"/>
      <c r="F95" s="94" t="s">
        <v>119</v>
      </c>
      <c r="G95" s="95" t="n">
        <f aca="false">G92/(G85)</f>
        <v>480.272828124815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540.840608474464</v>
      </c>
      <c r="C96" s="92"/>
      <c r="D96" s="92"/>
      <c r="E96" s="112"/>
      <c r="F96" s="96" t="s">
        <v>120</v>
      </c>
      <c r="G96" s="97" t="n">
        <f aca="false">G94+G95</f>
        <v>480.272828124815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540.840608474464</v>
      </c>
      <c r="B167" s="176" t="n">
        <f aca="false">B94</f>
        <v>0</v>
      </c>
      <c r="C167" s="173"/>
      <c r="D167" s="173"/>
      <c r="E167" s="176" t="n">
        <f aca="false">B96</f>
        <v>540.840608474464</v>
      </c>
      <c r="F167" s="22"/>
      <c r="G167" s="22" t="n">
        <f aca="false">ROUND(G95,2)</f>
        <v>480.27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1006.90347118286</v>
      </c>
      <c r="B182" s="102" t="str">
        <f aca="false">B114</f>
        <v>239.99</v>
      </c>
      <c r="C182" s="102"/>
      <c r="D182" s="22"/>
      <c r="E182" s="102" t="n">
        <f aca="false">E179+A182+B182+A185</f>
        <v>24756.8894711829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183.59371875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283.585385416667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540.840608474464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-931.356000000003</v>
      </c>
      <c r="B201" s="185" t="n">
        <f aca="false">E179+A201+B182+A185</f>
        <v>22818.63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540.840608474464</v>
      </c>
      <c r="B212" s="176" t="n">
        <f aca="false">B167</f>
        <v>0</v>
      </c>
      <c r="C212" s="173"/>
      <c r="D212" s="173"/>
      <c r="E212" s="176" t="n">
        <f aca="false">E167</f>
        <v>540.840608474464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1006.90347118286</v>
      </c>
      <c r="B224" s="102" t="str">
        <f aca="false">B182</f>
        <v>239.99</v>
      </c>
      <c r="C224" s="102"/>
      <c r="D224" s="112"/>
      <c r="E224" s="102" t="n">
        <f aca="false">E182</f>
        <v>24756.8894711829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540.840608474464</v>
      </c>
      <c r="B230" s="102" t="n">
        <f aca="false">B167</f>
        <v>0</v>
      </c>
      <c r="C230" s="185"/>
      <c r="D230" s="185"/>
      <c r="E230" s="102" t="n">
        <f aca="false">E167</f>
        <v>540.840608474464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183.59371875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2283.58538541667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1948.25947118286</v>
      </c>
      <c r="C254" s="196"/>
      <c r="D254" s="197" t="s">
        <v>217</v>
      </c>
      <c r="E254" s="197"/>
      <c r="F254" s="199" t="n">
        <f aca="false">F261+F267+F269+B270+B271</f>
        <v>220.3124625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1827.93867534953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220.3124625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1827.93867534953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14425.4239070671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0.1475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0.0122916666666667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6218.19813516518</v>
      </c>
      <c r="C86" s="92" t="n">
        <f aca="false">(B82/((1+B84)^(B85+1)))</f>
        <v>6218.19813516518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10.2301677524304</v>
      </c>
      <c r="C87" s="92" t="n">
        <f aca="false">((1-(1/((1+B84)^B85)))/B84)</f>
        <v>10.2301677524304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13881.8018648348</v>
      </c>
      <c r="C88" s="92" t="n">
        <f aca="false">B81-B86</f>
        <v>13881.8018648348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1356.94762791519</v>
      </c>
      <c r="C89" s="92" t="n">
        <f aca="false">(B88/B87)</f>
        <v>1356.94762791519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14926.4239070671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14926.4239070671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1356.94762791519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1356.94762791519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n">
        <v>0</v>
      </c>
      <c r="C108" s="106"/>
      <c r="D108" s="106" t="n">
        <v>0</v>
      </c>
      <c r="E108" s="107" t="n">
        <f aca="false">B83</f>
        <v>0.1475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1356.94762791519</v>
      </c>
      <c r="B167" s="176" t="str">
        <f aca="false">B94</f>
        <v>0</v>
      </c>
      <c r="C167" s="173"/>
      <c r="D167" s="173"/>
      <c r="E167" s="176" t="n">
        <f aca="false">B96</f>
        <v>1356.94762791519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-1373.57209293293</v>
      </c>
      <c r="B182" s="102" t="str">
        <f aca="false">B114</f>
        <v>199.99</v>
      </c>
      <c r="C182" s="102"/>
      <c r="D182" s="22"/>
      <c r="E182" s="102" t="n">
        <f aca="false">E179+A182+(B182*1.2)+A185</f>
        <v>22376.4119070671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1356.94762791519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1356.94762791519</v>
      </c>
      <c r="B212" s="176" t="str">
        <f aca="false">B167</f>
        <v>0</v>
      </c>
      <c r="C212" s="173"/>
      <c r="D212" s="173"/>
      <c r="E212" s="176" t="n">
        <f aca="false">E167</f>
        <v>1356.94762791519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-1373.57209293293</v>
      </c>
      <c r="B224" s="102" t="str">
        <f aca="false">B182</f>
        <v>199.99</v>
      </c>
      <c r="C224" s="102"/>
      <c r="D224" s="112"/>
      <c r="E224" s="102" t="n">
        <f aca="false">E182</f>
        <v>22376.4119070671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1356.94762791519</v>
      </c>
      <c r="B230" s="102" t="str">
        <f aca="false">B167</f>
        <v>0</v>
      </c>
      <c r="C230" s="185"/>
      <c r="D230" s="185"/>
      <c r="E230" s="102" t="n">
        <f aca="false">E167</f>
        <v>1356.94762791519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0.1475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1146.60390706707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1129.09392706707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0.1475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1129.09392706707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239.99</v>
      </c>
      <c r="C182" s="102"/>
      <c r="D182" s="22"/>
      <c r="E182" s="102" t="n">
        <f aca="false">E179+A182+B182+A185</f>
        <v>22072.5031366378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197.908316666667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E179+A201+B182+A185</f>
        <v>21239.81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239.99</v>
      </c>
      <c r="C224" s="102"/>
      <c r="D224" s="112"/>
      <c r="E224" s="102" t="n">
        <f aca="false">E182</f>
        <v>22072.5031366378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9.72624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2197.90831666667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825.184823304472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825.184823304472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199.99</v>
      </c>
      <c r="C182" s="102"/>
      <c r="D182" s="22"/>
      <c r="E182" s="102" t="n">
        <f aca="false">E179+A182+(B182*1.2)+A185</f>
        <v>22072.5011366378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199.99</v>
      </c>
      <c r="C224" s="102"/>
      <c r="D224" s="112"/>
      <c r="E224" s="102" t="n">
        <f aca="false">E182</f>
        <v>22072.5011366378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825.183156637805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825.183156637805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214" t="n">
        <v>10000</v>
      </c>
      <c r="D64" s="290" t="n">
        <f aca="false">B64</f>
        <v>1476.99972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2803.66638666667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233.638865555556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10578.799664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74.6789004114563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10653.4785644115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78</v>
      </c>
      <c r="C89" s="214"/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887.789880367621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965.789880367621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887.789880367621</v>
      </c>
      <c r="B128" s="320" t="n">
        <f aca="false">IF(A105="YES",B89,0)</f>
        <v>78</v>
      </c>
      <c r="C128" s="325"/>
      <c r="D128" s="320" t="n">
        <f aca="false">B91</f>
        <v>965.789880367621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887.789880367621</v>
      </c>
      <c r="C131" s="316"/>
      <c r="D131" s="37" t="n">
        <f aca="false">IF(A105="YES",B89*B57,0)</f>
        <v>78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965.789880367621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887.789880367621</v>
      </c>
      <c r="B137" s="37" t="n">
        <f aca="false">IF(A105="YES",B89,0)</f>
        <v>78</v>
      </c>
      <c r="C137" s="316"/>
      <c r="D137" s="37" t="n">
        <f aca="false">B91</f>
        <v>965.789880367621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728.98996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965.789880367621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887.789880367621</v>
      </c>
      <c r="B171" s="354" t="n">
        <f aca="false">IF(A105="YES",B89,0)</f>
        <v>78</v>
      </c>
      <c r="C171" s="357"/>
      <c r="D171" s="354" t="n">
        <f aca="false">B91</f>
        <v>965.789880367621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887.789880367621</v>
      </c>
      <c r="C174" s="352"/>
      <c r="D174" s="102" t="n">
        <f aca="false">IF(A105="YES",B89*B57,0)</f>
        <v>78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965.789880367621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887.789880367621</v>
      </c>
      <c r="B180" s="102" t="n">
        <f aca="false">IF(A105="YES",B89,0)</f>
        <v>78</v>
      </c>
      <c r="C180" s="352"/>
      <c r="D180" s="102" t="n">
        <f aca="false">B91</f>
        <v>965.789880367621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G18*0.000002*1.2*100</f>
        <v>9.72624</v>
      </c>
      <c r="C183" s="352"/>
      <c r="D183" s="364" t="n">
        <f aca="false">A183+B183</f>
        <v>38.90496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210.99996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728.98996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1476.99972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210.99996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1785.98976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1476.99972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210.99996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1785.98976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74.6789004114563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18500</v>
      </c>
      <c r="C9" s="9" t="n">
        <f aca="false">B9*0.2</f>
        <v>3700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18500</v>
      </c>
      <c r="C15" s="9" t="n">
        <f aca="false">SUM(C9:C13)</f>
        <v>3700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22200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1554</v>
      </c>
      <c r="C64" s="214" t="n">
        <v>10000</v>
      </c>
      <c r="D64" s="290" t="n">
        <f aca="false">B64</f>
        <v>1554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222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2880.66666666667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240.055555555556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8892.66666666667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75.3311819281969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8967.99784859486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747.333154049572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812.333154049572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747.333154049572</v>
      </c>
      <c r="B128" s="320" t="n">
        <f aca="false">IF(A105="YES",B89,0)</f>
        <v>65</v>
      </c>
      <c r="C128" s="325"/>
      <c r="D128" s="320" t="n">
        <f aca="false">B91</f>
        <v>812.333154049572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747.333154049572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812.333154049572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747.333154049572</v>
      </c>
      <c r="B137" s="37" t="n">
        <f aca="false">IF(A105="YES",B89,0)</f>
        <v>65</v>
      </c>
      <c r="C137" s="316"/>
      <c r="D137" s="37" t="n">
        <f aca="false">B91</f>
        <v>812.333154049572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24.3156</v>
      </c>
      <c r="B140" s="342" t="n">
        <f aca="false">G18*0.000002*100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222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739.99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812.333154049572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747.333154049572</v>
      </c>
      <c r="B171" s="354" t="n">
        <f aca="false">IF(A105="YES",B89,0)</f>
        <v>65</v>
      </c>
      <c r="C171" s="357"/>
      <c r="D171" s="354" t="n">
        <f aca="false">B91</f>
        <v>812.333154049572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747.333154049572</v>
      </c>
      <c r="C174" s="352"/>
      <c r="D174" s="102" t="n">
        <f aca="false">IF(A105="YES",B89*B57,0)</f>
        <v>65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812.333154049572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747.333154049572</v>
      </c>
      <c r="B180" s="102" t="n">
        <f aca="false">IF(A105="YES",B89,0)</f>
        <v>65</v>
      </c>
      <c r="C180" s="352"/>
      <c r="D180" s="102" t="n">
        <f aca="false">B91</f>
        <v>812.333154049572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24.3156</v>
      </c>
      <c r="B183" s="364" t="n">
        <f aca="false">G18*0.000002*100</f>
        <v>8.1052</v>
      </c>
      <c r="C183" s="352"/>
      <c r="D183" s="364" t="n">
        <f aca="false">A183+B183</f>
        <v>32.4208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222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739.99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1554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222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1851.99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1554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222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1851.99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75.3311819281969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334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357.527833333333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B66*B69</f>
        <v>1403.49972</v>
      </c>
      <c r="C70" s="316" t="n">
        <v>10000</v>
      </c>
      <c r="D70" s="31" t="n">
        <f aca="false">B70-A149</f>
        <v>1403.49972</v>
      </c>
      <c r="E70" s="317" t="n">
        <f aca="false">D70/12</f>
        <v>116.95831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3028.08305333333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252.340254444444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8062.100464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56.9127705203711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8119.01323452037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72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676.584436210031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748.584436210031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20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676.584436210031</v>
      </c>
      <c r="B134" s="320" t="n">
        <f aca="false">IF(A111="YES",B95,0)</f>
        <v>72</v>
      </c>
      <c r="C134" s="324"/>
      <c r="D134" s="320" t="n">
        <f aca="false">B97</f>
        <v>748.584436210031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676.584436210031</v>
      </c>
      <c r="C137" s="316"/>
      <c r="D137" s="37" t="n">
        <f aca="false">IF(A111="YES",B95*B63,0)</f>
        <v>72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748.584436210031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676.584436210031</v>
      </c>
      <c r="B143" s="37" t="n">
        <f aca="false">IF(A111="YES",B95,0)</f>
        <v>72</v>
      </c>
      <c r="C143" s="316"/>
      <c r="D143" s="37" t="n">
        <f aca="false">B97</f>
        <v>748.584436210031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37" t="n">
        <f aca="false">B108</f>
        <v>400</v>
      </c>
      <c r="C154" s="37"/>
      <c r="D154" s="37" t="n">
        <f aca="false">IF(A111="YES",(A44/100*B111)*B131,0)*0.1</f>
        <v>12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712.491626666667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748.584436210031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676.584436210031</v>
      </c>
      <c r="B177" s="354" t="n">
        <f aca="false">IF(A111="YES",B95,0)</f>
        <v>72</v>
      </c>
      <c r="C177" s="356"/>
      <c r="D177" s="354" t="n">
        <f aca="false">A177+B177</f>
        <v>748.584436210031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676.584436210031</v>
      </c>
      <c r="C180" s="352"/>
      <c r="D180" s="102" t="n">
        <f aca="false">IF(A111="YES",B95*B63,0)</f>
        <v>72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748.584436210031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676.584436210031</v>
      </c>
      <c r="B186" s="102" t="n">
        <f aca="false">IF(A111="YES",B95,0)</f>
        <v>72</v>
      </c>
      <c r="C186" s="352"/>
      <c r="D186" s="102" t="n">
        <f aca="false">B97</f>
        <v>748.584436210031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12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712.491626666667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1403.49972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459.991666666667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1662.99142666667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1403.49972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1662.99142666667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56.9127705203711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348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2836.82</v>
      </c>
      <c r="C70" s="316" t="n">
        <v>10000</v>
      </c>
      <c r="D70" s="31" t="n">
        <f aca="false">B70-A149</f>
        <v>2836.82</v>
      </c>
      <c r="E70" s="317" t="n">
        <f aca="false">D70/12</f>
        <v>236.401666666667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4461.40333333333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371.783611111111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8151.73733333333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69.0546526825333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8220.79198601587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685.065998834656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750.065998834655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685.065998834656</v>
      </c>
      <c r="B134" s="320" t="n">
        <f aca="false">IF(A111="YES",B95,0)</f>
        <v>65</v>
      </c>
      <c r="C134" s="325"/>
      <c r="D134" s="320" t="n">
        <f aca="false">B97</f>
        <v>750.065998834655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685.065998834656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750.065998834655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685.065998834656</v>
      </c>
      <c r="B143" s="37" t="n">
        <f aca="false">IF(A111="YES",B95,0)</f>
        <v>65</v>
      </c>
      <c r="C143" s="316"/>
      <c r="D143" s="37" t="n">
        <f aca="false">B97</f>
        <v>750.065998834655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718.48996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750.065998834655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685.065998834656</v>
      </c>
      <c r="B177" s="354" t="n">
        <f aca="false">IF(A111="YES",B95,0)</f>
        <v>65</v>
      </c>
      <c r="C177" s="357"/>
      <c r="D177" s="354" t="n">
        <f aca="false">B91</f>
        <v>8151.73733333333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685.065998834656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750.065998834655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685.065998834656</v>
      </c>
      <c r="B186" s="102" t="n">
        <f aca="false">IF(A111="YES",B95,0)</f>
        <v>65</v>
      </c>
      <c r="C186" s="352"/>
      <c r="D186" s="102" t="n">
        <f aca="false">B97</f>
        <v>750.065998834655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718.48996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2836.82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3156.31004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2836.82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3156.31004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69.0546526825333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10936.299664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11013.5022634837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917.791855290305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995.791855290305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917.791855290305</v>
      </c>
      <c r="B134" s="320" t="n">
        <f aca="false">IF(A111="YES",B95,0)</f>
        <v>78</v>
      </c>
      <c r="C134" s="325"/>
      <c r="D134" s="320" t="n">
        <f aca="false">B97</f>
        <v>995.791855290305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917.791855290305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995.791855290305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917.791855290305</v>
      </c>
      <c r="B143" s="37" t="n">
        <f aca="false">IF(A111="YES",B95,0)</f>
        <v>78</v>
      </c>
      <c r="C143" s="316"/>
      <c r="D143" s="37" t="n">
        <f aca="false">B97</f>
        <v>995.791855290305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728.991626666667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995.791855290305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917.791855290305</v>
      </c>
      <c r="B177" s="354" t="n">
        <f aca="false">IF(A111="YES",B95,0)</f>
        <v>78</v>
      </c>
      <c r="C177" s="357"/>
      <c r="D177" s="354" t="n">
        <f aca="false">B97</f>
        <v>995.791855290305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917.791855290305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995.791855290305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917.791855290305</v>
      </c>
      <c r="B186" s="102" t="n">
        <f aca="false">IF(A111="YES",B95,0)</f>
        <v>78</v>
      </c>
      <c r="C186" s="352"/>
      <c r="D186" s="102" t="n">
        <f aca="false">B97</f>
        <v>995.791855290305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728.991626666667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830.898804401416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65</v>
      </c>
      <c r="C134" s="325"/>
      <c r="D134" s="320" t="n">
        <f aca="false">B97</f>
        <v>830.898804401416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765.898804401416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830.898804401416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65</v>
      </c>
      <c r="C143" s="316"/>
      <c r="D143" s="37" t="n">
        <f aca="false">B97</f>
        <v>830.898804401416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728.98996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830.898804401416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65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765.898804401416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830.898804401416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65</v>
      </c>
      <c r="C186" s="352"/>
      <c r="D186" s="102" t="n">
        <f aca="false">B97</f>
        <v>830.898804401416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728.98996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2434.91638666667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202.909698888889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10136.299664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71.5551610004034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10207.8548250004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850.654568750034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850.654568750034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850.654568750034</v>
      </c>
      <c r="B134" s="320" t="n">
        <f aca="false">IF(A111="YES",B95,0)</f>
        <v>0</v>
      </c>
      <c r="C134" s="325"/>
      <c r="D134" s="320" t="n">
        <f aca="false">B97</f>
        <v>850.654568750034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850.654568750034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850.654568750034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850.654568750034</v>
      </c>
      <c r="B143" s="37" t="n">
        <f aca="false">IF(A111="YES",B95,0)</f>
        <v>0</v>
      </c>
      <c r="C143" s="316"/>
      <c r="D143" s="37" t="n">
        <f aca="false">B97</f>
        <v>850.654568750034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310.991626666667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850.654568750034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850.654568750034</v>
      </c>
      <c r="B177" s="354" t="n">
        <f aca="false">IF(A111="YES",B95,0)</f>
        <v>0</v>
      </c>
      <c r="C177" s="357"/>
      <c r="D177" s="354" t="n">
        <f aca="false">B91</f>
        <v>10136.299664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850.654568750034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850.654568750034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850.654568750034</v>
      </c>
      <c r="B186" s="102" t="n">
        <f aca="false">IF(A111="YES",B95,0)</f>
        <v>0</v>
      </c>
      <c r="C186" s="352"/>
      <c r="D186" s="102" t="n">
        <f aca="false">B97</f>
        <v>850.654568750034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310.991626666667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1365.99142666667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1365.99142666667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71.5551610004034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765.898804401416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0</v>
      </c>
      <c r="C134" s="325"/>
      <c r="D134" s="320" t="n">
        <f aca="false">B97</f>
        <v>765.898804401416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6893.08923961275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6893.08923961275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0</v>
      </c>
      <c r="C143" s="316"/>
      <c r="D143" s="37" t="n">
        <f aca="false">B97</f>
        <v>765.898804401416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765.898804401416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0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6893.08923961275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6893.08923961275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0</v>
      </c>
      <c r="C186" s="352"/>
      <c r="D186" s="102" t="n">
        <f aca="false">B97</f>
        <v>765.898804401416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20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851</v>
      </c>
      <c r="P32" s="211"/>
    </row>
    <row r="33" customFormat="false" ht="36.75" hidden="false" customHeight="false" outlineLevel="0" collapsed="false">
      <c r="A33" s="178" t="n">
        <f aca="false">A52</f>
        <v>20</v>
      </c>
      <c r="B33" s="231" t="n">
        <f aca="false">B51</f>
        <v>10000</v>
      </c>
      <c r="C33" s="92"/>
      <c r="D33" s="92"/>
      <c r="E33" s="231" t="n">
        <f aca="false">K48</f>
        <v>923.438149609567</v>
      </c>
      <c r="F33" s="231"/>
      <c r="G33" s="231"/>
      <c r="H33" s="46"/>
      <c r="I33" s="2"/>
      <c r="J33" s="33" t="s">
        <v>356</v>
      </c>
      <c r="K33" s="47" t="n">
        <f aca="false">E21</f>
        <v>16583.33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880.888149609567</v>
      </c>
      <c r="B36" s="231" t="n">
        <f aca="false">IF(B26="YES",K42,"0.00")</f>
        <v>42.55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20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16583.33</v>
      </c>
      <c r="L39" s="2" t="n">
        <f aca="false">(L47*K46)+K44</f>
        <v>14259.52127301</v>
      </c>
      <c r="N39" s="1" t="n">
        <f aca="false">K39-L39</f>
        <v>2323.80872699004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n">
        <f aca="false">IF(B26="YES",K42,"0.00")</f>
        <v>42.55</v>
      </c>
      <c r="C40" s="106"/>
      <c r="D40" s="106"/>
      <c r="E40" s="181" t="n">
        <f aca="false">K32</f>
        <v>851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2323.80872699004</v>
      </c>
      <c r="N40" s="1" t="n">
        <f aca="false">N38-N39</f>
        <v>587.871273009961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42.55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16583.33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18.8256931454353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880.888149609567</v>
      </c>
      <c r="L47" s="2" t="n">
        <f aca="false">L49-K42</f>
        <v>757.45</v>
      </c>
      <c r="M47" s="1" t="n">
        <f aca="false">K47-L47</f>
        <v>123.438149609567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923.438149609567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20</v>
      </c>
      <c r="B52" s="73" t="n">
        <f aca="false">K48</f>
        <v>923.438149609567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19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19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19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19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6407.40567282931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0.00666666666666667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0.0583333333333333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0.00666666666666667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0.00666666666666667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120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2364.01666666667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270.173333333333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880.888149609567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880.888149609567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923.438149609567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923.438149609567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21600</v>
      </c>
      <c r="C81" s="92"/>
      <c r="D81" s="92"/>
      <c r="E81" s="112"/>
      <c r="F81" s="24" t="s">
        <v>106</v>
      </c>
      <c r="G81" s="26" t="n">
        <f aca="false">G158</f>
        <v>21600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19</v>
      </c>
      <c r="C85" s="92"/>
      <c r="D85" s="92"/>
      <c r="E85" s="112"/>
      <c r="F85" s="30" t="s">
        <v>110</v>
      </c>
      <c r="G85" s="32" t="n">
        <f aca="false">IF(G82=0,(B59+B58),(B59))</f>
        <v>20</v>
      </c>
      <c r="H85" s="32"/>
      <c r="J85" s="30" t="s">
        <v>110</v>
      </c>
      <c r="K85" s="32" t="n">
        <f aca="false">IF(K82=0,(K59+K58),(K59))</f>
        <v>20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19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19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17.082086112366</v>
      </c>
      <c r="C87" s="92"/>
      <c r="D87" s="92"/>
      <c r="E87" s="112"/>
      <c r="F87" s="30" t="s">
        <v>112</v>
      </c>
      <c r="G87" s="32" t="n">
        <f aca="false">((1-(1/((1+G84)^G85)))/G84)</f>
        <v>18.8256931454353</v>
      </c>
      <c r="H87" s="32"/>
      <c r="J87" s="30" t="s">
        <v>112</v>
      </c>
      <c r="K87" s="32" t="n">
        <f aca="false">((1-(1/((1+K84)^K85)))/K84)</f>
        <v>16.3514333445971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16.9331388245188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16.9331388245188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21600</v>
      </c>
      <c r="C88" s="92"/>
      <c r="D88" s="92"/>
      <c r="E88" s="112"/>
      <c r="F88" s="30" t="s">
        <v>113</v>
      </c>
      <c r="G88" s="32" t="n">
        <f aca="false">G81-G86</f>
        <v>21600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1264.48256131688</v>
      </c>
      <c r="C89" s="92"/>
      <c r="D89" s="92"/>
      <c r="E89" s="112"/>
      <c r="F89" s="30" t="s">
        <v>114</v>
      </c>
      <c r="G89" s="32" t="n">
        <f aca="false">(G88/G87)</f>
        <v>1147.36811192726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24025.1686650206</v>
      </c>
      <c r="C90" s="92"/>
      <c r="D90" s="92"/>
      <c r="E90" s="112"/>
      <c r="F90" s="30" t="s">
        <v>115</v>
      </c>
      <c r="G90" s="32" t="n">
        <f aca="false">((G89*(G85))+G77)</f>
        <v>22947.3622385451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24025.1686650206</v>
      </c>
      <c r="C92" s="92"/>
      <c r="D92" s="92"/>
      <c r="E92" s="112"/>
      <c r="F92" s="55" t="s">
        <v>117</v>
      </c>
      <c r="G92" s="64" t="n">
        <f aca="false">(G90+G91)</f>
        <v>22947.3622385451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IF(B26="YES",((E40/B85)*(1+A108)*1.2*(C45/100)),"0")</f>
        <v>69.8715789473684</v>
      </c>
      <c r="C94" s="92"/>
      <c r="D94" s="92"/>
      <c r="E94" s="112"/>
      <c r="F94" s="87" t="s">
        <v>118</v>
      </c>
      <c r="G94" s="93" t="n">
        <f aca="false">IF(B26="YES",((E40/B85)*(1+A108)*(C45/100)),"0")</f>
        <v>58.2263157894737</v>
      </c>
      <c r="H94" s="32"/>
      <c r="J94" s="87" t="s">
        <v>118</v>
      </c>
      <c r="K94" s="88" t="n">
        <f aca="false">((E40/K85)*(1+J108))*1.2</f>
        <v>66.378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53.7473684210526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64.4968421052632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1264.48256131688</v>
      </c>
      <c r="C95" s="92"/>
      <c r="D95" s="92"/>
      <c r="E95" s="112"/>
      <c r="F95" s="94" t="s">
        <v>119</v>
      </c>
      <c r="G95" s="95" t="n">
        <f aca="false">G92/(G85)</f>
        <v>1147.36811192726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1334.35414026424</v>
      </c>
      <c r="C96" s="92"/>
      <c r="D96" s="92"/>
      <c r="E96" s="112"/>
      <c r="F96" s="96" t="s">
        <v>120</v>
      </c>
      <c r="G96" s="97" t="n">
        <f aca="false">G94+G95</f>
        <v>1205.59442771673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16583.33</v>
      </c>
      <c r="C121" s="120" t="n">
        <v>18750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19899.996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19899.996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19899.996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16583.33</v>
      </c>
      <c r="C125" s="132" t="n">
        <f aca="false">C121-C124</f>
        <v>18750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16583.33</v>
      </c>
      <c r="H135" s="152" t="n">
        <f aca="false">C125+E125+G125+H128</f>
        <v>18750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3316.666</v>
      </c>
      <c r="H137" s="32" t="n">
        <f aca="false">(H135+H136)*20%</f>
        <v>3750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19899.996</v>
      </c>
      <c r="H141" s="156" t="n">
        <f aca="false">(H135+H136+H139+H140+H137)-H138</f>
        <v>22500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19899.996</v>
      </c>
      <c r="H147" s="163" t="n">
        <f aca="false">H141-((H144*1.2)+(H145*1.2)+(H146*1.2)+(H142*1.2))</f>
        <v>22500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2166.67</v>
      </c>
      <c r="I148" s="1" t="n">
        <f aca="false">(H148-G81)/1.2</f>
        <v>-16194.4416666667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21600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1264.48256131688</v>
      </c>
      <c r="B167" s="176" t="n">
        <f aca="false">B94</f>
        <v>69.8715789473684</v>
      </c>
      <c r="C167" s="173"/>
      <c r="D167" s="173"/>
      <c r="E167" s="176" t="n">
        <f aca="false">B96</f>
        <v>1334.35414026424</v>
      </c>
      <c r="F167" s="22"/>
      <c r="G167" s="22" t="n">
        <f aca="false">ROUND(G95,2)</f>
        <v>1147.37</v>
      </c>
      <c r="H167" s="32"/>
      <c r="J167" s="175" t="e">
        <f aca="false">K95</f>
        <v>#VALUE!</v>
      </c>
      <c r="K167" s="176" t="n">
        <f aca="false">K94</f>
        <v>66.378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53.7473684210526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64.4968421052632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20</v>
      </c>
      <c r="B170" s="179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20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20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20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18750</v>
      </c>
      <c r="B173" s="102" t="n">
        <f aca="false">H137</f>
        <v>3750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22500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21600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3759.52280528489</v>
      </c>
      <c r="B182" s="102" t="str">
        <f aca="false">B114</f>
        <v>239.99</v>
      </c>
      <c r="C182" s="102"/>
      <c r="D182" s="22"/>
      <c r="E182" s="102" t="n">
        <f aca="false">E179+A182+B182+A185</f>
        <v>25609.5128052849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1344.35414026424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0.081052</v>
      </c>
      <c r="B188" s="102" t="n">
        <f aca="false">(G158*B67)/1.2</f>
        <v>120</v>
      </c>
      <c r="C188" s="92"/>
      <c r="D188" s="92"/>
      <c r="E188" s="102" t="n">
        <f aca="false">(E40*A108)*0.1*C45/100</f>
        <v>25.53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25.53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17.02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17.02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245.521666666667</v>
      </c>
      <c r="C191" s="92"/>
      <c r="D191" s="92"/>
      <c r="E191" s="102" t="n">
        <f aca="false">H148</f>
        <v>2166.67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20</v>
      </c>
      <c r="B197" s="73" t="n">
        <f aca="false">B96</f>
        <v>1334.35414026424</v>
      </c>
      <c r="C197" s="73"/>
      <c r="D197" s="73"/>
      <c r="E197" s="22"/>
      <c r="F197" s="22"/>
      <c r="G197" s="22"/>
      <c r="H197" s="32"/>
      <c r="J197" s="72" t="n">
        <f aca="false">K29</f>
        <v>20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20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20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1347.4</v>
      </c>
      <c r="B201" s="185" t="n">
        <f aca="false">E179+A201+B182+A185</f>
        <v>23197.39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20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1264.48256131688</v>
      </c>
      <c r="B212" s="176" t="n">
        <f aca="false">B167</f>
        <v>69.8715789473684</v>
      </c>
      <c r="C212" s="173"/>
      <c r="D212" s="173"/>
      <c r="E212" s="176" t="n">
        <f aca="false">E167</f>
        <v>1334.35414026424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18750</v>
      </c>
      <c r="B215" s="102" t="n">
        <f aca="false">B173</f>
        <v>3750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22500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21600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3759.52280528489</v>
      </c>
      <c r="B224" s="102" t="str">
        <f aca="false">B182</f>
        <v>239.99</v>
      </c>
      <c r="C224" s="102"/>
      <c r="D224" s="112"/>
      <c r="E224" s="102" t="n">
        <f aca="false">E182</f>
        <v>25609.5128052849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19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1264.48256131688</v>
      </c>
      <c r="B230" s="102" t="n">
        <f aca="false">B167</f>
        <v>69.8715789473684</v>
      </c>
      <c r="C230" s="185"/>
      <c r="D230" s="185"/>
      <c r="E230" s="102" t="n">
        <f aca="false">E167</f>
        <v>1334.35414026424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1344.35414026424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2166.67</v>
      </c>
      <c r="B240" s="102" t="n">
        <f aca="false">B68</f>
        <v>120</v>
      </c>
      <c r="C240" s="92"/>
      <c r="D240" s="92"/>
      <c r="E240" s="102" t="n">
        <f aca="false">E188</f>
        <v>25.53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2412.19166666666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2422.12280528489</v>
      </c>
      <c r="C254" s="196"/>
      <c r="D254" s="197" t="s">
        <v>217</v>
      </c>
      <c r="E254" s="197"/>
      <c r="F254" s="199" t="n">
        <f aca="false">F261+F267+F269+B270+B271</f>
        <v>144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355.291666666667</v>
      </c>
      <c r="C255" s="196"/>
      <c r="D255" s="197" t="s">
        <v>219</v>
      </c>
      <c r="E255" s="197"/>
      <c r="F255" s="199" t="n">
        <f aca="false">(B254-F254)+B255</f>
        <v>2633.41447195156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2422.12280528489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0.00666666666666667</v>
      </c>
      <c r="C261" s="31"/>
      <c r="D261" s="165" t="s">
        <v>222</v>
      </c>
      <c r="E261" s="165"/>
      <c r="F261" s="150" t="n">
        <f aca="false">B68*1.2</f>
        <v>144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255.3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2633.41447195156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32.7272727272727</v>
      </c>
      <c r="C94" s="92"/>
      <c r="D94" s="92"/>
      <c r="E94" s="112"/>
      <c r="F94" s="87" t="s">
        <v>118</v>
      </c>
      <c r="G94" s="93" t="n">
        <f aca="false">IF(B26="YES",((E40/B85)*(1+A108)*(C45/100)),"0")</f>
        <v>32.7272727272727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597.293561103525</v>
      </c>
      <c r="C96" s="92"/>
      <c r="D96" s="92"/>
      <c r="E96" s="112"/>
      <c r="F96" s="96" t="s">
        <v>120</v>
      </c>
      <c r="G96" s="97" t="n">
        <f aca="false">G94+G95</f>
        <v>492.507671613885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564.566288376252</v>
      </c>
      <c r="B167" s="176" t="n">
        <f aca="false">B94</f>
        <v>32.7272727272727</v>
      </c>
      <c r="C167" s="173"/>
      <c r="D167" s="173"/>
      <c r="E167" s="176" t="n">
        <f aca="false">B96</f>
        <v>597.293561103525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179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6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193.489983333333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597.293561103525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32.7272727272727</v>
      </c>
      <c r="C212" s="173"/>
      <c r="D212" s="173"/>
      <c r="E212" s="176" t="n">
        <f aca="false">E167</f>
        <v>597.293561103525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32.7272727272727</v>
      </c>
      <c r="C230" s="185"/>
      <c r="D230" s="185"/>
      <c r="E230" s="102" t="n">
        <f aca="false">E167</f>
        <v>597.293561103525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2193.48998333333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159.99</v>
      </c>
      <c r="C255" s="196"/>
      <c r="D255" s="197" t="s">
        <v>219</v>
      </c>
      <c r="E255" s="197"/>
      <c r="F255" s="199" t="n">
        <f aca="false">(B254-F254)+B255</f>
        <v>1217.63919213878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1217.63919213878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11730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299.539129582044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299.539129582044</v>
      </c>
      <c r="B36" s="231" t="str">
        <f aca="false">IF(B26="YES",K42,"0.00")</f>
        <v>0.00</v>
      </c>
      <c r="C36" s="231"/>
      <c r="D36" s="231"/>
      <c r="E36" s="231" t="n">
        <f aca="false">K31</f>
        <v>11730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1"/>
    </row>
    <row r="40" customFormat="false" ht="19.5" hidden="false" customHeight="false" outlineLevel="0" collapsed="false">
      <c r="A40" s="106" t="n">
        <f aca="false">E36*A45/100</f>
        <v>11730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7882.31662791798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9701.01337208203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299.539129582044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299.539129582044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4452.15254185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174.999966666667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3039.45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405.26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299.539129582044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299.539129582044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299.539129582044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299.539129582044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11730</v>
      </c>
      <c r="C82" s="92"/>
      <c r="D82" s="92"/>
      <c r="E82" s="112"/>
      <c r="F82" s="30" t="s">
        <v>107</v>
      </c>
      <c r="G82" s="32" t="n">
        <f aca="false">IF(A111="YES",A40,0)</f>
        <v>11730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11730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11730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8198.38965912775</v>
      </c>
      <c r="C86" s="92"/>
      <c r="D86" s="92"/>
      <c r="E86" s="112"/>
      <c r="F86" s="30" t="s">
        <v>111</v>
      </c>
      <c r="G86" s="32" t="n">
        <f aca="false">(G82/((1+G84)^(G85+1)))</f>
        <v>9513.956169897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7934.96785267316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7934.96785267316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12801.6063408723</v>
      </c>
      <c r="C88" s="92"/>
      <c r="D88" s="92"/>
      <c r="E88" s="112"/>
      <c r="F88" s="30" t="s">
        <v>113</v>
      </c>
      <c r="G88" s="32" t="n">
        <f aca="false">G81-G86</f>
        <v>11486.039830103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435.301748765817</v>
      </c>
      <c r="C89" s="92"/>
      <c r="D89" s="92"/>
      <c r="E89" s="112"/>
      <c r="F89" s="30" t="s">
        <v>114</v>
      </c>
      <c r="G89" s="32" t="n">
        <f aca="false">(G88/G87)</f>
        <v>363.765624720186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15235.5612068036</v>
      </c>
      <c r="C90" s="92"/>
      <c r="D90" s="92"/>
      <c r="E90" s="112"/>
      <c r="F90" s="30" t="s">
        <v>115</v>
      </c>
      <c r="G90" s="32" t="n">
        <f aca="false">((G89*(G85))+G77)</f>
        <v>12731.7968652065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15235.5612068036</v>
      </c>
      <c r="C92" s="92"/>
      <c r="D92" s="92"/>
      <c r="E92" s="112"/>
      <c r="F92" s="55" t="s">
        <v>117</v>
      </c>
      <c r="G92" s="64" t="n">
        <f aca="false">(G90+G91)</f>
        <v>12731.7968652065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435.301748765817</v>
      </c>
      <c r="C95" s="92"/>
      <c r="D95" s="92"/>
      <c r="E95" s="112"/>
      <c r="F95" s="94" t="s">
        <v>119</v>
      </c>
      <c r="G95" s="95" t="n">
        <f aca="false">G92/(G85)</f>
        <v>363.765624720186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435.301748765817</v>
      </c>
      <c r="C96" s="92"/>
      <c r="D96" s="92"/>
      <c r="E96" s="112"/>
      <c r="F96" s="96" t="s">
        <v>120</v>
      </c>
      <c r="G96" s="97" t="n">
        <f aca="false">G94+G95</f>
        <v>363.765624720186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435.301748765817</v>
      </c>
      <c r="B167" s="176" t="str">
        <f aca="false">B94</f>
        <v>0</v>
      </c>
      <c r="C167" s="173"/>
      <c r="D167" s="173"/>
      <c r="E167" s="176" t="n">
        <f aca="false">B96</f>
        <v>435.301748765817</v>
      </c>
      <c r="F167" s="22"/>
      <c r="G167" s="22" t="n">
        <f aca="false">ROUND(G95,2)</f>
        <v>363.77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11730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11730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11730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11730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5965.56520680359</v>
      </c>
      <c r="B182" s="102" t="str">
        <f aca="false">B114</f>
        <v>239.99</v>
      </c>
      <c r="C182" s="102"/>
      <c r="D182" s="22"/>
      <c r="E182" s="102" t="n">
        <f aca="false">E179+A182+B182+A185</f>
        <v>27215.5512068036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 E170=0 , A185+E167, E170+A185)</f>
        <v>11740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11750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11740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11740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(G158*B67)</f>
        <v>209.99996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309.991626666667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435.301748765817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3461.95399999999</v>
      </c>
      <c r="B201" s="185" t="n">
        <f aca="false">E179+A201+B182+A185</f>
        <v>24711.94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435.301748765817</v>
      </c>
      <c r="B212" s="176" t="str">
        <f aca="false">B167</f>
        <v>0</v>
      </c>
      <c r="C212" s="173"/>
      <c r="D212" s="173"/>
      <c r="E212" s="176" t="n">
        <f aca="false">E167</f>
        <v>435.301748765817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5965.56520680359</v>
      </c>
      <c r="B224" s="102" t="str">
        <f aca="false">B182</f>
        <v>239.99</v>
      </c>
      <c r="C224" s="102"/>
      <c r="D224" s="112"/>
      <c r="E224" s="102" t="n">
        <f aca="false">E182</f>
        <v>27215.5512068036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435.301748765817</v>
      </c>
      <c r="B230" s="102" t="str">
        <f aca="false">B167</f>
        <v>0</v>
      </c>
      <c r="C230" s="185"/>
      <c r="D230" s="185"/>
      <c r="E230" s="102" t="n">
        <f aca="false">E167</f>
        <v>435.301748765817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11730</v>
      </c>
      <c r="B233" s="102" t="n">
        <f aca="false">E185</f>
        <v>11740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174.999966666667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2274.99163333333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2513.61120680359</v>
      </c>
      <c r="C254" s="196"/>
      <c r="D254" s="197" t="s">
        <v>217</v>
      </c>
      <c r="E254" s="197"/>
      <c r="F254" s="199" t="n">
        <f aca="false">F261+F267+F269+B270+B271</f>
        <v>209.99996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2403.60291347026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2513.61120680359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209.99996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2403.60291347026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35.4545454545455</v>
      </c>
      <c r="C94" s="92"/>
      <c r="D94" s="92"/>
      <c r="E94" s="112"/>
      <c r="F94" s="87" t="s">
        <v>118</v>
      </c>
      <c r="G94" s="93" t="n">
        <f aca="false">IF(B26="YES",((E40/B85)*(1+A108)*(C45/100)),"0")</f>
        <v>35.4545454545455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600.020833830798</v>
      </c>
      <c r="C96" s="92"/>
      <c r="D96" s="92"/>
      <c r="E96" s="112"/>
      <c r="F96" s="96" t="s">
        <v>120</v>
      </c>
      <c r="G96" s="97" t="n">
        <f aca="false">G94+G95</f>
        <v>495.234944341158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564.566288376252</v>
      </c>
      <c r="B167" s="176" t="n">
        <f aca="false">B94</f>
        <v>35.4545454545455</v>
      </c>
      <c r="C167" s="173"/>
      <c r="D167" s="173"/>
      <c r="E167" s="176" t="n">
        <f aca="false">B96</f>
        <v>600.020833830798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228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9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196.489983333333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600.020833830798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35.4545454545455</v>
      </c>
      <c r="C212" s="173"/>
      <c r="D212" s="173"/>
      <c r="E212" s="176" t="n">
        <f aca="false">E167</f>
        <v>600.020833830798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35.4545454545455</v>
      </c>
      <c r="C230" s="185"/>
      <c r="D230" s="185"/>
      <c r="E230" s="102" t="n">
        <f aca="false">E167</f>
        <v>600.020833830798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2196.48998333333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189.99</v>
      </c>
      <c r="C255" s="196"/>
      <c r="D255" s="197" t="s">
        <v>219</v>
      </c>
      <c r="E255" s="197"/>
      <c r="F255" s="199" t="n">
        <f aca="false">(B254-F254)+B255</f>
        <v>1247.63919213878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1247.63919213878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4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552.861519485774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552.861519485774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-26942.5795313712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17583.33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552.861519485774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552.861519485774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552.861519485774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413.208255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11441.6666666667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326.904761904762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552.861519485774</v>
      </c>
      <c r="C83" s="469"/>
      <c r="D83" s="214"/>
      <c r="E83" s="462" t="n">
        <f aca="false">B83+E80+E77+E64</f>
        <v>873.41707504133</v>
      </c>
      <c r="F83" s="62"/>
      <c r="G83" s="304" t="s">
        <v>105</v>
      </c>
      <c r="H83" s="305" t="n">
        <f aca="false">H47</f>
        <v>552.861519485774</v>
      </c>
      <c r="I83" s="214"/>
      <c r="J83" s="214"/>
      <c r="K83" s="215"/>
      <c r="L83" s="62"/>
      <c r="M83" s="304" t="s">
        <v>105</v>
      </c>
      <c r="N83" s="305" t="n">
        <f aca="false">H47</f>
        <v>552.861519485774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30791.8198486688</v>
      </c>
      <c r="C85" s="469"/>
      <c r="D85" s="469"/>
      <c r="E85" s="462" t="n">
        <f aca="false">B85/(B58+B57)</f>
        <v>879.766281390536</v>
      </c>
      <c r="F85" s="62"/>
      <c r="G85" s="287" t="s">
        <v>115</v>
      </c>
      <c r="H85" s="130" t="n">
        <f aca="false">((H83*H29)+H81)*1.2</f>
        <v>24477.1838184025</v>
      </c>
      <c r="I85" s="214"/>
      <c r="J85" s="214"/>
      <c r="K85" s="215"/>
      <c r="L85" s="62"/>
      <c r="M85" s="287" t="s">
        <v>115</v>
      </c>
      <c r="N85" s="130" t="n">
        <f aca="false">((N83*H29)+N81)</f>
        <v>20067.6531820021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260.842362574443</v>
      </c>
      <c r="C86" s="469" t="s">
        <v>231</v>
      </c>
      <c r="D86" s="214"/>
      <c r="E86" s="462" t="n">
        <f aca="false">B86/(B58+B57)</f>
        <v>7.45263893069837</v>
      </c>
      <c r="F86" s="62"/>
      <c r="G86" s="213" t="s">
        <v>116</v>
      </c>
      <c r="H86" s="299" t="n">
        <f aca="false">((((H83*H29)+H81))/(1-H70))*H70</f>
        <v>172.791737322325</v>
      </c>
      <c r="I86" s="214"/>
      <c r="J86" s="214"/>
      <c r="K86" s="215"/>
      <c r="L86" s="62"/>
      <c r="M86" s="213" t="s">
        <v>116</v>
      </c>
      <c r="N86" s="299" t="n">
        <f aca="false">(N85/(1-N70))*N70</f>
        <v>169.996255273112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31052.6622112432</v>
      </c>
      <c r="C87" s="469"/>
      <c r="D87" s="471"/>
      <c r="E87" s="462" t="n">
        <f aca="false">E86+E85</f>
        <v>887.218920321235</v>
      </c>
      <c r="F87" s="62"/>
      <c r="G87" s="284" t="s">
        <v>117</v>
      </c>
      <c r="H87" s="132" t="n">
        <f aca="false">IF(H110="YES",((H85+H86)-K114),(H85+H86))</f>
        <v>24649.9755557248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20237.6494372752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887.218920321235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616.249388893121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505.94123593188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887.218920321235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616.249388893121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505.94123593188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616.249388893121</v>
      </c>
      <c r="H127" s="176" t="n">
        <f aca="false">IF(G105="YES",H89*H57,0)</f>
        <v>0</v>
      </c>
      <c r="I127" s="176"/>
      <c r="J127" s="333" t="n">
        <f aca="false">H91</f>
        <v>616.249388893121</v>
      </c>
      <c r="K127" s="215"/>
      <c r="L127" s="62"/>
      <c r="M127" s="332" t="n">
        <f aca="false">N90</f>
        <v>505.94123593188</v>
      </c>
      <c r="N127" s="176" t="n">
        <f aca="false">IF(M105="YES",N89*N57,0)</f>
        <v>0</v>
      </c>
      <c r="O127" s="176"/>
      <c r="P127" s="176" t="n">
        <f aca="false">N91</f>
        <v>505.94123593188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887.218920321235</v>
      </c>
      <c r="B128" s="320" t="n">
        <f aca="false">IF(A105="YES",B89,0)</f>
        <v>0</v>
      </c>
      <c r="C128" s="324"/>
      <c r="D128" s="320" t="n">
        <f aca="false">B91</f>
        <v>887.218920321235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887.218920321235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3697.49633335873</v>
      </c>
      <c r="H133" s="102" t="n">
        <f aca="false">IF(G105="YES",H89*H57,0)</f>
        <v>0</v>
      </c>
      <c r="I133" s="220"/>
      <c r="J133" s="183" t="n">
        <f aca="false">H91*H57</f>
        <v>3697.49633335873</v>
      </c>
      <c r="K133" s="215"/>
      <c r="L133" s="62"/>
      <c r="M133" s="184" t="n">
        <f aca="false">N90*N57</f>
        <v>3035.64741559128</v>
      </c>
      <c r="N133" s="102" t="n">
        <f aca="false">IF(M105="YES",N89*N57,0)</f>
        <v>0</v>
      </c>
      <c r="O133" s="220"/>
      <c r="P133" s="183" t="n">
        <f aca="false">N91*N57</f>
        <v>3035.64741559128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887.218920321235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887.218920321235</v>
      </c>
      <c r="B137" s="37" t="n">
        <f aca="false">IF(A105="YES",B89,0)</f>
        <v>0</v>
      </c>
      <c r="C137" s="316"/>
      <c r="D137" s="37" t="n">
        <f aca="false">B91</f>
        <v>887.218920321235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413.208255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913.198255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616.249388893121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505.94123593188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887.218920321235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887.218920321235</v>
      </c>
      <c r="B177" s="354" t="n">
        <f aca="false">IF(A105="YES",B89,0)</f>
        <v>0</v>
      </c>
      <c r="C177" s="356"/>
      <c r="D177" s="354" t="n">
        <f aca="false">B91</f>
        <v>887.218920321235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887.218920321235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887.218920321235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887.218920321235</v>
      </c>
      <c r="B186" s="102" t="n">
        <f aca="false">IF(A105="YES",B89,0)</f>
        <v>0</v>
      </c>
      <c r="C186" s="352"/>
      <c r="D186" s="102" t="n">
        <f aca="false">B91</f>
        <v>887.218920321235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413.208255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913.198255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413.208255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9926.781745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413.208255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9926.781745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260.842362574443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12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15450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1040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12</v>
      </c>
      <c r="B33" s="228" t="n">
        <v>10000</v>
      </c>
      <c r="C33" s="229"/>
      <c r="D33" s="455" t="n">
        <f aca="false">H48</f>
        <v>1232.66338128253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12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1206.66338128253</v>
      </c>
      <c r="B36" s="102" t="n">
        <f aca="false">IF(B26="YES",H42,"")</f>
        <v>26</v>
      </c>
      <c r="C36" s="220"/>
      <c r="D36" s="183" t="n">
        <f aca="false">H31</f>
        <v>15450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19522.4211536279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4635</v>
      </c>
      <c r="B40" s="106" t="n">
        <f aca="false">IF(B26="YES",H42,"0")</f>
        <v>26</v>
      </c>
      <c r="C40" s="106"/>
      <c r="D40" s="183" t="n">
        <f aca="false">I32</f>
        <v>1040</v>
      </c>
      <c r="E40" s="215"/>
      <c r="F40" s="62"/>
      <c r="G40" s="62" t="s">
        <v>107</v>
      </c>
      <c r="H40" s="237" t="n">
        <f aca="false">A40/1.2</f>
        <v>3862.5</v>
      </c>
      <c r="I40" s="237" t="n">
        <f aca="false">H39-I39</f>
        <v>-1939.09115362792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26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3600.55500439506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13982.7749956049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11.5879666297182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1206.66338128253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1232.66338128253</v>
      </c>
      <c r="I48" s="237" t="n">
        <f aca="false">I49-H42</f>
        <v>1374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H48</f>
        <v>1232.66338128253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11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11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461" t="n">
        <v>10000</v>
      </c>
      <c r="D64" s="290" t="n">
        <f aca="false">B64</f>
        <v>1476.99972</v>
      </c>
      <c r="E64" s="462" t="n">
        <f aca="false">D64/(B58+B57)</f>
        <v>123.08331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468" t="n">
        <f aca="false">B73+B71</f>
        <v>260</v>
      </c>
      <c r="E73" s="215" t="s">
        <v>228</v>
      </c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284" t="s">
        <v>100</v>
      </c>
      <c r="N73" s="132" t="n">
        <f aca="false">N72*H29</f>
        <v>54</v>
      </c>
      <c r="O73" s="214"/>
      <c r="P73" s="290" t="n">
        <f aca="false">N73+N71</f>
        <v>214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297.916666666667</v>
      </c>
      <c r="C76" s="214"/>
      <c r="D76" s="290" t="n">
        <f aca="false">B76</f>
        <v>297.916666666667</v>
      </c>
      <c r="E76" s="215"/>
      <c r="F76" s="62"/>
      <c r="G76" s="284" t="s">
        <v>282</v>
      </c>
      <c r="H76" s="132" t="n">
        <f aca="false">((H74+H75)/12)*(H29-11)</f>
        <v>13.75</v>
      </c>
      <c r="I76" s="214"/>
      <c r="J76" s="290" t="n">
        <f aca="false">H76</f>
        <v>13.75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79.8263888888889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2434.91638666667</v>
      </c>
      <c r="C81" s="469"/>
      <c r="D81" s="470"/>
      <c r="E81" s="462"/>
      <c r="F81" s="62"/>
      <c r="G81" s="302" t="s">
        <v>103</v>
      </c>
      <c r="H81" s="303" t="n">
        <f aca="false">SUM(J64:J80)</f>
        <v>627.75</v>
      </c>
      <c r="I81" s="214"/>
      <c r="J81" s="214"/>
      <c r="K81" s="215"/>
      <c r="L81" s="62"/>
      <c r="M81" s="302" t="s">
        <v>103</v>
      </c>
      <c r="N81" s="303" t="n">
        <f aca="false">SUM(P64:P80)</f>
        <v>614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202.909698888889</v>
      </c>
      <c r="C82" s="469"/>
      <c r="D82" s="214"/>
      <c r="E82" s="462"/>
      <c r="F82" s="62"/>
      <c r="G82" s="213" t="s">
        <v>104</v>
      </c>
      <c r="H82" s="299" t="n">
        <f aca="false">H81/H29</f>
        <v>52.3125</v>
      </c>
      <c r="I82" s="214"/>
      <c r="J82" s="214"/>
      <c r="K82" s="215"/>
      <c r="L82" s="62"/>
      <c r="M82" s="213" t="s">
        <v>104</v>
      </c>
      <c r="N82" s="299" t="n">
        <f aca="false">N81/H29</f>
        <v>51.1666666666667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1206.66338128253</v>
      </c>
      <c r="C83" s="469"/>
      <c r="D83" s="214"/>
      <c r="E83" s="462" t="n">
        <f aca="false">B83+E80+E77+E64</f>
        <v>1409.57308017142</v>
      </c>
      <c r="F83" s="62"/>
      <c r="G83" s="304" t="s">
        <v>105</v>
      </c>
      <c r="H83" s="305" t="n">
        <f aca="false">H47</f>
        <v>1206.66338128253</v>
      </c>
      <c r="I83" s="214"/>
      <c r="J83" s="214"/>
      <c r="K83" s="215"/>
      <c r="L83" s="62"/>
      <c r="M83" s="304" t="s">
        <v>105</v>
      </c>
      <c r="N83" s="305" t="n">
        <f aca="false">H47</f>
        <v>1206.66338128253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20297.8523544684</v>
      </c>
      <c r="C85" s="469"/>
      <c r="D85" s="469"/>
      <c r="E85" s="462" t="n">
        <f aca="false">B85/(B58+B57)</f>
        <v>1691.4876962057</v>
      </c>
      <c r="F85" s="62"/>
      <c r="G85" s="287" t="s">
        <v>115</v>
      </c>
      <c r="H85" s="130" t="n">
        <f aca="false">((H83*H29)+H81)*1.2</f>
        <v>18129.2526904684</v>
      </c>
      <c r="I85" s="214"/>
      <c r="J85" s="214"/>
      <c r="K85" s="215"/>
      <c r="L85" s="62"/>
      <c r="M85" s="287" t="s">
        <v>115</v>
      </c>
      <c r="N85" s="130" t="n">
        <f aca="false">((N83*H29)+N81)</f>
        <v>15093.9605753904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143.288590642678</v>
      </c>
      <c r="C86" s="469" t="s">
        <v>231</v>
      </c>
      <c r="D86" s="214"/>
      <c r="E86" s="462" t="n">
        <f aca="false">B86/(B58+B57)</f>
        <v>11.9407158868898</v>
      </c>
      <c r="F86" s="62"/>
      <c r="G86" s="213" t="s">
        <v>116</v>
      </c>
      <c r="H86" s="299" t="n">
        <f aca="false">((((H83*H29)+H81))/(1-H70))*H70</f>
        <v>127.979799146106</v>
      </c>
      <c r="I86" s="214"/>
      <c r="J86" s="214"/>
      <c r="K86" s="215"/>
      <c r="L86" s="62"/>
      <c r="M86" s="213" t="s">
        <v>116</v>
      </c>
      <c r="N86" s="299" t="n">
        <f aca="false">(N85/(1-N70))*N70</f>
        <v>127.863320727389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20441.1409451111</v>
      </c>
      <c r="C87" s="469"/>
      <c r="D87" s="471"/>
      <c r="E87" s="462" t="n">
        <f aca="false">E86+E85</f>
        <v>1703.42841209259</v>
      </c>
      <c r="F87" s="62"/>
      <c r="G87" s="284" t="s">
        <v>117</v>
      </c>
      <c r="H87" s="132" t="n">
        <f aca="false">IF(H110="YES",((H85+H86)-K114),(H85+H86))</f>
        <v>18257.2324896146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15221.8238961178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37.44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88.0941176470588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73.4117647058824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1703.42841209259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1073.95485233027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895.401405653986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1740.86841209259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1162.04896997733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968.813170359868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(E118)+E117-E114</f>
        <v>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1073.95485233027</v>
      </c>
      <c r="H127" s="176" t="n">
        <f aca="false">IF(G105="YES",H89*H57,0)</f>
        <v>528.564705882353</v>
      </c>
      <c r="I127" s="176"/>
      <c r="J127" s="333" t="n">
        <f aca="false">H91</f>
        <v>1162.04896997733</v>
      </c>
      <c r="K127" s="215"/>
      <c r="L127" s="62"/>
      <c r="M127" s="332" t="n">
        <f aca="false">N90</f>
        <v>895.401405653986</v>
      </c>
      <c r="N127" s="176" t="n">
        <f aca="false">IF(M105="YES",N89*N57,0)</f>
        <v>440.470588235294</v>
      </c>
      <c r="O127" s="176"/>
      <c r="P127" s="176" t="n">
        <f aca="false">N91</f>
        <v>968.813170359868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1703.42841209259</v>
      </c>
      <c r="B128" s="320" t="n">
        <f aca="false">IF(A105="YES",B89,0)</f>
        <v>37.44</v>
      </c>
      <c r="C128" s="324"/>
      <c r="D128" s="320" t="n">
        <f aca="false">B91</f>
        <v>1740.86841209259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12</v>
      </c>
      <c r="H130" s="228" t="n">
        <f aca="false">B151</f>
        <v>0</v>
      </c>
      <c r="I130" s="229"/>
      <c r="J130" s="228" t="n">
        <f aca="false">B58</f>
        <v>11</v>
      </c>
      <c r="K130" s="215"/>
      <c r="L130" s="62"/>
      <c r="M130" s="227" t="n">
        <f aca="false">M155</f>
        <v>12</v>
      </c>
      <c r="N130" s="228" t="n">
        <f aca="false">B151</f>
        <v>0</v>
      </c>
      <c r="O130" s="229"/>
      <c r="P130" s="228" t="n">
        <f aca="false">B58</f>
        <v>11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1703.42841209259</v>
      </c>
      <c r="C131" s="316"/>
      <c r="D131" s="37" t="n">
        <f aca="false">IF(A105="YES",B89*B57,0)</f>
        <v>37.44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6443.72911398161</v>
      </c>
      <c r="H133" s="102" t="n">
        <f aca="false">IF(G105="YES",H89*H57,0)</f>
        <v>528.564705882353</v>
      </c>
      <c r="I133" s="220"/>
      <c r="J133" s="183" t="n">
        <f aca="false">H91*H57</f>
        <v>6972.29381986396</v>
      </c>
      <c r="K133" s="215"/>
      <c r="L133" s="62"/>
      <c r="M133" s="184" t="n">
        <f aca="false">N90*N57</f>
        <v>5372.40843392392</v>
      </c>
      <c r="N133" s="102" t="n">
        <f aca="false">IF(M105="YES",N89*N57,0)</f>
        <v>440.470588235294</v>
      </c>
      <c r="O133" s="220"/>
      <c r="P133" s="183" t="n">
        <f aca="false">N91*N57</f>
        <v>5812.87902215921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1740.86841209259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1703.42841209259</v>
      </c>
      <c r="B137" s="37" t="n">
        <f aca="false">IF(A105="YES",B89,0)</f>
        <v>37.44</v>
      </c>
      <c r="C137" s="316"/>
      <c r="D137" s="37" t="n">
        <f aca="false">B91</f>
        <v>1740.86841209259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6.24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6.24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102" t="n">
        <f aca="false">B102</f>
        <v>0</v>
      </c>
      <c r="C148" s="37"/>
      <c r="D148" s="37" t="n">
        <f aca="false">IF(A105="YES",(B40*B105)*B125,0)*0.1</f>
        <v>6.24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317.231626666667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1162.04896997733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12</v>
      </c>
      <c r="N155" s="73" t="n">
        <f aca="false">N91</f>
        <v>968.813170359868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1740.86841209259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1703.42841209259</v>
      </c>
      <c r="B177" s="354" t="n">
        <f aca="false">IF(A105="YES",B89,0)</f>
        <v>37.44</v>
      </c>
      <c r="C177" s="356"/>
      <c r="D177" s="354" t="n">
        <f aca="false">B91</f>
        <v>1740.86841209259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1703.42841209259</v>
      </c>
      <c r="C180" s="352"/>
      <c r="D180" s="102" t="n">
        <f aca="false">IF(A105="YES",B89*B57,0)</f>
        <v>37.44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1740.86841209259</v>
      </c>
      <c r="B183" s="102" t="n">
        <f aca="false">E114</f>
        <v>0</v>
      </c>
      <c r="C183" s="352"/>
      <c r="D183" s="360" t="n">
        <f aca="false">B58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1703.42841209259</v>
      </c>
      <c r="B186" s="102" t="n">
        <f aca="false">IF(A105="YES",B89,0)</f>
        <v>37.44</v>
      </c>
      <c r="C186" s="352"/>
      <c r="D186" s="102" t="n">
        <f aca="false">B91</f>
        <v>1740.86841209259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210.99996</v>
      </c>
      <c r="B197" s="102" t="n">
        <f aca="false">B102</f>
        <v>0</v>
      </c>
      <c r="C197" s="102"/>
      <c r="D197" s="102" t="n">
        <f aca="false">IF(A105="YES",(B40*B105)*B125,0)*0.1</f>
        <v>6.24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317.231626666667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162.391666666667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1428.39142666667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1476.99972</v>
      </c>
      <c r="C217" s="373" t="s">
        <v>222</v>
      </c>
      <c r="D217" s="316"/>
      <c r="E217" s="374" t="n">
        <f aca="false">B66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1428.39142666667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62.4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143.288590642678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35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35000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80000</v>
      </c>
      <c r="I31" s="62"/>
      <c r="J31" s="62"/>
      <c r="K31" s="62" t="n">
        <v>80000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64.0746437041516</v>
      </c>
      <c r="E33" s="215"/>
      <c r="F33" s="62"/>
      <c r="G33" s="218" t="s">
        <v>356</v>
      </c>
      <c r="H33" s="456" t="n">
        <f aca="false">E21-E11</f>
        <v>16583.33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14.0746437041516</v>
      </c>
      <c r="B36" s="102" t="n">
        <f aca="false">IF(B26="YES",H42,"")</f>
        <v>50</v>
      </c>
      <c r="C36" s="220"/>
      <c r="D36" s="183" t="n">
        <f aca="false">H31</f>
        <v>80000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16583.33</v>
      </c>
      <c r="I39" s="237" t="n">
        <f aca="false">(I48*H46)+H44</f>
        <v>59849.2290617109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24000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20000</v>
      </c>
      <c r="I40" s="237" t="n">
        <f aca="false">H39-I39</f>
        <v>-43265.8990617109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16127.5020520061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455.82794799391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14.0746437041516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64.0746437041516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64.0746437041516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19899.996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397.99992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847.916666666667</v>
      </c>
      <c r="C76" s="214"/>
      <c r="D76" s="290" t="n">
        <f aca="false">B76</f>
        <v>847.916666666667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45.2199074074074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12294.5833333333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341.516203703704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14.0746437041516</v>
      </c>
      <c r="C83" s="469"/>
      <c r="D83" s="214"/>
      <c r="E83" s="462" t="n">
        <f aca="false">B83+E80+E77+E64</f>
        <v>349.418007901682</v>
      </c>
      <c r="F83" s="62"/>
      <c r="G83" s="304" t="s">
        <v>105</v>
      </c>
      <c r="H83" s="305" t="n">
        <f aca="false">H47</f>
        <v>14.0746437041516</v>
      </c>
      <c r="I83" s="214"/>
      <c r="J83" s="214"/>
      <c r="K83" s="215"/>
      <c r="L83" s="62"/>
      <c r="M83" s="304" t="s">
        <v>105</v>
      </c>
      <c r="N83" s="305" t="n">
        <f aca="false">H47</f>
        <v>14.0746437041516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12801.2705066828</v>
      </c>
      <c r="C85" s="469"/>
      <c r="D85" s="469"/>
      <c r="E85" s="462" t="n">
        <f aca="false">B85/(B58+B57)</f>
        <v>355.590847407855</v>
      </c>
      <c r="F85" s="62"/>
      <c r="G85" s="287" t="s">
        <v>115</v>
      </c>
      <c r="H85" s="130" t="n">
        <f aca="false">((H83*H29)+H81)*1.2</f>
        <v>1886.92460801935</v>
      </c>
      <c r="I85" s="214"/>
      <c r="J85" s="214"/>
      <c r="K85" s="215"/>
      <c r="L85" s="62"/>
      <c r="M85" s="287" t="s">
        <v>115</v>
      </c>
      <c r="N85" s="130" t="n">
        <f aca="false">((N83*H29)+N81)</f>
        <v>1228.68717334946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108.441581541081</v>
      </c>
      <c r="C86" s="469" t="s">
        <v>231</v>
      </c>
      <c r="D86" s="214"/>
      <c r="E86" s="462" t="n">
        <f aca="false">B86/(B58+B57)</f>
        <v>3.0122661539189</v>
      </c>
      <c r="F86" s="62"/>
      <c r="G86" s="213" t="s">
        <v>116</v>
      </c>
      <c r="H86" s="299" t="n">
        <f aca="false">((((H83*H29)+H81))/(1-H70))*H70</f>
        <v>13.320363307922</v>
      </c>
      <c r="I86" s="214"/>
      <c r="J86" s="214"/>
      <c r="K86" s="215"/>
      <c r="L86" s="62"/>
      <c r="M86" s="213" t="s">
        <v>116</v>
      </c>
      <c r="N86" s="299" t="n">
        <f aca="false">(N85/(1-N70))*N70</f>
        <v>10.4084028399914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12909.7120882239</v>
      </c>
      <c r="C87" s="469"/>
      <c r="D87" s="471"/>
      <c r="E87" s="462" t="n">
        <f aca="false">E86+E85</f>
        <v>358.603113561774</v>
      </c>
      <c r="F87" s="62"/>
      <c r="G87" s="284" t="s">
        <v>117</v>
      </c>
      <c r="H87" s="132" t="n">
        <f aca="false">IF(H110="YES",((H85+H86)-K114),(H85+H86))</f>
        <v>1900.24497132727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1239.09557618945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358.603113561774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46.3474383250554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30.2218433216939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423.603113561774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257.079145642129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205.831599419255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46.3474383250554</v>
      </c>
      <c r="H127" s="176" t="n">
        <f aca="false">IF(G105="YES",H89*H57,0)</f>
        <v>1264.39024390244</v>
      </c>
      <c r="I127" s="176"/>
      <c r="J127" s="333" t="n">
        <f aca="false">H91</f>
        <v>257.079145642129</v>
      </c>
      <c r="K127" s="215"/>
      <c r="L127" s="62"/>
      <c r="M127" s="332" t="n">
        <f aca="false">N90</f>
        <v>30.2218433216939</v>
      </c>
      <c r="N127" s="176" t="n">
        <f aca="false">IF(M105="YES",N89*N57,0)</f>
        <v>1053.65853658537</v>
      </c>
      <c r="O127" s="176"/>
      <c r="P127" s="176" t="n">
        <f aca="false">N91</f>
        <v>205.831599419255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358.603113561774</v>
      </c>
      <c r="B128" s="320" t="n">
        <f aca="false">IF(A105="YES",B89,0)</f>
        <v>65</v>
      </c>
      <c r="C128" s="324"/>
      <c r="D128" s="320" t="n">
        <f aca="false">B91</f>
        <v>423.603113561774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358.603113561774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278.084629950333</v>
      </c>
      <c r="H133" s="102" t="n">
        <f aca="false">IF(G105="YES",H89*H57,0)</f>
        <v>1264.39024390244</v>
      </c>
      <c r="I133" s="220"/>
      <c r="J133" s="183" t="n">
        <f aca="false">H91*H57</f>
        <v>1542.47487385277</v>
      </c>
      <c r="K133" s="215"/>
      <c r="L133" s="62"/>
      <c r="M133" s="184" t="n">
        <f aca="false">N90*N57</f>
        <v>181.331059930164</v>
      </c>
      <c r="N133" s="102" t="n">
        <f aca="false">IF(M105="YES",N89*N57,0)</f>
        <v>1053.65853658537</v>
      </c>
      <c r="O133" s="220"/>
      <c r="P133" s="183" t="n">
        <f aca="false">N91*N57</f>
        <v>1234.98959651553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423.603113561774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358.603113561774</v>
      </c>
      <c r="B137" s="37" t="n">
        <f aca="false">IF(A105="YES",B89,0)</f>
        <v>65</v>
      </c>
      <c r="C137" s="316"/>
      <c r="D137" s="37" t="n">
        <f aca="false">B91</f>
        <v>423.603113561774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397.99992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951.98992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257.079145642129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205.831599419255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423.603113561774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358.603113561774</v>
      </c>
      <c r="B177" s="354" t="n">
        <f aca="false">IF(A105="YES",B89,0)</f>
        <v>65</v>
      </c>
      <c r="C177" s="356"/>
      <c r="D177" s="354" t="n">
        <f aca="false">B91</f>
        <v>423.603113561774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358.603113561774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423.603113561774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358.603113561774</v>
      </c>
      <c r="B186" s="102" t="n">
        <f aca="false">IF(A105="YES",B89,0)</f>
        <v>65</v>
      </c>
      <c r="C186" s="352"/>
      <c r="D186" s="102" t="n">
        <f aca="false">B91</f>
        <v>423.603113561774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397.99992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951.98992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397.99992</v>
      </c>
      <c r="C211" s="319" t="s">
        <v>218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10481.99008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397.99992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10481.99008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108.441581541081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333.333333333333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336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336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336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336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336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1565.20030261575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85.0909090909091</v>
      </c>
      <c r="C176" s="173"/>
      <c r="D176" s="173"/>
      <c r="E176" s="176" t="n">
        <f aca="false">B105</f>
        <v>1565.20030261575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239.99</v>
      </c>
      <c r="C191" s="102"/>
      <c r="D191" s="22"/>
      <c r="E191" s="102" t="n">
        <f aca="false">E188+A191+B191+A194</f>
        <v>22531.1933287732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8.97696</v>
      </c>
      <c r="B197" s="102" t="n">
        <f aca="false">(G167*B76)/1.2</f>
        <v>98.95835</v>
      </c>
      <c r="C197" s="92"/>
      <c r="D197" s="92"/>
      <c r="E197" s="102" t="n">
        <f aca="false">K55*A117*0.1</f>
        <v>18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216.950016666667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1565.20030261575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E188+A210+B191+A194</f>
        <v>21717.75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85.0909090909091</v>
      </c>
      <c r="C221" s="173"/>
      <c r="D221" s="173"/>
      <c r="E221" s="176" t="n">
        <f aca="false">E176</f>
        <v>1565.20030261575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239.99</v>
      </c>
      <c r="C233" s="102"/>
      <c r="D233" s="112"/>
      <c r="E233" s="102" t="n">
        <f aca="false">E191</f>
        <v>22531.1933287732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85.0909090909091</v>
      </c>
      <c r="C239" s="185"/>
      <c r="D239" s="185"/>
      <c r="E239" s="102" t="n">
        <f aca="false">E176</f>
        <v>1565.20030261575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26.93088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8.97696</v>
      </c>
      <c r="B245" s="102" t="n">
        <f aca="false">E242+A245</f>
        <v>35.90784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18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2008.62001666666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279.991666666667</v>
      </c>
      <c r="C264" s="196"/>
      <c r="D264" s="197" t="s">
        <v>219</v>
      </c>
      <c r="E264" s="197"/>
      <c r="F264" s="199" t="n">
        <f aca="false">(B263-F263)+B264</f>
        <v>984.684975439895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180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984.684975439895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283.333333333333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286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286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286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286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286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1480.10939352484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0</v>
      </c>
      <c r="C176" s="173"/>
      <c r="D176" s="173"/>
      <c r="E176" s="176" t="n">
        <f aca="false">B105</f>
        <v>1480.10939352484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199.99</v>
      </c>
      <c r="C191" s="102"/>
      <c r="D191" s="22"/>
      <c r="E191" s="102" t="n">
        <f aca="false">E188+A191+(B191*1.2)+A194</f>
        <v>22531.1913287732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7.4808</v>
      </c>
      <c r="B197" s="102" t="n">
        <f aca="false">(G167*B76)/1.2</f>
        <v>98.95835</v>
      </c>
      <c r="C197" s="92"/>
      <c r="D197" s="92"/>
      <c r="E197" s="102" t="n">
        <f aca="false">K55*A117*0.1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198.94835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1480.10939352484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E188+A210+(B191*1.2)+A194</f>
        <v>21717.748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0</v>
      </c>
      <c r="C221" s="173"/>
      <c r="D221" s="173"/>
      <c r="E221" s="176" t="n">
        <f aca="false">E176</f>
        <v>1480.10939352484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199.99</v>
      </c>
      <c r="C233" s="102"/>
      <c r="D233" s="112"/>
      <c r="E233" s="102" t="n">
        <f aca="false">E191</f>
        <v>22531.1913287732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0</v>
      </c>
      <c r="C239" s="185"/>
      <c r="D239" s="185"/>
      <c r="E239" s="102" t="n">
        <f aca="false">E176</f>
        <v>1480.10939352484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22.4424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7.4808</v>
      </c>
      <c r="B245" s="102" t="n">
        <f aca="false">E242+A245</f>
        <v>29.9232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1990.61835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804.683308773228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804.683308773228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18410.7869299442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222.6562875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16220.1467407538</v>
      </c>
      <c r="C88" s="92" t="n">
        <f aca="false">B81-B86</f>
        <v>16220.1467407538</v>
      </c>
      <c r="D88" s="92"/>
      <c r="E88" s="112"/>
      <c r="F88" s="30" t="s">
        <v>113</v>
      </c>
      <c r="G88" s="32" t="n">
        <f aca="false">G81-G86</f>
        <v>15579.689207262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590.973455197119</v>
      </c>
      <c r="C89" s="92" t="n">
        <f aca="false">(B88/B87)</f>
        <v>590.973455197119</v>
      </c>
      <c r="D89" s="92"/>
      <c r="E89" s="112"/>
      <c r="F89" s="30" t="s">
        <v>114</v>
      </c>
      <c r="G89" s="32" t="n">
        <f aca="false">(G88/G87)</f>
        <v>531.592757536213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18911.1505663078</v>
      </c>
      <c r="C90" s="92"/>
      <c r="D90" s="92"/>
      <c r="E90" s="112"/>
      <c r="F90" s="30" t="s">
        <v>115</v>
      </c>
      <c r="G90" s="32" t="n">
        <f aca="false">((G89*(G85))+G77)</f>
        <v>17010.9682411588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18911.1505663078</v>
      </c>
      <c r="C92" s="92"/>
      <c r="D92" s="92"/>
      <c r="E92" s="112"/>
      <c r="F92" s="55" t="s">
        <v>117</v>
      </c>
      <c r="G92" s="64" t="n">
        <f aca="false">(G90+G91)</f>
        <v>17010.9682411588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590.973455197119</v>
      </c>
      <c r="C95" s="92"/>
      <c r="D95" s="92"/>
      <c r="E95" s="112"/>
      <c r="F95" s="94" t="s">
        <v>119</v>
      </c>
      <c r="G95" s="95" t="n">
        <f aca="false">G92/(G85)</f>
        <v>531.592757536213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590.973455197119</v>
      </c>
      <c r="C96" s="92"/>
      <c r="D96" s="92"/>
      <c r="E96" s="112"/>
      <c r="F96" s="96" t="s">
        <v>120</v>
      </c>
      <c r="G96" s="97" t="n">
        <f aca="false">G94+G95</f>
        <v>531.592757536213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590.973455197119</v>
      </c>
      <c r="B167" s="176" t="str">
        <f aca="false">B94</f>
        <v>0</v>
      </c>
      <c r="C167" s="173"/>
      <c r="D167" s="173"/>
      <c r="E167" s="176" t="n">
        <f aca="false">B96</f>
        <v>590.973455197119</v>
      </c>
      <c r="F167" s="22"/>
      <c r="G167" s="22" t="n">
        <f aca="false">ROUND(G95,2)</f>
        <v>531.59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1161.14656630781</v>
      </c>
      <c r="B182" s="102" t="str">
        <f aca="false">B114</f>
        <v>239.99</v>
      </c>
      <c r="C182" s="102"/>
      <c r="D182" s="22"/>
      <c r="E182" s="102" t="n">
        <f aca="false">E179+A182+B182+A185</f>
        <v>25161.1405663078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185.54690625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285.538572916667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590.973455197119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-739.123999999996</v>
      </c>
      <c r="B201" s="185" t="n">
        <f aca="false">E179+A201+B182+A185</f>
        <v>23260.87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590.973455197119</v>
      </c>
      <c r="B212" s="176" t="str">
        <f aca="false">B167</f>
        <v>0</v>
      </c>
      <c r="C212" s="173"/>
      <c r="D212" s="173"/>
      <c r="E212" s="176" t="n">
        <f aca="false">E167</f>
        <v>590.973455197119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1161.14656630781</v>
      </c>
      <c r="B224" s="102" t="str">
        <f aca="false">B182</f>
        <v>239.99</v>
      </c>
      <c r="C224" s="102"/>
      <c r="D224" s="112"/>
      <c r="E224" s="102" t="n">
        <f aca="false">E182</f>
        <v>25161.1405663078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590.973455197119</v>
      </c>
      <c r="B230" s="102" t="str">
        <f aca="false">B167</f>
        <v>0</v>
      </c>
      <c r="C230" s="185"/>
      <c r="D230" s="185"/>
      <c r="E230" s="102" t="n">
        <f aca="false">E167</f>
        <v>590.973455197119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26.93088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8.97696</v>
      </c>
      <c r="B236" s="102" t="n">
        <f aca="false">E233+A236</f>
        <v>35.90784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185.54690625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2077.20857291666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1910.27056630781</v>
      </c>
      <c r="C254" s="196"/>
      <c r="D254" s="197" t="s">
        <v>217</v>
      </c>
      <c r="E254" s="197"/>
      <c r="F254" s="199" t="n">
        <f aca="false">F261+F267+F269+B270+B271</f>
        <v>222.6562875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1787.60594547448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1910.27056630781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222.6562875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1787.60594547448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1480.10939352484</v>
      </c>
      <c r="B167" s="176" t="n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n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n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22.4424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7.4808</v>
      </c>
      <c r="B236" s="102" t="n">
        <f aca="false">E233+A236</f>
        <v>29.9232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239.99</v>
      </c>
      <c r="C182" s="102"/>
      <c r="D182" s="22"/>
      <c r="E182" s="102" t="n">
        <f aca="false">E179+A182+B182+A185</f>
        <v>22531.1933287732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198.950016666667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E179+A201+B182+A185</f>
        <v>21717.75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239.99</v>
      </c>
      <c r="C224" s="102"/>
      <c r="D224" s="112"/>
      <c r="E224" s="102" t="n">
        <f aca="false">E182</f>
        <v>22531.1933287732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8.97696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1990.62001666666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804.684975439895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804.684975439895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7.3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7.4808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286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0.005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0.005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108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160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4.5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54</v>
      </c>
      <c r="C79" s="316"/>
      <c r="D79" s="31" t="n">
        <f aca="false">B79+B77</f>
        <v>214</v>
      </c>
      <c r="E79" s="401" t="n">
        <f aca="false">D79+D85+D86</f>
        <v>614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180</v>
      </c>
      <c r="C80" s="316"/>
      <c r="D80" s="316"/>
      <c r="E80" s="401" t="n">
        <f aca="false">E79+D82</f>
        <v>809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67.4166666666667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195</v>
      </c>
      <c r="C82" s="316"/>
      <c r="D82" s="31" t="n">
        <f aca="false">IF(A50="YES",0,B82)</f>
        <v>195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300</v>
      </c>
      <c r="C85" s="316"/>
      <c r="D85" s="31" t="n">
        <f aca="false">B85</f>
        <v>300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100</v>
      </c>
      <c r="C86" s="316"/>
      <c r="D86" s="31" t="n">
        <f aca="false">B86</f>
        <v>100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4093.94666666667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341.162222222222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9031.136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63.7534812424365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9094.88948124244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757.907456770203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757.907456770203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757.907456770203</v>
      </c>
      <c r="B134" s="320" t="n">
        <f aca="false">IF(A111="YES",B95,0)</f>
        <v>0</v>
      </c>
      <c r="C134" s="324"/>
      <c r="D134" s="320" t="n">
        <f aca="false">B97</f>
        <v>757.907456770203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757.907456770203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757.907456770203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757.907456770203</v>
      </c>
      <c r="B143" s="37" t="n">
        <f aca="false">IF(A111="YES",B95,0)</f>
        <v>0</v>
      </c>
      <c r="C143" s="316"/>
      <c r="D143" s="37" t="n">
        <f aca="false">B97</f>
        <v>757.907456770203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108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607.991666666667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757.907456770203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757.907456770203</v>
      </c>
      <c r="B177" s="354" t="n">
        <f aca="false">IF(A111="YES",B95,0)</f>
        <v>0</v>
      </c>
      <c r="C177" s="356"/>
      <c r="D177" s="354" t="n">
        <f aca="false">A177+B177</f>
        <v>757.907456770203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757.907456770203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757.907456770203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757.907456770203</v>
      </c>
      <c r="B186" s="102" t="n">
        <f aca="false">IF(A111="YES",B95,0)</f>
        <v>0</v>
      </c>
      <c r="C186" s="352"/>
      <c r="D186" s="102" t="n">
        <f aca="false">B97</f>
        <v>757.907456770203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108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607.991666666667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108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2850.27166666667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0.005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108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2850.27166666667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160</v>
      </c>
      <c r="C229" s="335" t="s">
        <v>227</v>
      </c>
      <c r="D229" s="342"/>
      <c r="E229" s="148" t="n">
        <f aca="false">B78</f>
        <v>4.5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214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63.7534812424365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300</v>
      </c>
      <c r="C233" s="379" t="s">
        <v>331</v>
      </c>
      <c r="D233" s="380"/>
      <c r="E233" s="148" t="n">
        <f aca="false">B80</f>
        <v>180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100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</v>
      </c>
      <c r="C80" s="316"/>
      <c r="D80" s="316"/>
      <c r="E80" s="401" t="n">
        <f aca="false">E79+D82</f>
        <v>838.75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69.8958333333333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178.75</v>
      </c>
      <c r="C82" s="316"/>
      <c r="D82" s="31" t="n">
        <f aca="false">IF(A50="YES",0,B82)</f>
        <v>178.75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4123.69666666667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343.641388888889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7555.69666666667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64.0054981847519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7619.70216485142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634.975180404285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634.975180404285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s">
        <v>353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634.975180404285</v>
      </c>
      <c r="B134" s="320" t="n">
        <f aca="false">IF(A111="YES",B95,0)</f>
        <v>0</v>
      </c>
      <c r="C134" s="325"/>
      <c r="D134" s="320" t="n">
        <f aca="false">B97</f>
        <v>634.975180404285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5714.77662363857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5714.77662363857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634.975180404285</v>
      </c>
      <c r="B143" s="37" t="n">
        <f aca="false">IF(A111="YES",B95,0)</f>
        <v>0</v>
      </c>
      <c r="C143" s="316"/>
      <c r="D143" s="37" t="n">
        <f aca="false">B97</f>
        <v>634.975180404285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634.975180404285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634.975180404285</v>
      </c>
      <c r="B177" s="354" t="n">
        <f aca="false">IF(A111="YES",B95,0)</f>
        <v>0</v>
      </c>
      <c r="C177" s="357"/>
      <c r="D177" s="354" t="n">
        <f aca="false">B91</f>
        <v>7555.69666666667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5714.77662363857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5714.77662363857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634.975180404285</v>
      </c>
      <c r="B186" s="102" t="n">
        <f aca="false">IF(A111="YES",B95,0)</f>
        <v>0</v>
      </c>
      <c r="C186" s="352"/>
      <c r="D186" s="102" t="n">
        <f aca="false">B97</f>
        <v>634.975180404285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2742.27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2742.27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64.0054981847519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B97</f>
        <v>909.315801062256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9029.41666666667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9105.90627941374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758.825523284479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758.825523284479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758.825523284479</v>
      </c>
      <c r="B134" s="320" t="n">
        <f aca="false">IF(A111="YES",B95,0)</f>
        <v>0</v>
      </c>
      <c r="C134" s="325"/>
      <c r="D134" s="320" t="n">
        <f aca="false">B97</f>
        <v>758.825523284479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758.825523284479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758.825523284479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758.825523284479</v>
      </c>
      <c r="B143" s="37" t="n">
        <f aca="false">IF(A111="YES",B95,0)</f>
        <v>0</v>
      </c>
      <c r="C143" s="316"/>
      <c r="D143" s="37" t="n">
        <f aca="false">B97</f>
        <v>758.825523284479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1387.838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1347.84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758.825523284479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758.825523284479</v>
      </c>
      <c r="B177" s="354" t="n">
        <f aca="false">IF(A111="YES",B95,0)</f>
        <v>0</v>
      </c>
      <c r="C177" s="357"/>
      <c r="D177" s="354" t="n">
        <f aca="false">B91</f>
        <v>9029.41666666667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758.825523284479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758.825523284479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758.825523284479</v>
      </c>
      <c r="B186" s="102" t="n">
        <f aca="false">IF(A111="YES",B95,0)</f>
        <v>0</v>
      </c>
      <c r="C186" s="352"/>
      <c r="D186" s="102" t="n">
        <f aca="false">B97</f>
        <v>758.825523284479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B91</f>
        <v>10835.3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60000</v>
      </c>
      <c r="C9" s="9" t="n">
        <f aca="false">B9*0.2</f>
        <v>12000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60000</v>
      </c>
      <c r="C15" s="9" t="n">
        <f aca="false">SUM(C9:C13)</f>
        <v>12000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72000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60000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72000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5040</v>
      </c>
      <c r="C70" s="214" t="n">
        <v>10000</v>
      </c>
      <c r="D70" s="290" t="n">
        <f aca="false">B70-A149</f>
        <v>5040</v>
      </c>
      <c r="E70" s="215" t="n">
        <f aca="false">D70/12</f>
        <v>420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720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6545.41666666667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545.451388888889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12557.4166666667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106.375857200484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12663.7925238672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1055.3160436556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1055.3160436556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IF(A111="YES",B95,0)</f>
        <v>0</v>
      </c>
      <c r="C134" s="325"/>
      <c r="D134" s="320" t="n">
        <f aca="false">B97</f>
        <v>1055.3160436556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1055.3160436556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1055.3160436556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1055.3160436556</v>
      </c>
      <c r="B143" s="37" t="n">
        <f aca="false">IF(A111="YES",B95,0)</f>
        <v>0</v>
      </c>
      <c r="C143" s="316"/>
      <c r="D143" s="37" t="n">
        <f aca="false">B97</f>
        <v>1055.3160436556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720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1219.99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1055.3160436556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IF(A111="YES",B95,0)</f>
        <v>0</v>
      </c>
      <c r="C177" s="357"/>
      <c r="D177" s="354" t="n">
        <f aca="false">B91</f>
        <v>12557.4166666667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1055.3160436556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1055.3160436556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1055.3160436556</v>
      </c>
      <c r="B186" s="102" t="n">
        <f aca="false">IF(A111="YES",B95,0)</f>
        <v>0</v>
      </c>
      <c r="C186" s="352"/>
      <c r="D186" s="102" t="n">
        <f aca="false">B97</f>
        <v>1055.3160436556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720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1219.99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5040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720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4659.99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5040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720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4659.99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106.375857200484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5900.53588952154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190.4167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22850.004</v>
      </c>
      <c r="C81" s="92"/>
      <c r="D81" s="92"/>
      <c r="E81" s="112"/>
      <c r="F81" s="24" t="s">
        <v>106</v>
      </c>
      <c r="G81" s="26" t="n">
        <f aca="false">G158</f>
        <v>22850.004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12261.291013147</v>
      </c>
      <c r="C88" s="92"/>
      <c r="D88" s="92"/>
      <c r="E88" s="112"/>
      <c r="F88" s="30" t="s">
        <v>113</v>
      </c>
      <c r="G88" s="32" t="n">
        <f aca="false">G81-G86</f>
        <v>10562.1577959131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416.929038280818</v>
      </c>
      <c r="C89" s="92"/>
      <c r="D89" s="92"/>
      <c r="E89" s="112"/>
      <c r="F89" s="30" t="s">
        <v>114</v>
      </c>
      <c r="G89" s="32" t="n">
        <f aca="false">(G88/G87)</f>
        <v>334.506060039412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14592.5163398286</v>
      </c>
      <c r="C90" s="92"/>
      <c r="D90" s="92"/>
      <c r="E90" s="112"/>
      <c r="F90" s="30" t="s">
        <v>115</v>
      </c>
      <c r="G90" s="32" t="n">
        <f aca="false">((G89*(G85))+G77)</f>
        <v>11707.7121013794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14592.5163398286</v>
      </c>
      <c r="C92" s="92"/>
      <c r="D92" s="92"/>
      <c r="E92" s="112"/>
      <c r="F92" s="55" t="s">
        <v>117</v>
      </c>
      <c r="G92" s="64" t="n">
        <f aca="false">(G90+G91)</f>
        <v>11707.7121013794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416.929038280818</v>
      </c>
      <c r="C95" s="92"/>
      <c r="D95" s="92"/>
      <c r="E95" s="112"/>
      <c r="F95" s="94" t="s">
        <v>119</v>
      </c>
      <c r="G95" s="95" t="n">
        <f aca="false">G92/(G85)</f>
        <v>334.506060039412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416.929038280818</v>
      </c>
      <c r="C96" s="92"/>
      <c r="D96" s="92"/>
      <c r="E96" s="112"/>
      <c r="F96" s="96" t="s">
        <v>120</v>
      </c>
      <c r="G96" s="97" t="n">
        <f aca="false">G94+G95</f>
        <v>334.506060039412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-17548.6116666667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22850.004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416.929038280818</v>
      </c>
      <c r="B167" s="176" t="str">
        <f aca="false">B94</f>
        <v>0</v>
      </c>
      <c r="C167" s="173"/>
      <c r="D167" s="173"/>
      <c r="E167" s="176" t="n">
        <f aca="false">B96</f>
        <v>416.929038280818</v>
      </c>
      <c r="F167" s="22"/>
      <c r="G167" s="22" t="n">
        <f aca="false">ROUND(G95,2)</f>
        <v>334.51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22850.004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6892.51233982864</v>
      </c>
      <c r="B182" s="102" t="str">
        <f aca="false">B114</f>
        <v>239.99</v>
      </c>
      <c r="C182" s="102"/>
      <c r="D182" s="22"/>
      <c r="E182" s="102" t="n">
        <f aca="false">E179+A182+B182+A185</f>
        <v>29992.5063398286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190.4167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290.408366666667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416.929038280818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4007.846</v>
      </c>
      <c r="B201" s="185" t="n">
        <f aca="false">E179+A201+B182+A185</f>
        <v>27107.84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416.929038280818</v>
      </c>
      <c r="B212" s="176" t="str">
        <f aca="false">B167</f>
        <v>0</v>
      </c>
      <c r="C212" s="173"/>
      <c r="D212" s="173"/>
      <c r="E212" s="176" t="n">
        <f aca="false">E167</f>
        <v>416.929038280818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22850.004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6892.51233982864</v>
      </c>
      <c r="B224" s="102" t="str">
        <f aca="false">B182</f>
        <v>239.99</v>
      </c>
      <c r="C224" s="102"/>
      <c r="D224" s="112"/>
      <c r="E224" s="102" t="n">
        <f aca="false">E182</f>
        <v>29992.5063398286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416.929038280818</v>
      </c>
      <c r="B230" s="102" t="str">
        <f aca="false">B167</f>
        <v>0</v>
      </c>
      <c r="C230" s="185"/>
      <c r="D230" s="185"/>
      <c r="E230" s="102" t="n">
        <f aca="false">E167</f>
        <v>416.929038280818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J18*0.000006*100*1.2</f>
        <v>26.9316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26.9316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190.4167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2082.07836666666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2894.66633982864</v>
      </c>
      <c r="C254" s="196"/>
      <c r="D254" s="197" t="s">
        <v>217</v>
      </c>
      <c r="E254" s="197"/>
      <c r="F254" s="199" t="n">
        <f aca="false">F261+F267+F269+B270+B271</f>
        <v>228.50004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2766.15796649531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2894.66633982864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228.50004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2766.15796649531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577.658917599342</v>
      </c>
      <c r="F33" s="231"/>
      <c r="G33" s="231"/>
      <c r="H33" s="46"/>
      <c r="I33" s="2"/>
      <c r="J33" s="33" t="s">
        <v>356</v>
      </c>
      <c r="K33" s="47" t="n">
        <f aca="false">E21</f>
        <v>18708.33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577.658917599342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18708.33</v>
      </c>
      <c r="L39" s="2" t="n">
        <f aca="false">(L47*K46)+K44</f>
        <v>25909.1715613066</v>
      </c>
      <c r="N39" s="1" t="n">
        <f aca="false">K39-L39</f>
        <v>-7200.84156130656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-7200.84156130656</v>
      </c>
      <c r="N40" s="1" t="n">
        <f aca="false">N38-N39</f>
        <v>10112.5215613066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18708.33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577.658917599342</v>
      </c>
      <c r="L47" s="2" t="n">
        <f aca="false">L49-K42</f>
        <v>800</v>
      </c>
      <c r="M47" s="1" t="n">
        <f aca="false">K47-L47</f>
        <v>-222.341082400658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577.658917599342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577.658917599342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5684.64618167444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185.416666666667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577.658917599342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577.658917599342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577.658917599342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577.658917599342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22250</v>
      </c>
      <c r="C81" s="92"/>
      <c r="D81" s="92"/>
      <c r="E81" s="112"/>
      <c r="F81" s="24" t="s">
        <v>106</v>
      </c>
      <c r="G81" s="26" t="n">
        <f aca="false">G158</f>
        <v>22250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B59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22250</v>
      </c>
      <c r="C88" s="92"/>
      <c r="D88" s="92"/>
      <c r="E88" s="112"/>
      <c r="F88" s="30" t="s">
        <v>113</v>
      </c>
      <c r="G88" s="32" t="n">
        <f aca="false">G81-G86</f>
        <v>22250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756.581920435736</v>
      </c>
      <c r="C89" s="92"/>
      <c r="D89" s="92"/>
      <c r="E89" s="112"/>
      <c r="F89" s="30" t="s">
        <v>114</v>
      </c>
      <c r="G89" s="32" t="n">
        <f aca="false">(G88/G87)</f>
        <v>704.662814141709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26480.3672152507</v>
      </c>
      <c r="C90" s="92"/>
      <c r="D90" s="92"/>
      <c r="E90" s="112"/>
      <c r="F90" s="30" t="s">
        <v>115</v>
      </c>
      <c r="G90" s="32" t="n">
        <f aca="false">((G89*(G85))+G77)</f>
        <v>24663.1984949598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26480.3672152507</v>
      </c>
      <c r="C92" s="92"/>
      <c r="D92" s="92"/>
      <c r="E92" s="112"/>
      <c r="F92" s="55" t="s">
        <v>117</v>
      </c>
      <c r="G92" s="64" t="n">
        <f aca="false">(G90+G91)</f>
        <v>24663.1984949598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756.581920435736</v>
      </c>
      <c r="C95" s="92"/>
      <c r="D95" s="92"/>
      <c r="E95" s="112"/>
      <c r="F95" s="94" t="s">
        <v>119</v>
      </c>
      <c r="G95" s="95" t="n">
        <f aca="false">G92/(G85)</f>
        <v>704.662814141709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756.581920435736</v>
      </c>
      <c r="C96" s="92"/>
      <c r="D96" s="92"/>
      <c r="E96" s="112"/>
      <c r="F96" s="96" t="s">
        <v>120</v>
      </c>
      <c r="G96" s="97" t="n">
        <f aca="false">G94+G95</f>
        <v>704.662814141709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18708.33</v>
      </c>
      <c r="C121" s="120" t="n">
        <v>20625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22449.996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22449.996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22449.996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18708.33</v>
      </c>
      <c r="C125" s="132" t="n">
        <f aca="false">C121-C124</f>
        <v>20625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18708.33</v>
      </c>
      <c r="H135" s="152" t="n">
        <f aca="false">C125+E125+G125+H128</f>
        <v>20625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3741.666</v>
      </c>
      <c r="H137" s="32" t="n">
        <f aca="false">(H135+H136)*20%</f>
        <v>4125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22449.996</v>
      </c>
      <c r="H141" s="156" t="n">
        <f aca="false">(H135+H136+H139+H140+H137)-H138</f>
        <v>24750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22449.996</v>
      </c>
      <c r="H147" s="163" t="n">
        <f aca="false">H141-((H144*1.2)+(H145*1.2)+(H146*1.2)+(H142*1.2))</f>
        <v>24750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1916.67</v>
      </c>
      <c r="I148" s="1" t="n">
        <f aca="false">(H148-G81)/1.2</f>
        <v>-16944.4416666667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22250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756.581920435736</v>
      </c>
      <c r="B167" s="176" t="str">
        <f aca="false">B94</f>
        <v>0</v>
      </c>
      <c r="C167" s="173"/>
      <c r="D167" s="173"/>
      <c r="E167" s="176" t="n">
        <f aca="false">B96</f>
        <v>756.581920435736</v>
      </c>
      <c r="F167" s="22"/>
      <c r="G167" s="22" t="n">
        <f aca="false">ROUND(G95,2)</f>
        <v>704.66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20625</v>
      </c>
      <c r="B173" s="102" t="n">
        <f aca="false">H137</f>
        <v>4125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24750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22250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4986.94913568649</v>
      </c>
      <c r="B182" s="102" t="str">
        <f aca="false">B114</f>
        <v>199.99</v>
      </c>
      <c r="C182" s="102"/>
      <c r="D182" s="22"/>
      <c r="E182" s="102" t="n">
        <f aca="false">E179+A182+(B182*1.2)+A185</f>
        <v>27486.9371356865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766.581920435736</v>
      </c>
      <c r="F185" s="22"/>
      <c r="G185" s="10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185.416666666667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285.406666666667</v>
      </c>
      <c r="C191" s="92"/>
      <c r="D191" s="92"/>
      <c r="E191" s="102" t="n">
        <f aca="false">H148</f>
        <v>1916.67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756.581920435736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3117.76</v>
      </c>
      <c r="B201" s="185" t="n">
        <f aca="false">E179+A201+(B182*1.2)+A185</f>
        <v>25617.748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756.581920435736</v>
      </c>
      <c r="B212" s="176" t="str">
        <f aca="false">B167</f>
        <v>0</v>
      </c>
      <c r="C212" s="173"/>
      <c r="D212" s="173"/>
      <c r="E212" s="176" t="n">
        <f aca="false">E167</f>
        <v>756.581920435736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20625</v>
      </c>
      <c r="B215" s="102" t="n">
        <f aca="false">B173</f>
        <v>4125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24750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22250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4986.94913568649</v>
      </c>
      <c r="B224" s="102" t="str">
        <f aca="false">B182</f>
        <v>199.99</v>
      </c>
      <c r="C224" s="102"/>
      <c r="D224" s="112"/>
      <c r="E224" s="102" t="n">
        <f aca="false">E182</f>
        <v>27486.9371356865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756.581920435736</v>
      </c>
      <c r="B230" s="102" t="str">
        <f aca="false">B167</f>
        <v>0</v>
      </c>
      <c r="C230" s="185"/>
      <c r="D230" s="185"/>
      <c r="E230" s="102" t="n">
        <f aca="false">E167</f>
        <v>756.581920435736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766.581920435736</v>
      </c>
      <c r="C233" s="92"/>
      <c r="D233" s="92"/>
      <c r="E233" s="102" t="n">
        <f aca="false">J18*0.000006*100</f>
        <v>22.443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22.443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1916.67</v>
      </c>
      <c r="B240" s="102" t="n">
        <f aca="false">B68</f>
        <v>185.416666666667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2202.07666666666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1879.18913568649</v>
      </c>
      <c r="C254" s="196"/>
      <c r="D254" s="197" t="s">
        <v>217</v>
      </c>
      <c r="E254" s="197"/>
      <c r="F254" s="199" t="n">
        <f aca="false">F261+F267+F269+B270+B271</f>
        <v>222.5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1756.67913568649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1879.18913568649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222.5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1756.67913568649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5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40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239.99</v>
      </c>
      <c r="C182" s="102"/>
      <c r="D182" s="22"/>
      <c r="E182" s="102" t="n">
        <f aca="false">E179+A182+B182+A185</f>
        <v>28088.3001580578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IF(E105="YES",B61*0.000002,0)*100*1.2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277.075033333333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E179+A201+B182+A185</f>
        <v>25334.04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239.99</v>
      </c>
      <c r="C224" s="102"/>
      <c r="D224" s="112"/>
      <c r="E224" s="102" t="n">
        <f aca="false">E182</f>
        <v>28088.3001580578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2068.74503333333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2651.75178472447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2651.75178472447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 t="n">
        <v>0</v>
      </c>
      <c r="D4" s="268" t="n">
        <v>0</v>
      </c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 t="n">
        <v>0</v>
      </c>
      <c r="C5" s="62" t="n">
        <v>0</v>
      </c>
      <c r="D5" s="62" t="n">
        <v>0</v>
      </c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str">
        <f aca="false">B3</f>
        <v> </v>
      </c>
      <c r="L121" s="120" t="n">
        <v>28629.17</v>
      </c>
      <c r="M121" s="119" t="str">
        <f aca="false">D3</f>
        <v> </v>
      </c>
      <c r="N121" s="120" t="str">
        <f aca="false">M121</f>
        <v> 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str">
        <f aca="false">B3</f>
        <v> </v>
      </c>
      <c r="U121" s="120" t="str">
        <f aca="false">T121</f>
        <v> </v>
      </c>
      <c r="V121" s="119" t="str">
        <f aca="false">D3</f>
        <v> </v>
      </c>
      <c r="W121" s="120" t="str">
        <f aca="false">V121</f>
        <v> 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str">
        <f aca="false">B3</f>
        <v> </v>
      </c>
      <c r="AD121" s="120" t="str">
        <f aca="false">AC121</f>
        <v> </v>
      </c>
      <c r="AE121" s="119" t="str">
        <f aca="false">D3</f>
        <v> </v>
      </c>
      <c r="AF121" s="120" t="str">
        <f aca="false">AE121</f>
        <v> 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e">
        <f aca="false">(K121*K122)+K123</f>
        <v>#VALUE!</v>
      </c>
      <c r="L124" s="130" t="n">
        <f aca="false">(L121*L122)+L123</f>
        <v>0</v>
      </c>
      <c r="M124" s="129" t="e">
        <f aca="false">(M121*M122)+M123</f>
        <v>#VALUE!</v>
      </c>
      <c r="N124" s="130" t="e">
        <f aca="false">(N121*N122)+N123</f>
        <v>#VALUE!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e">
        <f aca="false">(T121*T122)+T123</f>
        <v>#VALUE!</v>
      </c>
      <c r="U124" s="130" t="e">
        <f aca="false">(U121*U122)+U123</f>
        <v>#VALUE!</v>
      </c>
      <c r="V124" s="129" t="e">
        <f aca="false">(V121*V122)+V123</f>
        <v>#VALUE!</v>
      </c>
      <c r="W124" s="130" t="e">
        <f aca="false">(W121*W122)+W123</f>
        <v>#VALUE!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e">
        <f aca="false">(AC121*AC122)+AC123</f>
        <v>#VALUE!</v>
      </c>
      <c r="AD124" s="130" t="e">
        <f aca="false">(AD121*AD122)+AD123</f>
        <v>#VALUE!</v>
      </c>
      <c r="AE124" s="129" t="e">
        <f aca="false">(AE121*AE122)+AE123</f>
        <v>#VALUE!</v>
      </c>
      <c r="AF124" s="130" t="e">
        <f aca="false">(AF121*AF122)+AF123</f>
        <v>#VALUE!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e">
        <f aca="false">K121-K124</f>
        <v>#VALUE!</v>
      </c>
      <c r="L125" s="132" t="n">
        <f aca="false">L121-L124</f>
        <v>28629.17</v>
      </c>
      <c r="M125" s="131" t="e">
        <f aca="false">M121-M124</f>
        <v>#VALUE!</v>
      </c>
      <c r="N125" s="132" t="e">
        <f aca="false">N121-N124</f>
        <v>#VALUE!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e">
        <f aca="false">T121-T124</f>
        <v>#VALUE!</v>
      </c>
      <c r="U125" s="132" t="e">
        <f aca="false">U121-U124</f>
        <v>#VALUE!</v>
      </c>
      <c r="V125" s="131" t="e">
        <f aca="false">V121-V124</f>
        <v>#VALUE!</v>
      </c>
      <c r="W125" s="132" t="e">
        <f aca="false">W121-W124</f>
        <v>#VALUE!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e">
        <f aca="false">AC121-AC124</f>
        <v>#VALUE!</v>
      </c>
      <c r="AD125" s="132" t="e">
        <f aca="false">AD121-AD124</f>
        <v>#VALUE!</v>
      </c>
      <c r="AE125" s="131" t="e">
        <f aca="false">AE121-AE124</f>
        <v>#VALUE!</v>
      </c>
      <c r="AF125" s="132" t="e">
        <f aca="false">AF121-AF124</f>
        <v>#VALUE!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199.99</v>
      </c>
      <c r="C182" s="102"/>
      <c r="D182" s="22"/>
      <c r="E182" s="102" t="n">
        <f aca="false">E179+A182+(B182*1.2)+A185</f>
        <v>28088.2981580578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277.073366666667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7.3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E179+A201+(B182*1.2)+A185</f>
        <v>25334.038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199.99</v>
      </c>
      <c r="C224" s="102"/>
      <c r="D224" s="112"/>
      <c r="E224" s="102" t="n">
        <f aca="false">E182</f>
        <v>28088.2981580578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2068.74336666666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2651.7501180578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2651.7501180578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10620.8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10695.7753933038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891.314616108646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891.314616108646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1024.59311617588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10000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891.314616108646</v>
      </c>
      <c r="B128" s="320" t="n">
        <f aca="false">IF(A105="YES",B89,0)</f>
        <v>0</v>
      </c>
      <c r="C128" s="325"/>
      <c r="D128" s="320" t="n">
        <f aca="false">B91</f>
        <v>891.314616108646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0</v>
      </c>
      <c r="I130" s="176"/>
      <c r="J130" s="333" t="n">
        <f aca="false">H91</f>
        <v>1024.59311617588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8021.83154497781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0</v>
      </c>
      <c r="I133" s="220"/>
      <c r="J133" s="183" t="n">
        <f aca="false">H91*H57</f>
        <v>1024.59311617588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8021.83154497781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891.314616108646</v>
      </c>
      <c r="B137" s="37" t="n">
        <f aca="false">IF(A105="YES",B89,0)</f>
        <v>0</v>
      </c>
      <c r="C137" s="316"/>
      <c r="D137" s="37" t="n">
        <f aca="false">B91</f>
        <v>891.314616108646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1407.013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715.99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1024.59311617588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891.314616108646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891.314616108646</v>
      </c>
      <c r="B171" s="354" t="n">
        <f aca="false">IF(A105="YES",B89,0)</f>
        <v>0</v>
      </c>
      <c r="C171" s="357"/>
      <c r="D171" s="354" t="n">
        <f aca="false">B91</f>
        <v>891.314616108646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8021.83154497781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8021.83154497781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891.314616108646</v>
      </c>
      <c r="B180" s="102" t="n">
        <f aca="false">IF(A105="YES",B89,0)</f>
        <v>0</v>
      </c>
      <c r="C180" s="352"/>
      <c r="D180" s="102" t="n">
        <f aca="false">B91</f>
        <v>891.314616108646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G18*0.000002*1.2*100</f>
        <v>8.9772</v>
      </c>
      <c r="C183" s="352"/>
      <c r="D183" s="364" t="n">
        <f aca="false">A183+B183</f>
        <v>35.9088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715.99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1635.99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1635.99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8850.66666666667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8925.64205997042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743.803504997535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808.803504997535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1096.59311617588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-3760.012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743.803504997535</v>
      </c>
      <c r="B128" s="320" t="n">
        <f aca="false">IF(A105="YES",B89,0)</f>
        <v>65</v>
      </c>
      <c r="C128" s="325"/>
      <c r="D128" s="320" t="n">
        <f aca="false">B91</f>
        <v>808.803504997535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72</v>
      </c>
      <c r="I130" s="176"/>
      <c r="J130" s="333" t="n">
        <f aca="false">H91</f>
        <v>1096.59311617588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6694.23154497782</v>
      </c>
      <c r="C131" s="316"/>
      <c r="D131" s="37" t="n">
        <f aca="false">IF(A105="YES",B89*B57,0)</f>
        <v>585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72</v>
      </c>
      <c r="I133" s="220"/>
      <c r="J133" s="183" t="n">
        <f aca="false">H91*H57</f>
        <v>1096.59311617588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7279.23154497782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743.803504997535</v>
      </c>
      <c r="B137" s="37" t="n">
        <f aca="false">IF(A105="YES",B89,0)</f>
        <v>65</v>
      </c>
      <c r="C137" s="316"/>
      <c r="D137" s="37" t="n">
        <f aca="false">B91</f>
        <v>808.803504997535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22.443</v>
      </c>
      <c r="B140" s="342" t="n">
        <f aca="false">G18*0.000002*100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1414.213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733.99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1096.59311617588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808.803504997535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743.803504997535</v>
      </c>
      <c r="B171" s="354" t="n">
        <f aca="false">IF(A105="YES",B89,0)</f>
        <v>65</v>
      </c>
      <c r="C171" s="357"/>
      <c r="D171" s="354" t="n">
        <f aca="false">B91</f>
        <v>808.803504997535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6694.23154497782</v>
      </c>
      <c r="C174" s="352"/>
      <c r="D174" s="102" t="n">
        <f aca="false">IF(A105="YES",B89*B57,0)</f>
        <v>585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7279.23154497782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743.803504997535</v>
      </c>
      <c r="B180" s="102" t="n">
        <f aca="false">IF(A105="YES",B89,0)</f>
        <v>65</v>
      </c>
      <c r="C180" s="352"/>
      <c r="D180" s="102" t="n">
        <f aca="false">B91</f>
        <v>808.803504997535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22.443</v>
      </c>
      <c r="B183" s="364" t="n">
        <f aca="false">G18*0.000002*100</f>
        <v>7.481</v>
      </c>
      <c r="C183" s="352"/>
      <c r="D183" s="364" t="n">
        <f aca="false">A183+B183</f>
        <v>29.924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733.99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1815.99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1815.99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15375</v>
      </c>
      <c r="I31" s="62"/>
      <c r="J31" s="62"/>
      <c r="K31" s="62" t="n">
        <v>66666.6666666667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 t="n">
        <v>6000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251.844068417072</v>
      </c>
      <c r="E33" s="215"/>
      <c r="F33" s="62"/>
      <c r="G33" s="218" t="s">
        <v>356</v>
      </c>
      <c r="H33" s="456" t="n">
        <f aca="false">E21-E11</f>
        <v>18708.33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251.844068417072</v>
      </c>
      <c r="B36" s="102" t="n">
        <f aca="false">IF(B26="YES",H42,"")</f>
        <v>0</v>
      </c>
      <c r="C36" s="220"/>
      <c r="D36" s="183" t="n">
        <f aca="false">H31</f>
        <v>15375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18708.33</v>
      </c>
      <c r="I39" s="237" t="n">
        <f aca="false">(I48*H46)+H44</f>
        <v>56169.774870133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15375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12812.5</v>
      </c>
      <c r="I40" s="237" t="n">
        <f aca="false">H39-I39</f>
        <v>-37461.444870133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10491.2904626358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8217.03953736421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251.844068417072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251.844068417072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251.844068417072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22449.996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2357.24958</v>
      </c>
      <c r="C64" s="461" t="n">
        <v>10000</v>
      </c>
      <c r="D64" s="290" t="n">
        <f aca="false">B64</f>
        <v>2357.24958</v>
      </c>
      <c r="E64" s="462" t="n">
        <f aca="false">D64/(B58+B57)</f>
        <v>65.479155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448.99992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21.6666666666667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3137.24958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87.1458216666667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251.844068417072</v>
      </c>
      <c r="C83" s="469"/>
      <c r="D83" s="214"/>
      <c r="E83" s="462" t="n">
        <f aca="false">B83+E80+E77+E64</f>
        <v>338.989890083739</v>
      </c>
      <c r="F83" s="62"/>
      <c r="G83" s="304" t="s">
        <v>105</v>
      </c>
      <c r="H83" s="305" t="n">
        <f aca="false">H47</f>
        <v>251.844068417072</v>
      </c>
      <c r="I83" s="214"/>
      <c r="J83" s="214"/>
      <c r="K83" s="215"/>
      <c r="L83" s="62"/>
      <c r="M83" s="304" t="s">
        <v>105</v>
      </c>
      <c r="N83" s="305" t="n">
        <f aca="false">H47</f>
        <v>251.844068417072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12203.6360430146</v>
      </c>
      <c r="C85" s="469"/>
      <c r="D85" s="469"/>
      <c r="E85" s="462" t="n">
        <f aca="false">B85/(B58+B57)</f>
        <v>338.989890083739</v>
      </c>
      <c r="F85" s="62"/>
      <c r="G85" s="287" t="s">
        <v>115</v>
      </c>
      <c r="H85" s="130" t="n">
        <f aca="false">((H83*H29)+H81)*1.2</f>
        <v>12158.5637556175</v>
      </c>
      <c r="I85" s="214"/>
      <c r="J85" s="214"/>
      <c r="K85" s="215"/>
      <c r="L85" s="62"/>
      <c r="M85" s="287" t="s">
        <v>115</v>
      </c>
      <c r="N85" s="130" t="n">
        <f aca="false">((N83*H29)+N81)</f>
        <v>9788.38646301459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103.378925737518</v>
      </c>
      <c r="C86" s="469" t="s">
        <v>231</v>
      </c>
      <c r="D86" s="214"/>
      <c r="E86" s="462" t="n">
        <f aca="false">B86/(B58+B57)</f>
        <v>2.87163682604216</v>
      </c>
      <c r="F86" s="62"/>
      <c r="G86" s="213" t="s">
        <v>116</v>
      </c>
      <c r="H86" s="299" t="n">
        <f aca="false">((((H83*H29)+H81))/(1-H70))*H70</f>
        <v>85.8309260682963</v>
      </c>
      <c r="I86" s="214"/>
      <c r="J86" s="214"/>
      <c r="K86" s="215"/>
      <c r="L86" s="62"/>
      <c r="M86" s="213" t="s">
        <v>116</v>
      </c>
      <c r="N86" s="299" t="n">
        <f aca="false">(N85/(1-N70))*N70</f>
        <v>82.9189656003657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12307.0149687521</v>
      </c>
      <c r="C87" s="469"/>
      <c r="D87" s="471"/>
      <c r="E87" s="462" t="n">
        <f aca="false">E86+E85</f>
        <v>341.861526909781</v>
      </c>
      <c r="F87" s="62"/>
      <c r="G87" s="284" t="s">
        <v>117</v>
      </c>
      <c r="H87" s="132" t="n">
        <f aca="false">IF(H110="YES",((H85+H86)-K114),(H85+H86))</f>
        <v>12244.3946816858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9871.30542861496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341.861526909781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298.643772724044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240.763547039389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341.861526909781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298.643772724044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240.763547039389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298.643772724044</v>
      </c>
      <c r="H127" s="176" t="n">
        <f aca="false">IF(G105="YES",H89*H57,0)</f>
        <v>0</v>
      </c>
      <c r="I127" s="176"/>
      <c r="J127" s="333" t="n">
        <f aca="false">H91</f>
        <v>298.643772724044</v>
      </c>
      <c r="K127" s="215"/>
      <c r="L127" s="62"/>
      <c r="M127" s="332" t="n">
        <f aca="false">N90</f>
        <v>240.763547039389</v>
      </c>
      <c r="N127" s="176" t="n">
        <f aca="false">IF(M105="YES",N89*N57,0)</f>
        <v>0</v>
      </c>
      <c r="O127" s="176"/>
      <c r="P127" s="176" t="n">
        <f aca="false">N91</f>
        <v>240.763547039389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341.861526909781</v>
      </c>
      <c r="B128" s="320" t="n">
        <f aca="false">IF(A105="YES",B89,0)</f>
        <v>0</v>
      </c>
      <c r="C128" s="324"/>
      <c r="D128" s="320" t="n">
        <f aca="false">B91</f>
        <v>341.861526909781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341.861526909781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1791.86263634426</v>
      </c>
      <c r="H133" s="102" t="n">
        <f aca="false">IF(G105="YES",H89*H57,0)</f>
        <v>0</v>
      </c>
      <c r="I133" s="220"/>
      <c r="J133" s="183" t="n">
        <f aca="false">H91*H57</f>
        <v>1791.86263634426</v>
      </c>
      <c r="K133" s="215"/>
      <c r="L133" s="62"/>
      <c r="M133" s="184" t="n">
        <f aca="false">N90*N57</f>
        <v>1444.58128223634</v>
      </c>
      <c r="N133" s="102" t="n">
        <f aca="false">IF(M105="YES",N89*N57,0)</f>
        <v>0</v>
      </c>
      <c r="O133" s="220"/>
      <c r="P133" s="183" t="n">
        <f aca="false">N91*N57</f>
        <v>1444.58128223634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341.861526909781</v>
      </c>
      <c r="B134" s="37" t="n">
        <f aca="false">E114</f>
        <v>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341.861526909781</v>
      </c>
      <c r="B137" s="37" t="n">
        <f aca="false">IF(A105="YES",B89,0)</f>
        <v>0</v>
      </c>
      <c r="C137" s="316"/>
      <c r="D137" s="37" t="n">
        <f aca="false">B91</f>
        <v>341.861526909781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22.4424</v>
      </c>
      <c r="B140" s="342" t="n">
        <f aca="false">IF(A105="YES",B61*0.000002,0)*100</f>
        <v>7.4808</v>
      </c>
      <c r="C140" s="316"/>
      <c r="D140" s="342" t="n">
        <f aca="false">A140+B140</f>
        <v>29.9232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448.99992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548.98992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298.643772724044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240.763547039389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341.861526909781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341.861526909781</v>
      </c>
      <c r="B177" s="354" t="n">
        <f aca="false">IF(A105="YES",B89,0)</f>
        <v>0</v>
      </c>
      <c r="C177" s="356"/>
      <c r="D177" s="354" t="n">
        <f aca="false">B91</f>
        <v>341.861526909781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341.861526909781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341.861526909781</v>
      </c>
      <c r="B183" s="102" t="n">
        <f aca="false">E114</f>
        <v>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341.861526909781</v>
      </c>
      <c r="B186" s="102" t="n">
        <f aca="false">IF(A105="YES",B89,0)</f>
        <v>0</v>
      </c>
      <c r="C186" s="352"/>
      <c r="D186" s="102" t="n">
        <f aca="false">B91</f>
        <v>341.861526909781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22.4424</v>
      </c>
      <c r="B189" s="364" t="n">
        <f aca="false">B140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448.99992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548.98992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2357.24958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448.99992</v>
      </c>
      <c r="C211" s="319" t="s">
        <v>218</v>
      </c>
      <c r="D211" s="369" t="n">
        <f aca="false">B225+E221+B221+B223</f>
        <v>99.99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2008.23966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2357.24958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448.99992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2008.23966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103.378925737518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20000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133.408761933113</v>
      </c>
      <c r="E33" s="215"/>
      <c r="F33" s="62"/>
      <c r="G33" s="218" t="s">
        <v>356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133.408761933113</v>
      </c>
      <c r="B36" s="102" t="n">
        <f aca="false">IF(B26="YES",H42,"")</f>
        <v>0</v>
      </c>
      <c r="C36" s="220"/>
      <c r="D36" s="183" t="n">
        <f aca="false">H31</f>
        <v>20000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59325.6915133649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-41325.6915133649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13647.2071058677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4352.7928941323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133.408761933113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133.408761933113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133.408761933113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11288.75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313.576388888889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133.408761933113</v>
      </c>
      <c r="C83" s="469"/>
      <c r="D83" s="214"/>
      <c r="E83" s="462" t="n">
        <f aca="false">B83+E80+E77+E64</f>
        <v>446.985150822002</v>
      </c>
      <c r="F83" s="62"/>
      <c r="G83" s="304" t="s">
        <v>105</v>
      </c>
      <c r="H83" s="305" t="n">
        <f aca="false">H47</f>
        <v>133.408761933113</v>
      </c>
      <c r="I83" s="214"/>
      <c r="J83" s="214"/>
      <c r="K83" s="215"/>
      <c r="L83" s="62"/>
      <c r="M83" s="304" t="s">
        <v>105</v>
      </c>
      <c r="N83" s="305" t="n">
        <f aca="false">H47</f>
        <v>133.408761933113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19309.7585155105</v>
      </c>
      <c r="C85" s="469"/>
      <c r="D85" s="469"/>
      <c r="E85" s="462" t="n">
        <f aca="false">B85/(B58+B57)</f>
        <v>536.382180986402</v>
      </c>
      <c r="F85" s="62"/>
      <c r="G85" s="287" t="s">
        <v>115</v>
      </c>
      <c r="H85" s="130" t="n">
        <f aca="false">((H83*H29)+H81)*1.2</f>
        <v>7042.15851551049</v>
      </c>
      <c r="I85" s="214"/>
      <c r="J85" s="214"/>
      <c r="K85" s="215"/>
      <c r="L85" s="62"/>
      <c r="M85" s="287" t="s">
        <v>115</v>
      </c>
      <c r="N85" s="130" t="n">
        <f aca="false">((N83*H29)+N81)</f>
        <v>5524.71542959207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136.313341678674</v>
      </c>
      <c r="C86" s="469" t="s">
        <v>231</v>
      </c>
      <c r="D86" s="214"/>
      <c r="E86" s="462" t="n">
        <f aca="false">B86/(B58+B57)</f>
        <v>3.78648171329651</v>
      </c>
      <c r="F86" s="62"/>
      <c r="G86" s="213" t="s">
        <v>116</v>
      </c>
      <c r="H86" s="299" t="n">
        <f aca="false">((((H83*H29)+H81))/(1-H70))*H70</f>
        <v>49.7126962571333</v>
      </c>
      <c r="I86" s="214"/>
      <c r="J86" s="214"/>
      <c r="K86" s="215"/>
      <c r="L86" s="62"/>
      <c r="M86" s="213" t="s">
        <v>116</v>
      </c>
      <c r="N86" s="299" t="n">
        <f aca="false">(N85/(1-N70))*N70</f>
        <v>46.8007357892027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19446.0718571892</v>
      </c>
      <c r="C87" s="469"/>
      <c r="D87" s="471"/>
      <c r="E87" s="462" t="n">
        <f aca="false">E86+E85</f>
        <v>540.168662699699</v>
      </c>
      <c r="F87" s="62"/>
      <c r="G87" s="284" t="s">
        <v>117</v>
      </c>
      <c r="H87" s="132" t="n">
        <f aca="false">IF(H110="YES",((H85+H86)-K114),(H85+H86))</f>
        <v>7091.87121176762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5571.51616538128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540.168662699699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172.972468579698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135.890638180031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540.168662699699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172.972468579698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135.890638180031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172.972468579698</v>
      </c>
      <c r="H127" s="176" t="n">
        <f aca="false">IF(G105="YES",H89*H57,0)</f>
        <v>0</v>
      </c>
      <c r="I127" s="176"/>
      <c r="J127" s="333" t="n">
        <f aca="false">H91</f>
        <v>172.972468579698</v>
      </c>
      <c r="K127" s="215"/>
      <c r="L127" s="62"/>
      <c r="M127" s="332" t="n">
        <f aca="false">N90</f>
        <v>135.890638180031</v>
      </c>
      <c r="N127" s="176" t="n">
        <f aca="false">IF(M105="YES",N89*N57,0)</f>
        <v>0</v>
      </c>
      <c r="O127" s="176"/>
      <c r="P127" s="176" t="n">
        <f aca="false">N91</f>
        <v>135.890638180031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540.168662699699</v>
      </c>
      <c r="B128" s="320" t="n">
        <f aca="false">IF(A105="YES",B89,0)</f>
        <v>0</v>
      </c>
      <c r="C128" s="324"/>
      <c r="D128" s="320" t="n">
        <f aca="false">B91</f>
        <v>540.168662699699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540.168662699699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1037.83481147819</v>
      </c>
      <c r="H133" s="102" t="n">
        <f aca="false">IF(G105="YES",H89*H57,0)</f>
        <v>0</v>
      </c>
      <c r="I133" s="220"/>
      <c r="J133" s="183" t="n">
        <f aca="false">H91*H57</f>
        <v>1037.83481147819</v>
      </c>
      <c r="K133" s="215"/>
      <c r="L133" s="62"/>
      <c r="M133" s="184" t="n">
        <f aca="false">N90*N57</f>
        <v>815.343829080187</v>
      </c>
      <c r="N133" s="102" t="n">
        <f aca="false">IF(M105="YES",N89*N57,0)</f>
        <v>0</v>
      </c>
      <c r="O133" s="220"/>
      <c r="P133" s="183" t="n">
        <f aca="false">N91*N57</f>
        <v>815.343829080187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540.168662699699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540.168662699699</v>
      </c>
      <c r="B137" s="37" t="n">
        <f aca="false">IF(A105="YES",B89,0)</f>
        <v>0</v>
      </c>
      <c r="C137" s="316"/>
      <c r="D137" s="37" t="n">
        <f aca="false">B91</f>
        <v>540.168662699699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IF(A105="YES",B61*0.000002,0)*1.2*100</f>
        <v>8.97696</v>
      </c>
      <c r="C140" s="316"/>
      <c r="D140" s="342" t="n">
        <f aca="false">A140+B140</f>
        <v>35.90784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531.991666666667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172.972468579698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135.890638180031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540.168662699699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540.168662699699</v>
      </c>
      <c r="B177" s="354" t="n">
        <f aca="false">IF(A105="YES",B89,0)</f>
        <v>0</v>
      </c>
      <c r="C177" s="356"/>
      <c r="D177" s="354" t="n">
        <f aca="false">B91</f>
        <v>540.168662699699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540.168662699699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540.168662699699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540.168662699699</v>
      </c>
      <c r="B186" s="102" t="n">
        <f aca="false">IF(A105="YES",B89,0)</f>
        <v>0</v>
      </c>
      <c r="C186" s="352"/>
      <c r="D186" s="102" t="n">
        <f aca="false">B91</f>
        <v>540.168662699699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531.991666666667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432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9667.99166666667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9667.99166666667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136.313341678674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55495.83</v>
      </c>
      <c r="C3" s="480" t="n">
        <v>0.0</v>
      </c>
      <c r="D3" s="480" t="n">
        <v>833.33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0.0</v>
      </c>
      <c r="C4" s="481" t="n">
        <v>0.0</v>
      </c>
      <c r="D4" s="481" t="n">
        <v>0.0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0.0</v>
      </c>
      <c r="C5" s="480" t="n">
        <v>0.0</v>
      </c>
      <c r="D5" s="480" t="n">
        <v>0.0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55495.83</v>
      </c>
      <c r="C7" s="31" t="n">
        <f aca="false">C3-C6</f>
        <v>0</v>
      </c>
      <c r="D7" s="31" t="n">
        <f aca="false">D3-D6</f>
        <v>833.33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650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56329.16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645.83</v>
      </c>
      <c r="F10" s="385"/>
      <c r="G10" s="385"/>
      <c r="H10" s="385"/>
      <c r="I10" s="15" t="s">
        <v>1</v>
      </c>
      <c r="J10" s="9" t="n">
        <f aca="false">E15-E11-J8</f>
        <v>56974.99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11394.998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585.0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65.0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69019.988</v>
      </c>
      <c r="F15" s="385"/>
      <c r="G15" s="16" t="n">
        <f aca="false">E15</f>
        <v>69019.988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0.0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68369.988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0.0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69019.988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12.0</v>
      </c>
      <c r="B32" s="222" t="n">
        <v>5000.0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69019.988</v>
      </c>
      <c r="B35" s="222" t="s">
        <v>400</v>
      </c>
      <c r="C35" s="222"/>
      <c r="D35" s="278" t="n">
        <f aca="false">A35-B35</f>
        <v>68019.988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405</v>
      </c>
      <c r="B38" s="240" t="n">
        <f aca="false">A32-1</f>
        <v>11</v>
      </c>
      <c r="C38" s="240"/>
      <c r="D38" s="103" t="s">
        <v>403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E11</f>
        <v>11394.998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410</v>
      </c>
      <c r="B41" s="103" t="s">
        <v>411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0.0</v>
      </c>
      <c r="B44" s="103" t="s">
        <v>412</v>
      </c>
      <c r="C44" s="103"/>
      <c r="D44" s="103" t="n">
        <v>0.0</v>
      </c>
      <c r="E44" s="103"/>
      <c r="F44" s="385"/>
      <c r="G44" s="2" t="s">
        <v>65</v>
      </c>
      <c r="H44" s="2" t="n">
        <f aca="false">((H40-(((H42/(1.2))*0.2)))/(H43))</f>
        <v>866.249833333333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-366.249833333333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-363.583166666667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-363.583166666667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-363.583166666667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-363.583166666667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68369.988</v>
      </c>
      <c r="C67" s="316"/>
      <c r="D67" s="316"/>
      <c r="E67" s="317"/>
      <c r="F67" s="385"/>
      <c r="G67" s="315" t="s">
        <v>14</v>
      </c>
      <c r="H67" s="31" t="n">
        <f aca="false">G18</f>
        <v>68369.988</v>
      </c>
      <c r="I67" s="316"/>
      <c r="J67" s="316"/>
      <c r="K67" s="317"/>
      <c r="L67" s="385"/>
      <c r="M67" s="315" t="s">
        <v>14</v>
      </c>
      <c r="N67" s="31" t="n">
        <f aca="false">G18</f>
        <v>68369.988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4785.89916</v>
      </c>
      <c r="C70" s="316" t="n">
        <v>10000.0</v>
      </c>
      <c r="D70" s="31" t="n">
        <f aca="false">B70-A149</f>
        <v>4785.89916</v>
      </c>
      <c r="E70" s="317" t="n">
        <f aca="false">D70/12</f>
        <v>398.82493</v>
      </c>
      <c r="F70" s="385"/>
      <c r="G70" s="365" t="s">
        <v>91</v>
      </c>
      <c r="H70" s="64" t="n">
        <f aca="false">H67*H69</f>
        <v>4785.89916</v>
      </c>
      <c r="I70" s="316"/>
      <c r="J70" s="31" t="n">
        <f aca="false">H70-G151</f>
        <v>4785.89916</v>
      </c>
      <c r="K70" s="317"/>
      <c r="L70" s="385"/>
      <c r="M70" s="365" t="s">
        <v>91</v>
      </c>
      <c r="N70" s="64" t="n">
        <f aca="false">N67*N69</f>
        <v>4785.89916</v>
      </c>
      <c r="O70" s="316"/>
      <c r="P70" s="31" t="n">
        <f aca="false">N70-M151</f>
        <v>4785.89916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683.69988</v>
      </c>
      <c r="C73" s="316"/>
      <c r="D73" s="31"/>
      <c r="E73" s="317"/>
      <c r="F73" s="385"/>
      <c r="G73" s="365" t="s">
        <v>94</v>
      </c>
      <c r="H73" s="64" t="n">
        <f aca="false">H67*H72</f>
        <v>341.84994</v>
      </c>
      <c r="I73" s="316"/>
      <c r="J73" s="31"/>
      <c r="K73" s="317"/>
      <c r="L73" s="385"/>
      <c r="M73" s="365" t="s">
        <v>94</v>
      </c>
      <c r="N73" s="64" t="n">
        <f aca="false">N67*N72</f>
        <v>341.84994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200.0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5.0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165.0</v>
      </c>
      <c r="C80" s="316"/>
      <c r="D80" s="316"/>
      <c r="E80" s="401" t="n">
        <f aca="false">E79+D82</f>
        <v>703.333333333333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355.0</v>
      </c>
      <c r="C81" s="316"/>
      <c r="D81" s="316"/>
      <c r="E81" s="317" t="n">
        <f aca="false">E80/12</f>
        <v>58.6111111111111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43.3333333333333</v>
      </c>
      <c r="C82" s="316"/>
      <c r="D82" s="31" t="n">
        <f aca="false">IF(A50="YES",0,B82)</f>
        <v>43.3333333333333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200.0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200.0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6155.89916</v>
      </c>
      <c r="C87" s="316"/>
      <c r="D87" s="316"/>
      <c r="E87" s="317"/>
      <c r="F87" s="385"/>
      <c r="G87" s="409" t="s">
        <v>103</v>
      </c>
      <c r="H87" s="410" t="n">
        <f aca="false">SUM(J70:J86)</f>
        <v>7939.48249333333</v>
      </c>
      <c r="I87" s="316"/>
      <c r="J87" s="316"/>
      <c r="K87" s="317"/>
      <c r="L87" s="385"/>
      <c r="M87" s="409" t="s">
        <v>103</v>
      </c>
      <c r="N87" s="410" t="n">
        <f aca="false">SUM(P70:P86)</f>
        <v>7899.89916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512.991596666667</v>
      </c>
      <c r="C88" s="316"/>
      <c r="D88" s="316"/>
      <c r="E88" s="317"/>
      <c r="F88" s="385"/>
      <c r="G88" s="315" t="s">
        <v>104</v>
      </c>
      <c r="H88" s="32" t="n">
        <f aca="false">H87/H29</f>
        <v>661.623541111111</v>
      </c>
      <c r="I88" s="316"/>
      <c r="J88" s="316"/>
      <c r="K88" s="317"/>
      <c r="L88" s="385"/>
      <c r="M88" s="315" t="s">
        <v>104</v>
      </c>
      <c r="N88" s="32" t="n">
        <f aca="false">N87/H29</f>
        <v>658.32493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-363.583166666667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2151.481392</v>
      </c>
      <c r="C91" s="316"/>
      <c r="D91" s="316"/>
      <c r="E91" s="317"/>
      <c r="F91" s="385"/>
      <c r="G91" s="393" t="s">
        <v>115</v>
      </c>
      <c r="H91" s="26" t="n">
        <f aca="false">((H89*H29)+H87)*1.2</f>
        <v>9527.378992</v>
      </c>
      <c r="I91" s="316"/>
      <c r="J91" s="316"/>
      <c r="K91" s="317"/>
      <c r="L91" s="385"/>
      <c r="M91" s="393" t="s">
        <v>115</v>
      </c>
      <c r="N91" s="26" t="n">
        <f aca="false">((N89*H29)+N87)</f>
        <v>7899.89916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15.1879485114966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67.2566084550222</v>
      </c>
      <c r="I92" s="316"/>
      <c r="J92" s="316"/>
      <c r="K92" s="317"/>
      <c r="L92" s="385"/>
      <c r="M92" s="315" t="s">
        <v>116</v>
      </c>
      <c r="N92" s="32" t="n">
        <f aca="false">(N91/(1-N76))*N76</f>
        <v>66.9212917950787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2166.6693405115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11594.635600455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9966.82045179508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180.555778375958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180.555778375958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1000.0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390</v>
      </c>
      <c r="B111" s="311" t="n">
        <v>0.0</v>
      </c>
      <c r="C111" s="311"/>
      <c r="D111" s="106" t="s">
        <v>397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390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0.0</v>
      </c>
      <c r="E118" s="106" t="n">
        <v>0.0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0.0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180.555778375958</v>
      </c>
      <c r="B134" s="320" t="n">
        <f aca="false">IF(A111="YES",B95,0)</f>
        <v>0</v>
      </c>
      <c r="C134" s="324"/>
      <c r="D134" s="320" t="n">
        <f aca="false">B97</f>
        <v>180.555778375958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1625.00200538362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1625.00200538362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0.414119928</v>
      </c>
      <c r="H142" s="37" t="n">
        <f aca="false">IF(G111="YES",E15*0.000002,0)</f>
        <v>0.138039976</v>
      </c>
      <c r="I142" s="37"/>
      <c r="J142" s="37" t="n">
        <f aca="false">G142+H142</f>
        <v>0.552159904</v>
      </c>
      <c r="K142" s="104"/>
      <c r="L142" s="385"/>
      <c r="M142" s="110" t="n">
        <f aca="false">E15*0.000006</f>
        <v>0.414119928</v>
      </c>
      <c r="N142" s="37" t="n">
        <f aca="false">IF(M111="YES",E15*0.000002,0)</f>
        <v>0.138039976</v>
      </c>
      <c r="O142" s="37"/>
      <c r="P142" s="37" t="n">
        <f aca="false">M142+N142</f>
        <v>0.552159904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180.555778375958</v>
      </c>
      <c r="B143" s="37" t="n">
        <f aca="false">IF(A111="YES",B95,0)</f>
        <v>0</v>
      </c>
      <c r="C143" s="316"/>
      <c r="D143" s="37" t="n">
        <f aca="false">B97</f>
        <v>180.555778375958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284.87495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284.87495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2944.86295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2904.86495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11394.998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1183.69154666667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180.555778375958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180.555778375958</v>
      </c>
      <c r="B177" s="354" t="n">
        <f aca="false">IF(A111="YES",B95,0)</f>
        <v>0</v>
      </c>
      <c r="C177" s="356"/>
      <c r="D177" s="354" t="n">
        <f aca="false">A177+B177</f>
        <v>180.555778375958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1625.00200538362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1625.00200538362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180.555778375958</v>
      </c>
      <c r="B186" s="102" t="n">
        <f aca="false">IF(A111="YES",B95,0)</f>
        <v>0</v>
      </c>
      <c r="C186" s="352"/>
      <c r="D186" s="102" t="n">
        <f aca="false">B97</f>
        <v>180.555778375958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1183.69154666667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4785.89916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4442.19094666667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4442.19094666667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15.1879485114966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55495.83</v>
      </c>
      <c r="C3" s="480" t="n">
        <v>0.0</v>
      </c>
      <c r="D3" s="480" t="n">
        <v>833.33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0.0</v>
      </c>
      <c r="C4" s="481" t="n">
        <v>0.0</v>
      </c>
      <c r="D4" s="481" t="n">
        <v>0.0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0.0</v>
      </c>
      <c r="C5" s="480" t="n">
        <v>0.0</v>
      </c>
      <c r="D5" s="480" t="n">
        <v>0.0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55495.83</v>
      </c>
      <c r="C7" s="31" t="n">
        <f aca="false">C3-C6</f>
        <v>0</v>
      </c>
      <c r="D7" s="31" t="n">
        <f aca="false">D3-D6</f>
        <v>833.33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650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56329.16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645.83</v>
      </c>
      <c r="F10" s="385"/>
      <c r="G10" s="385"/>
      <c r="H10" s="385"/>
      <c r="I10" s="15" t="s">
        <v>1</v>
      </c>
      <c r="J10" s="9" t="n">
        <f aca="false">E15-E11-J8</f>
        <v>56974.99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11394.998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585.0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65.0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69019.988</v>
      </c>
      <c r="F15" s="385"/>
      <c r="G15" s="16" t="n">
        <f aca="false">E15</f>
        <v>69019.988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0.0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68369.988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0.0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69019.988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12.0</v>
      </c>
      <c r="B32" s="222" t="n">
        <v>5000.0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69019.988</v>
      </c>
      <c r="B35" s="222" t="s">
        <v>400</v>
      </c>
      <c r="C35" s="222"/>
      <c r="D35" s="278" t="n">
        <f aca="false">A35-B35</f>
        <v>68019.988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405</v>
      </c>
      <c r="B38" s="240" t="n">
        <f aca="false">A32-1</f>
        <v>11</v>
      </c>
      <c r="C38" s="240"/>
      <c r="D38" s="103" t="s">
        <v>403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E11</f>
        <v>11394.998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410</v>
      </c>
      <c r="B41" s="103" t="s">
        <v>411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407</v>
      </c>
      <c r="B44" s="103" t="s">
        <v>412</v>
      </c>
      <c r="C44" s="103"/>
      <c r="D44" s="103" t="s">
        <v>412</v>
      </c>
      <c r="E44" s="103"/>
      <c r="F44" s="385"/>
      <c r="G44" s="2" t="s">
        <v>65</v>
      </c>
      <c r="H44" s="2" t="n">
        <f aca="false">((H40-(((H42/(1.2))*0.2)))/(H43))</f>
        <v>866.249833333333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-316.249833333333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-313.583166666667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-363.583166666667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-313.583166666667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68369.988</v>
      </c>
      <c r="C67" s="316"/>
      <c r="D67" s="316"/>
      <c r="E67" s="317"/>
      <c r="F67" s="385"/>
      <c r="G67" s="315" t="s">
        <v>14</v>
      </c>
      <c r="H67" s="31" t="n">
        <f aca="false">G18</f>
        <v>68369.988</v>
      </c>
      <c r="I67" s="316"/>
      <c r="J67" s="316"/>
      <c r="K67" s="317"/>
      <c r="L67" s="385"/>
      <c r="M67" s="315" t="s">
        <v>14</v>
      </c>
      <c r="N67" s="31" t="n">
        <f aca="false">G18</f>
        <v>68369.988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4785.89916</v>
      </c>
      <c r="C70" s="316" t="n">
        <v>10000.0</v>
      </c>
      <c r="D70" s="31" t="n">
        <f aca="false">B70-A149</f>
        <v>4785.89916</v>
      </c>
      <c r="E70" s="317" t="n">
        <f aca="false">D70/12</f>
        <v>398.82493</v>
      </c>
      <c r="F70" s="385"/>
      <c r="G70" s="365" t="s">
        <v>91</v>
      </c>
      <c r="H70" s="64" t="n">
        <f aca="false">H67*H69</f>
        <v>4785.89916</v>
      </c>
      <c r="I70" s="316"/>
      <c r="J70" s="31" t="n">
        <f aca="false">H70-G151</f>
        <v>4785.89916</v>
      </c>
      <c r="K70" s="317"/>
      <c r="L70" s="385"/>
      <c r="M70" s="365" t="s">
        <v>91</v>
      </c>
      <c r="N70" s="64" t="n">
        <f aca="false">N67*N69</f>
        <v>4785.89916</v>
      </c>
      <c r="O70" s="316"/>
      <c r="P70" s="31" t="n">
        <f aca="false">N70-M151</f>
        <v>4785.89916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683.69988</v>
      </c>
      <c r="C73" s="316"/>
      <c r="D73" s="31"/>
      <c r="E73" s="317"/>
      <c r="F73" s="385"/>
      <c r="G73" s="365" t="s">
        <v>94</v>
      </c>
      <c r="H73" s="64" t="n">
        <f aca="false">H67*H72</f>
        <v>341.84994</v>
      </c>
      <c r="I73" s="316"/>
      <c r="J73" s="31"/>
      <c r="K73" s="317"/>
      <c r="L73" s="385"/>
      <c r="M73" s="365" t="s">
        <v>94</v>
      </c>
      <c r="N73" s="64" t="n">
        <f aca="false">N67*N72</f>
        <v>341.84994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200.0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5.0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165.0</v>
      </c>
      <c r="C80" s="316"/>
      <c r="D80" s="316"/>
      <c r="E80" s="401" t="n">
        <f aca="false">E79+D82</f>
        <v>703.333333333333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355.0</v>
      </c>
      <c r="C81" s="316"/>
      <c r="D81" s="316"/>
      <c r="E81" s="317" t="n">
        <f aca="false">E80/12</f>
        <v>58.6111111111111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43.3333333333333</v>
      </c>
      <c r="C82" s="316"/>
      <c r="D82" s="31" t="n">
        <f aca="false">IF(A50="YES",0,B82)</f>
        <v>43.3333333333333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200.0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200.0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6155.89916</v>
      </c>
      <c r="C87" s="316"/>
      <c r="D87" s="316"/>
      <c r="E87" s="317"/>
      <c r="F87" s="385"/>
      <c r="G87" s="409" t="s">
        <v>103</v>
      </c>
      <c r="H87" s="410" t="n">
        <f aca="false">SUM(J70:J86)</f>
        <v>7939.48249333333</v>
      </c>
      <c r="I87" s="316"/>
      <c r="J87" s="316"/>
      <c r="K87" s="317"/>
      <c r="L87" s="385"/>
      <c r="M87" s="409" t="s">
        <v>103</v>
      </c>
      <c r="N87" s="410" t="n">
        <f aca="false">SUM(P70:P86)</f>
        <v>7899.89916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512.991596666667</v>
      </c>
      <c r="C88" s="316"/>
      <c r="D88" s="316"/>
      <c r="E88" s="317"/>
      <c r="F88" s="385"/>
      <c r="G88" s="315" t="s">
        <v>104</v>
      </c>
      <c r="H88" s="32" t="n">
        <f aca="false">H87/H29</f>
        <v>661.623541111111</v>
      </c>
      <c r="I88" s="316"/>
      <c r="J88" s="316"/>
      <c r="K88" s="317"/>
      <c r="L88" s="385"/>
      <c r="M88" s="315" t="s">
        <v>104</v>
      </c>
      <c r="N88" s="32" t="n">
        <f aca="false">N87/H29</f>
        <v>658.32493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-363.583166666667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1792.90116</v>
      </c>
      <c r="C91" s="316"/>
      <c r="D91" s="316"/>
      <c r="E91" s="317"/>
      <c r="F91" s="385"/>
      <c r="G91" s="393" t="s">
        <v>115</v>
      </c>
      <c r="H91" s="26" t="n">
        <f aca="false">((H89*H29)+H87)*1.2</f>
        <v>9527.378992</v>
      </c>
      <c r="I91" s="316"/>
      <c r="J91" s="316"/>
      <c r="K91" s="317"/>
      <c r="L91" s="385"/>
      <c r="M91" s="393" t="s">
        <v>115</v>
      </c>
      <c r="N91" s="26" t="n">
        <f aca="false">((N89*H29)+N87)</f>
        <v>7899.89916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15.1879485114966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67.2566084550222</v>
      </c>
      <c r="I92" s="316"/>
      <c r="J92" s="316"/>
      <c r="K92" s="317"/>
      <c r="L92" s="385"/>
      <c r="M92" s="315" t="s">
        <v>116</v>
      </c>
      <c r="N92" s="32" t="n">
        <f aca="false">(N91/(1-N76))*N76</f>
        <v>66.9212917950787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1808.0891085115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11594.635600455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9966.82045179508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150.674092375958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215.674092375958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1000.0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393</v>
      </c>
      <c r="B111" s="311" t="n">
        <v>30.0</v>
      </c>
      <c r="C111" s="311"/>
      <c r="D111" s="106" t="s">
        <v>397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390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0.0</v>
      </c>
      <c r="E118" s="106" t="n">
        <v>0.0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0.0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150.674092375958</v>
      </c>
      <c r="B134" s="320" t="n">
        <f aca="false">IF(A111="YES",B95,0)</f>
        <v>65</v>
      </c>
      <c r="C134" s="325"/>
      <c r="D134" s="320" t="n">
        <f aca="false">B97</f>
        <v>215.674092375958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1356.06683138362</v>
      </c>
      <c r="C137" s="316"/>
      <c r="D137" s="37" t="n">
        <f aca="false">IF(A111="YES",B95*B63,0)</f>
        <v>585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1941.06683138362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0.414119928</v>
      </c>
      <c r="H142" s="37" t="n">
        <f aca="false">IF(G111="YES",E15*0.000002,0)</f>
        <v>0.138039976</v>
      </c>
      <c r="I142" s="37"/>
      <c r="J142" s="37" t="n">
        <f aca="false">G142+H142</f>
        <v>0.552159904</v>
      </c>
      <c r="K142" s="104"/>
      <c r="L142" s="385"/>
      <c r="M142" s="110" t="n">
        <f aca="false">E15*0.000006</f>
        <v>0.414119928</v>
      </c>
      <c r="N142" s="37" t="n">
        <f aca="false">IF(M111="YES",E15*0.000002,0)</f>
        <v>0.138039976</v>
      </c>
      <c r="O142" s="37"/>
      <c r="P142" s="37" t="n">
        <f aca="false">M142+N142</f>
        <v>0.552159904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150.674092375958</v>
      </c>
      <c r="B143" s="37" t="n">
        <f aca="false">IF(A111="YES",B95,0)</f>
        <v>65</v>
      </c>
      <c r="C143" s="316"/>
      <c r="D143" s="37" t="n">
        <f aca="false">B97</f>
        <v>215.674092375958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284.87495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284.87495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2944.86295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2904.86495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683.69988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11394.998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1201.68988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215.674092375958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150.674092375958</v>
      </c>
      <c r="B177" s="354" t="n">
        <f aca="false">IF(A111="YES",B95,0)</f>
        <v>65</v>
      </c>
      <c r="C177" s="357"/>
      <c r="D177" s="354" t="n">
        <f aca="false">B91</f>
        <v>1792.90116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1356.06683138362</v>
      </c>
      <c r="C180" s="352"/>
      <c r="D180" s="102" t="n">
        <f aca="false">IF(A111="YES",B95*B63,0)</f>
        <v>585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1941.06683138362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150.674092375958</v>
      </c>
      <c r="B186" s="102" t="n">
        <f aca="false">IF(A111="YES",B95,0)</f>
        <v>65</v>
      </c>
      <c r="C186" s="352"/>
      <c r="D186" s="102" t="n">
        <f aca="false">B97</f>
        <v>215.674092375958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1201.68988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4785.89916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4622.18928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4622.18928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15.1879485114966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6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/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0.0</v>
      </c>
      <c r="C4" s="489"/>
      <c r="D4" s="490" t="n">
        <v>0.0</v>
      </c>
      <c r="E4" s="490"/>
      <c r="F4" s="490" t="n">
        <v>0.0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/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/>
      <c r="F9" s="151"/>
      <c r="G9" s="138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5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/>
      <c r="F13" s="153"/>
      <c r="G13" s="155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401</v>
      </c>
      <c r="B34" s="31"/>
      <c r="C34" s="40" t="s">
        <v>402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69019.988</v>
      </c>
      <c r="B37" s="31"/>
      <c r="C37" s="40" t="s">
        <v>400</v>
      </c>
      <c r="D37" s="40"/>
      <c r="E37" s="31"/>
      <c r="F37" s="42" t="n">
        <f aca="false">A37-C37</f>
        <v>68019.988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405</v>
      </c>
      <c r="B40" s="31"/>
      <c r="C40" s="53" t="n">
        <f aca="false">A34-1</f>
        <v>32</v>
      </c>
      <c r="D40" s="53"/>
      <c r="E40" s="31"/>
      <c r="F40" s="40" t="s">
        <v>403</v>
      </c>
      <c r="G40" s="40"/>
      <c r="H40" s="46"/>
      <c r="J40" s="2" t="s">
        <v>58</v>
      </c>
      <c r="K40" s="2" t="n">
        <f aca="false">H11</f>
        <v>11394.998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314.999939393939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185.000060606061</v>
      </c>
      <c r="L45" s="2"/>
    </row>
    <row r="46" customFormat="false" ht="19.5" hidden="false" customHeight="false" outlineLevel="0" collapsed="false">
      <c r="A46" s="39" t="n">
        <v>0.0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185.969757575758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185.969757575758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418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185.969757575758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10.0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68369.988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68369.988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68369.988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68369.988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74186.3527879342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50372.0035826722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62879.0636505523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62879.0636505523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647.0623875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4914.0928875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640.9686375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500.261615625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0.0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0.0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0.0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0.0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0.0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0.0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185.969757575758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185.969757575758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185.969757575758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68019.988</v>
      </c>
      <c r="C90" s="31"/>
      <c r="D90" s="31"/>
      <c r="E90" s="22"/>
      <c r="F90" s="24" t="s">
        <v>106</v>
      </c>
      <c r="G90" s="26" t="n">
        <f aca="false">F37</f>
        <v>68019.988</v>
      </c>
      <c r="H90" s="32"/>
      <c r="J90" s="24" t="s">
        <v>106</v>
      </c>
      <c r="K90" s="26" t="n">
        <f aca="false">P167</f>
        <v>37769.996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53361.239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53361.239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4379.8532592462</v>
      </c>
      <c r="C95" s="31"/>
      <c r="D95" s="31"/>
      <c r="E95" s="22"/>
      <c r="F95" s="30" t="s">
        <v>111</v>
      </c>
      <c r="G95" s="32" t="n">
        <f aca="false">(G91/((1+G93)^(G94+1)))</f>
        <v>5020.31079273804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63640.1347407538</v>
      </c>
      <c r="C97" s="31"/>
      <c r="D97" s="31"/>
      <c r="E97" s="22"/>
      <c r="F97" s="30" t="s">
        <v>113</v>
      </c>
      <c r="G97" s="32" t="n">
        <f aca="false">G90-G95</f>
        <v>62999.677207262</v>
      </c>
      <c r="H97" s="32"/>
      <c r="J97" s="30" t="s">
        <v>113</v>
      </c>
      <c r="K97" s="32" t="n">
        <f aca="false">K90-K95</f>
        <v>37769.996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53352.6797086168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53352.6797086168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2318.69852462294</v>
      </c>
      <c r="C98" s="31"/>
      <c r="D98" s="31"/>
      <c r="E98" s="22"/>
      <c r="F98" s="30" t="s">
        <v>114</v>
      </c>
      <c r="G98" s="32" t="n">
        <f aca="false">(G97/G96)</f>
        <v>2149.60463491719</v>
      </c>
      <c r="H98" s="32"/>
      <c r="J98" s="30" t="s">
        <v>114</v>
      </c>
      <c r="K98" s="32" t="n">
        <f aca="false">(K97/K96)</f>
        <v>1574.50011195851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1965.34573907976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1965.34573907976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74198.3527879342</v>
      </c>
      <c r="C99" s="31"/>
      <c r="D99" s="31"/>
      <c r="E99" s="22"/>
      <c r="F99" s="30" t="s">
        <v>115</v>
      </c>
      <c r="G99" s="32" t="n">
        <f aca="false">((G98*(G94))+G86)</f>
        <v>68787.3483173502</v>
      </c>
      <c r="H99" s="32"/>
      <c r="J99" s="30" t="s">
        <v>115</v>
      </c>
      <c r="K99" s="32" t="n">
        <f aca="false">((K98*(K94))+K86)</f>
        <v>51958.5036946307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62891.0636505523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62891.0636505523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74198.3527879342</v>
      </c>
      <c r="C101" s="31"/>
      <c r="D101" s="31"/>
      <c r="E101" s="22"/>
      <c r="F101" s="55" t="s">
        <v>117</v>
      </c>
      <c r="G101" s="64" t="n">
        <f aca="false">(G99+G100)</f>
        <v>68787.3483173502</v>
      </c>
      <c r="H101" s="32"/>
      <c r="J101" s="55" t="s">
        <v>117</v>
      </c>
      <c r="K101" s="64" t="n">
        <f aca="false">(K99+K100)</f>
        <v>51958.5036946307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62891.0636505523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62891.0636505523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2318.69852462294</v>
      </c>
      <c r="C104" s="31"/>
      <c r="D104" s="31"/>
      <c r="E104" s="22"/>
      <c r="F104" s="94" t="s">
        <v>119</v>
      </c>
      <c r="G104" s="95" t="n">
        <f aca="false">G101/(G94)</f>
        <v>2149.60463491719</v>
      </c>
      <c r="H104" s="32"/>
      <c r="J104" s="94" t="s">
        <v>119</v>
      </c>
      <c r="K104" s="95" t="n">
        <f aca="false">K101/(K94)</f>
        <v>1574.50011195851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1965.34573907976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1965.34573907976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2318.69852462294</v>
      </c>
      <c r="C105" s="31"/>
      <c r="D105" s="31"/>
      <c r="E105" s="22" t="s">
        <v>18</v>
      </c>
      <c r="F105" s="96" t="s">
        <v>120</v>
      </c>
      <c r="G105" s="97" t="n">
        <f aca="false">G103+G104</f>
        <v>2149.60463491719</v>
      </c>
      <c r="H105" s="32"/>
      <c r="J105" s="96" t="s">
        <v>120</v>
      </c>
      <c r="K105" s="97" t="n">
        <f aca="false">(K103+K104)</f>
        <v>1574.50011195851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1965.34573907976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1965.34573907976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/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/>
      <c r="C114" s="102"/>
      <c r="D114" s="102"/>
      <c r="E114" s="103" t="s">
        <v>390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393</v>
      </c>
      <c r="B120" s="106" t="n">
        <v>0.0</v>
      </c>
      <c r="C120" s="106"/>
      <c r="D120" s="106"/>
      <c r="E120" s="106" t="n">
        <v>0.0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394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55495.83</v>
      </c>
      <c r="C130" s="39" t="n">
        <f aca="false">B130</f>
        <v>55495.83</v>
      </c>
      <c r="D130" s="24" t="n">
        <f aca="false">D3</f>
        <v>0</v>
      </c>
      <c r="E130" s="39" t="n">
        <f aca="false">D130</f>
        <v>0</v>
      </c>
      <c r="F130" s="24" t="n">
        <f aca="false">F3</f>
        <v>833.33</v>
      </c>
      <c r="G130" s="39" t="n">
        <f aca="false">F130</f>
        <v>833.33</v>
      </c>
      <c r="H130" s="121" t="n">
        <f aca="false">H3</f>
        <v>0</v>
      </c>
      <c r="J130" s="24" t="s">
        <v>150</v>
      </c>
      <c r="K130" s="24" t="n">
        <f aca="false">B3</f>
        <v>55495.83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833.33</v>
      </c>
      <c r="P130" s="39" t="n">
        <f aca="false">O130</f>
        <v>833.33</v>
      </c>
      <c r="Q130" s="121" t="n">
        <f aca="false">H3</f>
        <v>0</v>
      </c>
      <c r="S130" s="24" t="s">
        <v>150</v>
      </c>
      <c r="T130" s="24" t="n">
        <f aca="false">B3</f>
        <v>55495.83</v>
      </c>
      <c r="U130" s="39" t="n">
        <f aca="false">T130</f>
        <v>55495.83</v>
      </c>
      <c r="V130" s="24" t="n">
        <f aca="false">D3</f>
        <v>0</v>
      </c>
      <c r="W130" s="39" t="n">
        <f aca="false">V130</f>
        <v>0</v>
      </c>
      <c r="X130" s="24" t="n">
        <f aca="false">F3</f>
        <v>833.33</v>
      </c>
      <c r="Y130" s="39" t="n">
        <f aca="false">X130</f>
        <v>833.33</v>
      </c>
      <c r="Z130" s="121" t="n">
        <f aca="false">H3</f>
        <v>0</v>
      </c>
      <c r="AB130" s="24" t="s">
        <v>150</v>
      </c>
      <c r="AC130" s="24" t="n">
        <f aca="false">B3</f>
        <v>55495.83</v>
      </c>
      <c r="AD130" s="39" t="n">
        <f aca="false">AC130</f>
        <v>55495.83</v>
      </c>
      <c r="AE130" s="24" t="n">
        <f aca="false">D3</f>
        <v>0</v>
      </c>
      <c r="AF130" s="39" t="n">
        <f aca="false">AE130</f>
        <v>0</v>
      </c>
      <c r="AG130" s="24" t="n">
        <f aca="false">F3</f>
        <v>833.33</v>
      </c>
      <c r="AH130" s="39" t="n">
        <f aca="false">AG130</f>
        <v>833.33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13873.9575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13873.9575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55495.83</v>
      </c>
      <c r="C134" s="64" t="n">
        <f aca="false">C130-C133</f>
        <v>55495.83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833.33</v>
      </c>
      <c r="G134" s="64" t="n">
        <f aca="false">G130-G133</f>
        <v>833.33</v>
      </c>
      <c r="H134" s="64"/>
      <c r="J134" s="55" t="s">
        <v>154</v>
      </c>
      <c r="K134" s="55" t="n">
        <f aca="false">K130-K133</f>
        <v>55495.83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833.33</v>
      </c>
      <c r="P134" s="64" t="n">
        <f aca="false">P130-P133</f>
        <v>833.33</v>
      </c>
      <c r="Q134" s="64"/>
      <c r="S134" s="55" t="s">
        <v>154</v>
      </c>
      <c r="T134" s="55" t="n">
        <f aca="false">T130-T133</f>
        <v>55495.83</v>
      </c>
      <c r="U134" s="64" t="n">
        <f aca="false">U130-U133</f>
        <v>41621.8725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833.33</v>
      </c>
      <c r="Y134" s="64" t="n">
        <f aca="false">Y130-Y133</f>
        <v>833.33</v>
      </c>
      <c r="Z134" s="64"/>
      <c r="AB134" s="55" t="s">
        <v>154</v>
      </c>
      <c r="AC134" s="55" t="n">
        <f aca="false">AC130-AC133</f>
        <v>55495.83</v>
      </c>
      <c r="AD134" s="64" t="n">
        <f aca="false">AD130-AD133</f>
        <v>41621.8725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833.33</v>
      </c>
      <c r="AH134" s="64" t="n">
        <f aca="false">AH130-AH133</f>
        <v>833.33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56329.16</v>
      </c>
      <c r="H144" s="152" t="n">
        <f aca="false">C134+E134+G134+H137</f>
        <v>56329.16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56329.16</v>
      </c>
      <c r="Q144" s="152" t="n">
        <f aca="false">L134+N134+P134+Q137</f>
        <v>29462.5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56329.16</v>
      </c>
      <c r="Z144" s="152" t="n">
        <f aca="false">U134+W134+Y134+Z137</f>
        <v>42455.2025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56329.16</v>
      </c>
      <c r="AI144" s="152" t="n">
        <f aca="false">AD134+AF134+AH134+AI137</f>
        <v>42455.2025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645.83</v>
      </c>
      <c r="H145" s="32" t="n">
        <f aca="false">G145</f>
        <v>645.83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645.83</v>
      </c>
      <c r="Q145" s="32" t="n">
        <f aca="false">P145</f>
        <v>645.83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645.83</v>
      </c>
      <c r="Z145" s="32" t="n">
        <f aca="false">Y145</f>
        <v>645.83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645.83</v>
      </c>
      <c r="AI145" s="32" t="n">
        <f aca="false">AH145</f>
        <v>645.83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11394.998</v>
      </c>
      <c r="H146" s="32" t="n">
        <f aca="false">(H144+H145)*20%</f>
        <v>11394.998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11394.998</v>
      </c>
      <c r="Q146" s="32" t="n">
        <f aca="false">(Q144+Q145)*20%</f>
        <v>6021.666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11394.998</v>
      </c>
      <c r="Z146" s="32" t="n">
        <f aca="false">(Z144+Z145)*20%</f>
        <v>8620.2065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11394.998</v>
      </c>
      <c r="AI146" s="32" t="n">
        <f aca="false">(AI144+AI145)*20%</f>
        <v>8620.2065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585</v>
      </c>
      <c r="H148" s="32" t="n">
        <f aca="false">G148</f>
        <v>585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585</v>
      </c>
      <c r="Q148" s="32" t="n">
        <f aca="false">P148</f>
        <v>585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585</v>
      </c>
      <c r="Z148" s="32" t="n">
        <f aca="false">Y148</f>
        <v>585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585</v>
      </c>
      <c r="AI148" s="32" t="n">
        <f aca="false">AH148</f>
        <v>585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69019.988</v>
      </c>
      <c r="H150" s="156" t="n">
        <f aca="false">(H144+H145+H148+H149+H146)-H147</f>
        <v>69019.988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69019.988</v>
      </c>
      <c r="Q150" s="156" t="n">
        <f aca="false">(Q144+Q145+Q148+Q149+Q146)-Q147</f>
        <v>36769.996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69019.988</v>
      </c>
      <c r="Z150" s="156" t="n">
        <f aca="false">(Z144+Z145+Z148+Z149+Z146)-Z147</f>
        <v>52361.239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69019.988</v>
      </c>
      <c r="AI150" s="156" t="n">
        <f aca="false">(AI144+AI145+AI148+AI149+AI146)-AI147</f>
        <v>52361.239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69019.988</v>
      </c>
      <c r="H156" s="163" t="n">
        <f aca="false">H150-((H153*1.2)+(H154*1.2)+(H155*1.2)+(H151*1.2))</f>
        <v>69019.988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69019.988</v>
      </c>
      <c r="Q156" s="163" t="n">
        <f aca="false">Q150-((Q153*1.2)+(Q154*1.2)+(Q155*1.2)+(Q151*1.2))</f>
        <v>36769.996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69019.988</v>
      </c>
      <c r="Z156" s="163" t="n">
        <f aca="false">Z150-((Z153*1.2)+(Z154*1.2)+(Z155*1.2)+(Z151*1.2))</f>
        <v>52361.239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69019.988</v>
      </c>
      <c r="AI156" s="163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-56683.3233333333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-32249.992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-16658.749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-16658.749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0.0</v>
      </c>
      <c r="F161" s="106"/>
      <c r="G161" s="106" t="n">
        <v>0.0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0.0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69019.988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37769.996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53361.239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53361.239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6000.0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2318.69852462294</v>
      </c>
      <c r="B176" s="176" t="n">
        <f aca="false">B103</f>
        <v>0</v>
      </c>
      <c r="C176" s="173"/>
      <c r="D176" s="173"/>
      <c r="E176" s="176" t="n">
        <f aca="false">B105</f>
        <v>2318.69852462294</v>
      </c>
      <c r="F176" s="22"/>
      <c r="G176" s="22" t="n">
        <f aca="false">ROUND(G104,2)</f>
        <v>2149.6</v>
      </c>
      <c r="H176" s="32"/>
      <c r="J176" s="175" t="n">
        <f aca="false">K104</f>
        <v>1574.50011195851</v>
      </c>
      <c r="K176" s="177" t="n">
        <f aca="false">K103</f>
        <v>0</v>
      </c>
      <c r="L176" s="174"/>
      <c r="M176" s="174"/>
      <c r="N176" s="177" t="n">
        <f aca="false">K105</f>
        <v>1574.50011195851</v>
      </c>
      <c r="O176" s="22"/>
      <c r="P176" s="22"/>
      <c r="Q176" s="32"/>
      <c r="S176" s="175" t="n">
        <f aca="false">T104</f>
        <v>1965.34573907976</v>
      </c>
      <c r="T176" s="177" t="n">
        <f aca="false">T103</f>
        <v>0</v>
      </c>
      <c r="U176" s="174"/>
      <c r="V176" s="174"/>
      <c r="W176" s="177" t="n">
        <f aca="false">T105</f>
        <v>1965.34573907976</v>
      </c>
      <c r="X176" s="22"/>
      <c r="Y176" s="22"/>
      <c r="Z176" s="32"/>
      <c r="AB176" s="175" t="n">
        <f aca="false">AC104</f>
        <v>1965.34573907976</v>
      </c>
      <c r="AC176" s="177" t="n">
        <f aca="false">AC103</f>
        <v>0</v>
      </c>
      <c r="AD176" s="174"/>
      <c r="AE176" s="174"/>
      <c r="AF176" s="177" t="n">
        <f aca="false">AC105</f>
        <v>1965.34573907976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33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56974.99</v>
      </c>
      <c r="B182" s="102" t="n">
        <f aca="false">H146</f>
        <v>11394.998</v>
      </c>
      <c r="C182" s="185"/>
      <c r="D182" s="22"/>
      <c r="E182" s="181" t="n">
        <f aca="false">H148+H149</f>
        <v>650</v>
      </c>
      <c r="F182" s="22"/>
      <c r="G182" s="22"/>
      <c r="H182" s="32"/>
      <c r="J182" s="184" t="n">
        <f aca="false">Q150-Q146-Q148-Q149</f>
        <v>30108.33</v>
      </c>
      <c r="K182" s="37" t="n">
        <f aca="false">Q146</f>
        <v>6021.666</v>
      </c>
      <c r="L182" s="42"/>
      <c r="M182" s="22"/>
      <c r="N182" s="183" t="n">
        <f aca="false">Q148+Q149</f>
        <v>640</v>
      </c>
      <c r="O182" s="22"/>
      <c r="P182" s="22"/>
      <c r="Q182" s="32"/>
      <c r="S182" s="184" t="n">
        <f aca="false">Z150-Z146-Z148-Z149</f>
        <v>43101.0325</v>
      </c>
      <c r="T182" s="37" t="n">
        <f aca="false">Z146</f>
        <v>8620.2065</v>
      </c>
      <c r="U182" s="42"/>
      <c r="V182" s="22"/>
      <c r="W182" s="183" t="n">
        <f aca="false">Z148+Z149</f>
        <v>640</v>
      </c>
      <c r="X182" s="22"/>
      <c r="Y182" s="22"/>
      <c r="Z182" s="32"/>
      <c r="AB182" s="184" t="n">
        <f aca="false">AI150-AI146-AI148-AI149</f>
        <v>43101.0325</v>
      </c>
      <c r="AC182" s="37" t="n">
        <f aca="false">AI146</f>
        <v>8620.2065</v>
      </c>
      <c r="AD182" s="42"/>
      <c r="AE182" s="22"/>
      <c r="AF182" s="183" t="n">
        <f aca="false">AI148+AI149</f>
        <v>640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69019.988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36769.996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52361.239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52361.239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69019.988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37769.996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53361.239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53361.239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11178.3647879342</v>
      </c>
      <c r="B191" s="102" t="str">
        <f aca="false">B123</f>
        <v>199.99</v>
      </c>
      <c r="C191" s="102"/>
      <c r="D191" s="22"/>
      <c r="E191" s="102" t="n">
        <f aca="false">E188+A191+(B191*1.2)+A194</f>
        <v>80448.3407879342</v>
      </c>
      <c r="F191" s="22"/>
      <c r="G191" s="22"/>
      <c r="H191" s="104"/>
      <c r="J191" s="110" t="n">
        <f aca="false">(J176*K68)+N194-N188-J194</f>
        <v>12626.0075826722</v>
      </c>
      <c r="K191" s="37" t="n">
        <f aca="false">K123</f>
        <v>239.99</v>
      </c>
      <c r="L191" s="37"/>
      <c r="M191" s="22"/>
      <c r="N191" s="37" t="n">
        <f aca="false">N188+J191+K191+J194</f>
        <v>50655.9935826722</v>
      </c>
      <c r="O191" s="22"/>
      <c r="P191" s="22"/>
      <c r="Q191" s="104"/>
      <c r="S191" s="110" t="n">
        <f aca="false">(S176*T68)+W194-W188-S194</f>
        <v>9541.82465055225</v>
      </c>
      <c r="T191" s="37" t="n">
        <f aca="false">T123</f>
        <v>199.99</v>
      </c>
      <c r="U191" s="37"/>
      <c r="V191" s="22"/>
      <c r="W191" s="37" t="n">
        <f aca="false">W188+S191+T191+S194</f>
        <v>63113.0536505523</v>
      </c>
      <c r="X191" s="22"/>
      <c r="Y191" s="22"/>
      <c r="Z191" s="104"/>
      <c r="AB191" s="110" t="n">
        <f aca="false">(AB176*AC68)+AF194-AF188-AB194</f>
        <v>9541.82465055225</v>
      </c>
      <c r="AC191" s="37" t="n">
        <f aca="false">AC123</f>
        <v>239.99</v>
      </c>
      <c r="AD191" s="37"/>
      <c r="AE191" s="22"/>
      <c r="AF191" s="37" t="n">
        <f aca="false">AF188+AB191+AC191+AB194</f>
        <v>63153.0536505523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13.6739976</v>
      </c>
      <c r="B197" s="102" t="n">
        <f aca="false">(G167*B76)/1.2</f>
        <v>539.21865625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0.138039976</v>
      </c>
      <c r="K197" s="37" t="n">
        <f aca="false">(P167*K76)/1.2</f>
        <v>2262.26538541667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416.8846796875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416.8846796875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639.20865625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3402.25538541667</v>
      </c>
      <c r="L200" s="31"/>
      <c r="M200" s="31"/>
      <c r="N200" s="37" t="n">
        <f aca="false">Q157</f>
        <v>-32249.992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1516.8746796875</v>
      </c>
      <c r="U200" s="31"/>
      <c r="V200" s="31"/>
      <c r="W200" s="37" t="n">
        <f aca="false">Z157</f>
        <v>-16658.749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1556.8746796875</v>
      </c>
      <c r="AD200" s="31"/>
      <c r="AE200" s="31"/>
      <c r="AF200" s="37" t="n">
        <f aca="false">AI157</f>
        <v>-16658.749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2318.69852462294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1574.50011195851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1965.34573907976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1965.34573907976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5767.21199999999</v>
      </c>
      <c r="B210" s="185" t="n">
        <f aca="false">ROUND((E188+A210+(B191*1.2)+A194),2)</f>
        <v>75037.19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2318.69852462294</v>
      </c>
      <c r="B221" s="176" t="n">
        <f aca="false">B176</f>
        <v>0</v>
      </c>
      <c r="C221" s="173"/>
      <c r="D221" s="173"/>
      <c r="E221" s="176" t="n">
        <f aca="false">E176</f>
        <v>2318.69852462294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56974.99</v>
      </c>
      <c r="B224" s="102" t="n">
        <f aca="false">B182</f>
        <v>11394.998</v>
      </c>
      <c r="C224" s="185"/>
      <c r="D224" s="112"/>
      <c r="E224" s="181" t="n">
        <f aca="false">E182</f>
        <v>650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69019.988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69019.988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11178.3647879342</v>
      </c>
      <c r="B233" s="102" t="str">
        <f aca="false">B191</f>
        <v>199.99</v>
      </c>
      <c r="C233" s="102"/>
      <c r="D233" s="112"/>
      <c r="E233" s="102" t="n">
        <f aca="false">E191</f>
        <v>80448.3407879342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2318.69852462294</v>
      </c>
      <c r="B239" s="102" t="n">
        <f aca="false">B176</f>
        <v>0</v>
      </c>
      <c r="C239" s="185"/>
      <c r="D239" s="185"/>
      <c r="E239" s="102" t="n">
        <f aca="false">E176</f>
        <v>2318.69852462294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41.0219928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13.6739976</v>
      </c>
      <c r="B245" s="102" t="n">
        <f aca="false">E242+A245</f>
        <v>54.6959904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539.21865625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639.20865625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5421.1507879342</v>
      </c>
      <c r="C263" s="196"/>
      <c r="D263" s="197" t="s">
        <v>217</v>
      </c>
      <c r="E263" s="197"/>
      <c r="F263" s="199" t="n">
        <f aca="false">F270+F276+F278+B279+B280</f>
        <v>647.0623875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4874.0784004342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5421.1507879342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647.0623875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4874.0784004342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/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0.0</v>
      </c>
      <c r="C4" s="489"/>
      <c r="D4" s="490" t="n">
        <v>0.0</v>
      </c>
      <c r="E4" s="490"/>
      <c r="F4" s="490" t="n">
        <v>0.0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/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/>
      <c r="F9" s="151"/>
      <c r="G9" s="138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5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/>
      <c r="F13" s="153"/>
      <c r="G13" s="155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401</v>
      </c>
      <c r="B34" s="31"/>
      <c r="C34" s="40" t="s">
        <v>402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69019.988</v>
      </c>
      <c r="B37" s="31"/>
      <c r="C37" s="40" t="s">
        <v>400</v>
      </c>
      <c r="D37" s="40"/>
      <c r="E37" s="31"/>
      <c r="F37" s="42" t="n">
        <f aca="false">A37-C37</f>
        <v>68019.988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405</v>
      </c>
      <c r="B40" s="31"/>
      <c r="C40" s="53" t="n">
        <f aca="false">A34-1</f>
        <v>32</v>
      </c>
      <c r="D40" s="53"/>
      <c r="E40" s="31"/>
      <c r="F40" s="40" t="s">
        <v>403</v>
      </c>
      <c r="G40" s="40"/>
      <c r="H40" s="46"/>
      <c r="J40" s="2" t="s">
        <v>58</v>
      </c>
      <c r="K40" s="2" t="n">
        <f aca="false">H11</f>
        <v>11394.998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314.999939393939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185.000060606061</v>
      </c>
      <c r="L45" s="2"/>
    </row>
    <row r="46" customFormat="false" ht="19.5" hidden="false" customHeight="false" outlineLevel="0" collapsed="false">
      <c r="A46" s="39" t="n">
        <v>0.0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185.969757575758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185.969757575758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404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185.969757575758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10.0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68369.988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68369.988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68369.988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68369.988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74186.3527879342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50372.0035826722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62879.0636505523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62879.0636505523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647.0623875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4914.0928875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640.9686375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500.261615625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0.0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0.0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0.0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0.0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0.0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0.0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185.969757575758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185.969757575758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185.969757575758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68019.988</v>
      </c>
      <c r="C90" s="31"/>
      <c r="D90" s="31"/>
      <c r="E90" s="22"/>
      <c r="F90" s="24" t="s">
        <v>106</v>
      </c>
      <c r="G90" s="26" t="n">
        <f aca="false">F37</f>
        <v>68019.988</v>
      </c>
      <c r="H90" s="32"/>
      <c r="J90" s="24" t="s">
        <v>106</v>
      </c>
      <c r="K90" s="26" t="n">
        <f aca="false">P167</f>
        <v>37769.996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53361.239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53361.239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4379.8532592462</v>
      </c>
      <c r="C95" s="31"/>
      <c r="D95" s="31"/>
      <c r="E95" s="22"/>
      <c r="F95" s="30" t="s">
        <v>111</v>
      </c>
      <c r="G95" s="32" t="n">
        <f aca="false">(G91/((1+G93)^(G94+1)))</f>
        <v>5020.31079273804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63640.1347407538</v>
      </c>
      <c r="C97" s="31"/>
      <c r="D97" s="31"/>
      <c r="E97" s="22"/>
      <c r="F97" s="30" t="s">
        <v>113</v>
      </c>
      <c r="G97" s="32" t="n">
        <f aca="false">G90-G95</f>
        <v>62999.677207262</v>
      </c>
      <c r="H97" s="32"/>
      <c r="J97" s="30" t="s">
        <v>113</v>
      </c>
      <c r="K97" s="32" t="n">
        <f aca="false">K90-K95</f>
        <v>37769.996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53352.6797086168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53352.6797086168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2318.69852462294</v>
      </c>
      <c r="C98" s="31"/>
      <c r="D98" s="31"/>
      <c r="E98" s="22"/>
      <c r="F98" s="30" t="s">
        <v>114</v>
      </c>
      <c r="G98" s="32" t="n">
        <f aca="false">(G97/G96)</f>
        <v>2149.60463491719</v>
      </c>
      <c r="H98" s="32"/>
      <c r="J98" s="30" t="s">
        <v>114</v>
      </c>
      <c r="K98" s="32" t="n">
        <f aca="false">(K97/K96)</f>
        <v>1574.50011195851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1965.34573907976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1965.34573907976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74198.3527879342</v>
      </c>
      <c r="C99" s="31"/>
      <c r="D99" s="31"/>
      <c r="E99" s="22"/>
      <c r="F99" s="30" t="s">
        <v>115</v>
      </c>
      <c r="G99" s="32" t="n">
        <f aca="false">((G98*(G94))+G86)</f>
        <v>68787.3483173502</v>
      </c>
      <c r="H99" s="32"/>
      <c r="J99" s="30" t="s">
        <v>115</v>
      </c>
      <c r="K99" s="32" t="n">
        <f aca="false">((K98*(K94))+K86)</f>
        <v>51958.5036946307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62891.0636505523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62891.0636505523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74198.3527879342</v>
      </c>
      <c r="C101" s="31"/>
      <c r="D101" s="31"/>
      <c r="E101" s="22"/>
      <c r="F101" s="55" t="s">
        <v>117</v>
      </c>
      <c r="G101" s="64" t="n">
        <f aca="false">(G99+G100)</f>
        <v>68787.3483173502</v>
      </c>
      <c r="H101" s="32"/>
      <c r="J101" s="55" t="s">
        <v>117</v>
      </c>
      <c r="K101" s="64" t="n">
        <f aca="false">(K99+K100)</f>
        <v>51958.5036946307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62891.0636505523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62891.0636505523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2318.69852462294</v>
      </c>
      <c r="C104" s="31"/>
      <c r="D104" s="31"/>
      <c r="E104" s="22"/>
      <c r="F104" s="94" t="s">
        <v>119</v>
      </c>
      <c r="G104" s="95" t="n">
        <f aca="false">G101/(G94)</f>
        <v>2149.60463491719</v>
      </c>
      <c r="H104" s="32"/>
      <c r="J104" s="94" t="s">
        <v>119</v>
      </c>
      <c r="K104" s="95" t="n">
        <f aca="false">K101/(K94)</f>
        <v>1574.50011195851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1965.34573907976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1965.34573907976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2318.69852462294</v>
      </c>
      <c r="C105" s="31"/>
      <c r="D105" s="31"/>
      <c r="E105" s="22" t="s">
        <v>19</v>
      </c>
      <c r="F105" s="96" t="s">
        <v>120</v>
      </c>
      <c r="G105" s="97" t="n">
        <f aca="false">G103+G104</f>
        <v>2149.60463491719</v>
      </c>
      <c r="H105" s="32"/>
      <c r="J105" s="96" t="s">
        <v>120</v>
      </c>
      <c r="K105" s="97" t="n">
        <f aca="false">(K103+K104)</f>
        <v>1574.50011195851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1965.34573907976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1965.34573907976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390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393</v>
      </c>
      <c r="B120" s="106" t="n">
        <v>0.0</v>
      </c>
      <c r="C120" s="106"/>
      <c r="D120" s="106"/>
      <c r="E120" s="106" t="n">
        <v>0.0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406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55495.83</v>
      </c>
      <c r="C130" s="39" t="n">
        <f aca="false">B130</f>
        <v>55495.83</v>
      </c>
      <c r="D130" s="24" t="n">
        <f aca="false">D3</f>
        <v>0</v>
      </c>
      <c r="E130" s="39" t="n">
        <f aca="false">D130</f>
        <v>0</v>
      </c>
      <c r="F130" s="24" t="n">
        <f aca="false">F3</f>
        <v>833.33</v>
      </c>
      <c r="G130" s="39" t="n">
        <f aca="false">F130</f>
        <v>833.33</v>
      </c>
      <c r="H130" s="121" t="n">
        <f aca="false">H3</f>
        <v>0</v>
      </c>
      <c r="J130" s="24" t="s">
        <v>150</v>
      </c>
      <c r="K130" s="24" t="n">
        <f aca="false">B3</f>
        <v>55495.83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833.33</v>
      </c>
      <c r="P130" s="39" t="n">
        <f aca="false">O130</f>
        <v>833.33</v>
      </c>
      <c r="Q130" s="121" t="n">
        <f aca="false">H3</f>
        <v>0</v>
      </c>
      <c r="S130" s="24" t="s">
        <v>150</v>
      </c>
      <c r="T130" s="24" t="n">
        <f aca="false">B3</f>
        <v>55495.83</v>
      </c>
      <c r="U130" s="39" t="n">
        <f aca="false">T130</f>
        <v>55495.83</v>
      </c>
      <c r="V130" s="24" t="n">
        <f aca="false">D3</f>
        <v>0</v>
      </c>
      <c r="W130" s="39" t="n">
        <f aca="false">V130</f>
        <v>0</v>
      </c>
      <c r="X130" s="24" t="n">
        <f aca="false">F3</f>
        <v>833.33</v>
      </c>
      <c r="Y130" s="39" t="n">
        <f aca="false">X130</f>
        <v>833.33</v>
      </c>
      <c r="Z130" s="121" t="n">
        <f aca="false">H3</f>
        <v>0</v>
      </c>
      <c r="AB130" s="24" t="s">
        <v>150</v>
      </c>
      <c r="AC130" s="24" t="n">
        <f aca="false">B3</f>
        <v>55495.83</v>
      </c>
      <c r="AD130" s="39" t="n">
        <f aca="false">AC130</f>
        <v>55495.83</v>
      </c>
      <c r="AE130" s="24" t="n">
        <f aca="false">D3</f>
        <v>0</v>
      </c>
      <c r="AF130" s="39" t="n">
        <f aca="false">AE130</f>
        <v>0</v>
      </c>
      <c r="AG130" s="24" t="n">
        <f aca="false">F3</f>
        <v>833.33</v>
      </c>
      <c r="AH130" s="39" t="n">
        <f aca="false">AG130</f>
        <v>833.33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13873.9575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13873.9575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55495.83</v>
      </c>
      <c r="C134" s="64" t="n">
        <f aca="false">C130-C133</f>
        <v>55495.83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833.33</v>
      </c>
      <c r="G134" s="64" t="n">
        <f aca="false">G130-G133</f>
        <v>833.33</v>
      </c>
      <c r="H134" s="64"/>
      <c r="J134" s="55" t="s">
        <v>154</v>
      </c>
      <c r="K134" s="55" t="n">
        <f aca="false">K130-K133</f>
        <v>55495.83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833.33</v>
      </c>
      <c r="P134" s="64" t="n">
        <f aca="false">P130-P133</f>
        <v>833.33</v>
      </c>
      <c r="Q134" s="64"/>
      <c r="S134" s="55" t="s">
        <v>154</v>
      </c>
      <c r="T134" s="55" t="n">
        <f aca="false">T130-T133</f>
        <v>55495.83</v>
      </c>
      <c r="U134" s="64" t="n">
        <f aca="false">U130-U133</f>
        <v>41621.8725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833.33</v>
      </c>
      <c r="Y134" s="64" t="n">
        <f aca="false">Y130-Y133</f>
        <v>833.33</v>
      </c>
      <c r="Z134" s="64"/>
      <c r="AB134" s="55" t="s">
        <v>154</v>
      </c>
      <c r="AC134" s="55" t="n">
        <f aca="false">AC130-AC133</f>
        <v>55495.83</v>
      </c>
      <c r="AD134" s="64" t="n">
        <f aca="false">AD130-AD133</f>
        <v>41621.8725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833.33</v>
      </c>
      <c r="AH134" s="64" t="n">
        <f aca="false">AH130-AH133</f>
        <v>833.33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56329.16</v>
      </c>
      <c r="H144" s="152" t="n">
        <f aca="false">C134+E134+G134+H137</f>
        <v>56329.16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56329.16</v>
      </c>
      <c r="Q144" s="152" t="n">
        <f aca="false">L134+N134+P134+Q137</f>
        <v>29462.5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56329.16</v>
      </c>
      <c r="Z144" s="152" t="n">
        <f aca="false">U134+W134+Y134+Z137</f>
        <v>42455.2025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56329.16</v>
      </c>
      <c r="AI144" s="152" t="n">
        <f aca="false">AD134+AF134+AH134+AI137</f>
        <v>42455.2025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645.83</v>
      </c>
      <c r="H145" s="32" t="n">
        <f aca="false">G145</f>
        <v>645.83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645.83</v>
      </c>
      <c r="Q145" s="32" t="n">
        <f aca="false">P145</f>
        <v>645.83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645.83</v>
      </c>
      <c r="Z145" s="32" t="n">
        <f aca="false">Y145</f>
        <v>645.83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645.83</v>
      </c>
      <c r="AI145" s="32" t="n">
        <f aca="false">AH145</f>
        <v>645.83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11394.998</v>
      </c>
      <c r="H146" s="32" t="n">
        <f aca="false">(H144+H145)*20%</f>
        <v>11394.998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11394.998</v>
      </c>
      <c r="Q146" s="32" t="n">
        <f aca="false">(Q144+Q145)*20%</f>
        <v>6021.666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11394.998</v>
      </c>
      <c r="Z146" s="32" t="n">
        <f aca="false">(Z144+Z145)*20%</f>
        <v>8620.2065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11394.998</v>
      </c>
      <c r="AI146" s="32" t="n">
        <f aca="false">(AI144+AI145)*20%</f>
        <v>8620.2065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585</v>
      </c>
      <c r="H148" s="32" t="n">
        <f aca="false">G148</f>
        <v>585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585</v>
      </c>
      <c r="Q148" s="32" t="n">
        <f aca="false">P148</f>
        <v>585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585</v>
      </c>
      <c r="Z148" s="32" t="n">
        <f aca="false">Y148</f>
        <v>585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585</v>
      </c>
      <c r="AI148" s="32" t="n">
        <f aca="false">AH148</f>
        <v>585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69019.988</v>
      </c>
      <c r="H150" s="156" t="n">
        <f aca="false">(H144+H145+H148+H149+H146)-H147</f>
        <v>69019.988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69019.988</v>
      </c>
      <c r="Q150" s="156" t="n">
        <f aca="false">(Q144+Q145+Q148+Q149+Q146)-Q147</f>
        <v>36769.996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69019.988</v>
      </c>
      <c r="Z150" s="156" t="n">
        <f aca="false">(Z144+Z145+Z148+Z149+Z146)-Z147</f>
        <v>52361.239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69019.988</v>
      </c>
      <c r="AI150" s="156" t="n">
        <f aca="false">(AI144+AI145+AI148+AI149+AI146)-AI147</f>
        <v>52361.239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69019.988</v>
      </c>
      <c r="H156" s="163" t="n">
        <f aca="false">H150-((H153*1.2)+(H154*1.2)+(H155*1.2)+(H151*1.2))</f>
        <v>69019.988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69019.988</v>
      </c>
      <c r="Q156" s="163" t="n">
        <f aca="false">Q150-((Q153*1.2)+(Q154*1.2)+(Q155*1.2)+(Q151*1.2))</f>
        <v>36769.996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69019.988</v>
      </c>
      <c r="Z156" s="163" t="n">
        <f aca="false">Z150-((Z153*1.2)+(Z154*1.2)+(Z155*1.2)+(Z151*1.2))</f>
        <v>52361.239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69019.988</v>
      </c>
      <c r="AI156" s="163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-56683.3233333333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-32249.992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-16658.749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-16658.749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0.0</v>
      </c>
      <c r="F161" s="106"/>
      <c r="G161" s="106" t="n">
        <v>0.0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0.0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69019.988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37769.996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53361.239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53361.239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6000.0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2318.69852462294</v>
      </c>
      <c r="B176" s="176" t="n">
        <f aca="false">B103</f>
        <v>0</v>
      </c>
      <c r="C176" s="173"/>
      <c r="D176" s="173"/>
      <c r="E176" s="176" t="n">
        <f aca="false">B105</f>
        <v>2318.69852462294</v>
      </c>
      <c r="F176" s="22"/>
      <c r="G176" s="22" t="n">
        <f aca="false">ROUND(G104,2)</f>
        <v>2149.6</v>
      </c>
      <c r="H176" s="32"/>
      <c r="J176" s="175" t="n">
        <f aca="false">K104</f>
        <v>1574.50011195851</v>
      </c>
      <c r="K176" s="177" t="n">
        <f aca="false">K103</f>
        <v>0</v>
      </c>
      <c r="L176" s="174"/>
      <c r="M176" s="174"/>
      <c r="N176" s="177" t="n">
        <f aca="false">K105</f>
        <v>1574.50011195851</v>
      </c>
      <c r="O176" s="22"/>
      <c r="P176" s="22"/>
      <c r="Q176" s="32"/>
      <c r="S176" s="175" t="n">
        <f aca="false">T104</f>
        <v>1965.34573907976</v>
      </c>
      <c r="T176" s="177" t="n">
        <f aca="false">T103</f>
        <v>0</v>
      </c>
      <c r="U176" s="174"/>
      <c r="V176" s="174"/>
      <c r="W176" s="177" t="n">
        <f aca="false">T105</f>
        <v>1965.34573907976</v>
      </c>
      <c r="X176" s="22"/>
      <c r="Y176" s="22"/>
      <c r="Z176" s="32"/>
      <c r="AB176" s="175" t="n">
        <f aca="false">AC104</f>
        <v>1965.34573907976</v>
      </c>
      <c r="AC176" s="177" t="n">
        <f aca="false">AC103</f>
        <v>0</v>
      </c>
      <c r="AD176" s="174"/>
      <c r="AE176" s="174"/>
      <c r="AF176" s="177" t="n">
        <f aca="false">AC105</f>
        <v>1965.34573907976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56974.99</v>
      </c>
      <c r="B182" s="102" t="n">
        <f aca="false">H146</f>
        <v>11394.998</v>
      </c>
      <c r="C182" s="185"/>
      <c r="D182" s="22"/>
      <c r="E182" s="181" t="n">
        <f aca="false">H148+H149</f>
        <v>650</v>
      </c>
      <c r="F182" s="22"/>
      <c r="G182" s="22"/>
      <c r="H182" s="32"/>
      <c r="J182" s="184" t="n">
        <f aca="false">Q150-Q146-Q148-Q149</f>
        <v>30108.33</v>
      </c>
      <c r="K182" s="37" t="n">
        <f aca="false">Q146</f>
        <v>6021.666</v>
      </c>
      <c r="L182" s="42"/>
      <c r="M182" s="22"/>
      <c r="N182" s="183" t="n">
        <f aca="false">Q148+Q149</f>
        <v>640</v>
      </c>
      <c r="O182" s="22"/>
      <c r="P182" s="22"/>
      <c r="Q182" s="32"/>
      <c r="S182" s="184" t="n">
        <f aca="false">Z150-Z146-Z148-Z149</f>
        <v>43101.0325</v>
      </c>
      <c r="T182" s="37" t="n">
        <f aca="false">Z146</f>
        <v>8620.2065</v>
      </c>
      <c r="U182" s="42"/>
      <c r="V182" s="22"/>
      <c r="W182" s="183" t="n">
        <f aca="false">Z148+Z149</f>
        <v>640</v>
      </c>
      <c r="X182" s="22"/>
      <c r="Y182" s="22"/>
      <c r="Z182" s="32"/>
      <c r="AB182" s="184" t="n">
        <f aca="false">AI150-AI146-AI148-AI149</f>
        <v>43101.0325</v>
      </c>
      <c r="AC182" s="37" t="n">
        <f aca="false">AI146</f>
        <v>8620.2065</v>
      </c>
      <c r="AD182" s="42"/>
      <c r="AE182" s="22"/>
      <c r="AF182" s="183" t="n">
        <f aca="false">AI148+AI149</f>
        <v>640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69019.988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36769.996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52361.239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52361.239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69019.988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37769.996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53361.239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53361.239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11178.3647879342</v>
      </c>
      <c r="B191" s="102" t="str">
        <f aca="false">B123</f>
        <v>239.99</v>
      </c>
      <c r="C191" s="102"/>
      <c r="D191" s="22"/>
      <c r="E191" s="102" t="n">
        <f aca="false">E188+A191+B191+A194</f>
        <v>80448.3427879342</v>
      </c>
      <c r="F191" s="22"/>
      <c r="G191" s="22"/>
      <c r="H191" s="104"/>
      <c r="J191" s="110" t="n">
        <f aca="false">(J176*K68)+N194-N188-J194</f>
        <v>12626.0075826722</v>
      </c>
      <c r="K191" s="37" t="n">
        <f aca="false">K123</f>
        <v>239.99</v>
      </c>
      <c r="L191" s="37"/>
      <c r="M191" s="22"/>
      <c r="N191" s="37" t="n">
        <f aca="false">N188+J191+K191+J194</f>
        <v>50655.9935826722</v>
      </c>
      <c r="O191" s="22"/>
      <c r="P191" s="22"/>
      <c r="Q191" s="104"/>
      <c r="S191" s="110" t="n">
        <f aca="false">(S176*T68)+W194-W188-S194</f>
        <v>9541.82465055225</v>
      </c>
      <c r="T191" s="37" t="n">
        <f aca="false">T123</f>
        <v>199.99</v>
      </c>
      <c r="U191" s="37"/>
      <c r="V191" s="22"/>
      <c r="W191" s="37" t="n">
        <f aca="false">W188+S191+T191+S194</f>
        <v>63113.0536505523</v>
      </c>
      <c r="X191" s="22"/>
      <c r="Y191" s="22"/>
      <c r="Z191" s="104"/>
      <c r="AB191" s="110" t="n">
        <f aca="false">(AB176*AC68)+AF194-AF188-AB194</f>
        <v>9541.82465055225</v>
      </c>
      <c r="AC191" s="37" t="n">
        <f aca="false">AC123</f>
        <v>239.99</v>
      </c>
      <c r="AD191" s="37"/>
      <c r="AE191" s="22"/>
      <c r="AF191" s="37" t="n">
        <f aca="false">AF188+AB191+AC191+AB194</f>
        <v>63153.0536505523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16.40879712</v>
      </c>
      <c r="B197" s="102" t="n">
        <f aca="false">(G167*B76)/1.2</f>
        <v>539.21865625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0.138039976</v>
      </c>
      <c r="K197" s="37" t="n">
        <f aca="false">(P167*K76)/1.2</f>
        <v>2262.26538541667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416.8846796875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416.8846796875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639.210322916667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3402.25538541667</v>
      </c>
      <c r="L200" s="31"/>
      <c r="M200" s="31"/>
      <c r="N200" s="37" t="n">
        <f aca="false">Q157</f>
        <v>-32249.992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1516.8746796875</v>
      </c>
      <c r="U200" s="31"/>
      <c r="V200" s="31"/>
      <c r="W200" s="37" t="n">
        <f aca="false">Z157</f>
        <v>-16658.749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1556.8746796875</v>
      </c>
      <c r="AD200" s="31"/>
      <c r="AE200" s="31"/>
      <c r="AF200" s="37" t="n">
        <f aca="false">AI157</f>
        <v>-16658.749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2318.69852462294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1574.50011195851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1965.34573907976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1965.34573907976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5767.21199999999</v>
      </c>
      <c r="B210" s="185" t="n">
        <f aca="false">E188+A210+B191+A194</f>
        <v>75037.19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2318.69852462294</v>
      </c>
      <c r="B221" s="176" t="n">
        <f aca="false">B176</f>
        <v>0</v>
      </c>
      <c r="C221" s="173"/>
      <c r="D221" s="173"/>
      <c r="E221" s="176" t="n">
        <f aca="false">E176</f>
        <v>2318.69852462294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56974.99</v>
      </c>
      <c r="B224" s="102" t="n">
        <f aca="false">B182</f>
        <v>11394.998</v>
      </c>
      <c r="C224" s="185"/>
      <c r="D224" s="112"/>
      <c r="E224" s="181" t="n">
        <f aca="false">E182</f>
        <v>650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69019.988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69019.988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11178.3647879342</v>
      </c>
      <c r="B233" s="102" t="str">
        <f aca="false">B191</f>
        <v>239.99</v>
      </c>
      <c r="C233" s="102"/>
      <c r="D233" s="112"/>
      <c r="E233" s="102" t="n">
        <f aca="false">E191</f>
        <v>80448.3427879342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2318.69852462294</v>
      </c>
      <c r="B239" s="102" t="n">
        <f aca="false">B176</f>
        <v>0</v>
      </c>
      <c r="C239" s="185"/>
      <c r="D239" s="185"/>
      <c r="E239" s="102" t="n">
        <f aca="false">E176</f>
        <v>2318.69852462294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49.22639136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16.40879712</v>
      </c>
      <c r="B245" s="102" t="n">
        <f aca="false">E242+A245</f>
        <v>65.63518848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539.21865625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639.210322916667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5421.1527879342</v>
      </c>
      <c r="C263" s="196"/>
      <c r="D263" s="197" t="s">
        <v>217</v>
      </c>
      <c r="E263" s="197"/>
      <c r="F263" s="199" t="n">
        <f aca="false">F270+F276+F278+B279+B280</f>
        <v>647.0623875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4874.08206710087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5421.1527879342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647.0623875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4874.08206710087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9" activeCellId="0" sqref="B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18541.67</v>
      </c>
      <c r="C2" s="4" t="s">
        <v>2</v>
      </c>
      <c r="D2" s="5" t="n">
        <f aca="false">C9</f>
        <v>3708.334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22250.004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18541.67</v>
      </c>
      <c r="C9" s="9" t="n">
        <f aca="false">B9*0.2</f>
        <v>3708.334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18541.67</v>
      </c>
      <c r="C15" s="9" t="n">
        <f aca="false">SUM(C9:C13)</f>
        <v>3708.334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22250.004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18541.67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582.993997724197</v>
      </c>
      <c r="E33" s="215"/>
      <c r="F33" s="62"/>
      <c r="G33" s="218" t="s">
        <v>356</v>
      </c>
      <c r="H33" s="456" t="n">
        <f aca="false">E21-E11</f>
        <v>18541.67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582.993997724197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18541.67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-25984.2395313712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18541.67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582.993997724197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582.993997724197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582.993997724197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22250.004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37405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0.103541666666667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2303.8024975</v>
      </c>
      <c r="C64" s="461" t="n">
        <v>10000</v>
      </c>
      <c r="D64" s="290" t="n">
        <f aca="false">B64</f>
        <v>2303.8024975</v>
      </c>
      <c r="E64" s="462" t="n">
        <f aca="false">D64/(B58+B57)</f>
        <v>65.8229285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435.729245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495</v>
      </c>
      <c r="C76" s="214"/>
      <c r="D76" s="290" t="n">
        <f aca="false">B76</f>
        <v>495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36.2857142857143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4240.46916416667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121.156261833333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582.993997724197</v>
      </c>
      <c r="C83" s="469"/>
      <c r="D83" s="214"/>
      <c r="E83" s="462" t="n">
        <f aca="false">B83+E80+E77+E64</f>
        <v>697.801053208324</v>
      </c>
      <c r="F83" s="62"/>
      <c r="G83" s="304" t="s">
        <v>105</v>
      </c>
      <c r="H83" s="305" t="n">
        <f aca="false">H47</f>
        <v>582.993997724197</v>
      </c>
      <c r="I83" s="214"/>
      <c r="J83" s="214"/>
      <c r="K83" s="215"/>
      <c r="L83" s="62"/>
      <c r="M83" s="304" t="s">
        <v>105</v>
      </c>
      <c r="N83" s="305" t="n">
        <f aca="false">H47</f>
        <v>582.993997724197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24645.2590845135</v>
      </c>
      <c r="C85" s="469"/>
      <c r="D85" s="469"/>
      <c r="E85" s="462" t="n">
        <f aca="false">B85/(B58+B57)</f>
        <v>704.15025955753</v>
      </c>
      <c r="F85" s="62"/>
      <c r="G85" s="287" t="s">
        <v>115</v>
      </c>
      <c r="H85" s="130" t="n">
        <f aca="false">((H83*H29)+H81)*1.2</f>
        <v>25742.7479044163</v>
      </c>
      <c r="I85" s="214"/>
      <c r="J85" s="214"/>
      <c r="K85" s="215"/>
      <c r="L85" s="62"/>
      <c r="M85" s="287" t="s">
        <v>115</v>
      </c>
      <c r="N85" s="130" t="n">
        <f aca="false">((N83*H29)+N81)</f>
        <v>21122.2899203469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208.773876875669</v>
      </c>
      <c r="C86" s="469" t="s">
        <v>231</v>
      </c>
      <c r="D86" s="214"/>
      <c r="E86" s="462" t="n">
        <f aca="false">B86/(B58+B57)</f>
        <v>5.96496791073341</v>
      </c>
      <c r="F86" s="62"/>
      <c r="G86" s="213" t="s">
        <v>116</v>
      </c>
      <c r="H86" s="299" t="n">
        <f aca="false">((((H83*H29)+H81))/(1-H70))*H70</f>
        <v>181.725731475306</v>
      </c>
      <c r="I86" s="214"/>
      <c r="J86" s="214"/>
      <c r="K86" s="215"/>
      <c r="L86" s="62"/>
      <c r="M86" s="213" t="s">
        <v>116</v>
      </c>
      <c r="N86" s="299" t="n">
        <f aca="false">(N85/(1-N70))*N70</f>
        <v>178.930249426093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24854.0329613892</v>
      </c>
      <c r="C87" s="469"/>
      <c r="D87" s="471"/>
      <c r="E87" s="462" t="n">
        <f aca="false">E86+E85</f>
        <v>710.115227468263</v>
      </c>
      <c r="F87" s="62"/>
      <c r="G87" s="284" t="s">
        <v>117</v>
      </c>
      <c r="H87" s="132" t="n">
        <f aca="false">IF(H110="YES",((H85+H86)-K114),(H85+H86))</f>
        <v>25924.4736358916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21301.220169773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710.115227468263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648.111840897289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532.530504244324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710.115227468263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648.111840897289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532.530504244324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648.111840897289</v>
      </c>
      <c r="H127" s="176" t="n">
        <f aca="false">IF(G105="YES",H89*H57,0)</f>
        <v>0</v>
      </c>
      <c r="I127" s="176"/>
      <c r="J127" s="333" t="n">
        <f aca="false">H91</f>
        <v>648.111840897289</v>
      </c>
      <c r="K127" s="215"/>
      <c r="L127" s="62"/>
      <c r="M127" s="332" t="n">
        <f aca="false">N90</f>
        <v>532.530504244324</v>
      </c>
      <c r="N127" s="176" t="n">
        <f aca="false">IF(M105="YES",N89*N57,0)</f>
        <v>0</v>
      </c>
      <c r="O127" s="176"/>
      <c r="P127" s="176" t="n">
        <f aca="false">N91</f>
        <v>532.530504244324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710.115227468263</v>
      </c>
      <c r="B128" s="320" t="n">
        <f aca="false">IF(A105="YES",B89,0)</f>
        <v>0</v>
      </c>
      <c r="C128" s="324"/>
      <c r="D128" s="320" t="n">
        <f aca="false">B91</f>
        <v>710.115227468263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710.115227468263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3888.67104538373</v>
      </c>
      <c r="H133" s="102" t="n">
        <f aca="false">IF(G105="YES",H89*H57,0)</f>
        <v>0</v>
      </c>
      <c r="I133" s="220"/>
      <c r="J133" s="183" t="n">
        <f aca="false">H91*H57</f>
        <v>3888.67104538373</v>
      </c>
      <c r="K133" s="215"/>
      <c r="L133" s="62"/>
      <c r="M133" s="184" t="n">
        <f aca="false">N90*N57</f>
        <v>3195.18302546595</v>
      </c>
      <c r="N133" s="102" t="n">
        <f aca="false">IF(M105="YES",N89*N57,0)</f>
        <v>0</v>
      </c>
      <c r="O133" s="220"/>
      <c r="P133" s="183" t="n">
        <f aca="false">N91*N57</f>
        <v>3195.18302546595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710.115227468263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710.115227468263</v>
      </c>
      <c r="B137" s="37" t="n">
        <f aca="false">IF(A105="YES",B89,0)</f>
        <v>0</v>
      </c>
      <c r="C137" s="316"/>
      <c r="D137" s="37" t="n">
        <f aca="false">B91</f>
        <v>710.115227468263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22.443</v>
      </c>
      <c r="B140" s="342" t="n">
        <f aca="false">IF(A105="YES",B61*0.000002,0)*100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435.729245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935.719245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648.111840897289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532.530504244324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710.115227468263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710.115227468263</v>
      </c>
      <c r="B177" s="354" t="n">
        <f aca="false">IF(A105="YES",B89,0)</f>
        <v>0</v>
      </c>
      <c r="C177" s="356"/>
      <c r="D177" s="354" t="n">
        <f aca="false">B91</f>
        <v>710.115227468263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710.115227468263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710.115227468263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710.115227468263</v>
      </c>
      <c r="B186" s="102" t="n">
        <f aca="false">IF(A105="YES",B89,0)</f>
        <v>0</v>
      </c>
      <c r="C186" s="352"/>
      <c r="D186" s="102" t="n">
        <f aca="false">B91</f>
        <v>710.115227468263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22.443</v>
      </c>
      <c r="B189" s="364" t="n">
        <f aca="false">B140</f>
        <v>7.481</v>
      </c>
      <c r="C189" s="352"/>
      <c r="D189" s="364" t="n">
        <f aca="false">A189+B189</f>
        <v>29.924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435.729245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935.719245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2303.8024975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435.729245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2208.0632525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2303.8024975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435.729245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2208.0632525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208.773876875669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21166.67</v>
      </c>
      <c r="C7" s="154" t="n">
        <f aca="false">C3-C6</f>
        <v>0</v>
      </c>
      <c r="D7" s="154" t="n">
        <f aca="false">D3-D6</f>
        <v>479.17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295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 t="n">
        <f aca="false">(B7+C7+D7+E3)</f>
        <v>21645.84</v>
      </c>
      <c r="F9" s="151"/>
      <c r="G9" s="135"/>
      <c r="H9" s="439" t="n">
        <f aca="false">B7+D7+F7+H3</f>
        <v>21645.84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22291.67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4"/>
      <c r="H11" s="32" t="n">
        <f aca="false">(H9+H10)*20%</f>
        <v>4458.334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27045.004</v>
      </c>
      <c r="I15" s="2"/>
      <c r="J15" s="16" t="n">
        <f aca="false">H15</f>
        <v>27045.004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26750.004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27045.004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13.41</v>
      </c>
      <c r="E32" s="225"/>
      <c r="F32" s="62"/>
      <c r="G32" s="226" t="s">
        <v>243</v>
      </c>
      <c r="H32" s="224" t="n">
        <f aca="false">A41</f>
        <v>13.41</v>
      </c>
      <c r="J32" s="43" t="s">
        <v>37</v>
      </c>
      <c r="K32" s="44" t="s">
        <v>399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513.41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26045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13.41</v>
      </c>
      <c r="B41" s="240" t="n">
        <f aca="false">IF(B38="YES",D38+A41,D38)</f>
        <v>513.41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13.41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513.773636363636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513.773636363636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26750.004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24745.7297826854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253.5469125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26045</v>
      </c>
      <c r="C81" s="92"/>
      <c r="D81" s="92"/>
      <c r="E81" s="112"/>
      <c r="F81" s="24" t="s">
        <v>106</v>
      </c>
      <c r="G81" s="26" t="n">
        <f aca="false">B81</f>
        <v>26045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21665.1467407538</v>
      </c>
      <c r="C88" s="92" t="n">
        <f aca="false">B81-B86</f>
        <v>21665.1467407538</v>
      </c>
      <c r="D88" s="92"/>
      <c r="E88" s="112"/>
      <c r="F88" s="30" t="s">
        <v>113</v>
      </c>
      <c r="G88" s="32" t="n">
        <f aca="false">G81-G86</f>
        <v>21024.689207262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789.359481845283</v>
      </c>
      <c r="C89" s="92" t="n">
        <f aca="false">(B88/B87)</f>
        <v>789.359481845283</v>
      </c>
      <c r="D89" s="92"/>
      <c r="E89" s="112"/>
      <c r="F89" s="30" t="s">
        <v>114</v>
      </c>
      <c r="G89" s="32" t="n">
        <f aca="false">(G88/G87)</f>
        <v>717.380967190324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25259.5034190491</v>
      </c>
      <c r="C90" s="92"/>
      <c r="D90" s="92"/>
      <c r="E90" s="112"/>
      <c r="F90" s="30" t="s">
        <v>115</v>
      </c>
      <c r="G90" s="32" t="n">
        <f aca="false">((G89*(G85))+G77)</f>
        <v>22956.1909500904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25259.5034190491</v>
      </c>
      <c r="C92" s="92"/>
      <c r="D92" s="92"/>
      <c r="E92" s="112"/>
      <c r="F92" s="55" t="s">
        <v>117</v>
      </c>
      <c r="G92" s="64" t="n">
        <f aca="false">(G90+G91)</f>
        <v>22956.1909500904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21.5733375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789.359481845283</v>
      </c>
      <c r="C95" s="92"/>
      <c r="D95" s="92"/>
      <c r="E95" s="112"/>
      <c r="F95" s="94" t="s">
        <v>119</v>
      </c>
      <c r="G95" s="95" t="n">
        <f aca="false">G92/(G85)</f>
        <v>717.380967190324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810.932819345283</v>
      </c>
      <c r="C96" s="92"/>
      <c r="D96" s="92"/>
      <c r="E96" s="112"/>
      <c r="F96" s="96" t="s">
        <v>120</v>
      </c>
      <c r="G96" s="97" t="n">
        <f aca="false">G94+G95</f>
        <v>717.380967190324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392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21166.67</v>
      </c>
      <c r="C121" s="120" t="n">
        <f aca="false">B121</f>
        <v>21166.67</v>
      </c>
      <c r="D121" s="119" t="n">
        <f aca="false">D3</f>
        <v>479.17</v>
      </c>
      <c r="E121" s="120" t="n">
        <f aca="false">D121</f>
        <v>479.17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21166.67</v>
      </c>
      <c r="C125" s="132" t="n">
        <f aca="false">C121-C124</f>
        <v>21166.67</v>
      </c>
      <c r="D125" s="131" t="n">
        <f aca="false">D121-D124</f>
        <v>479.17</v>
      </c>
      <c r="E125" s="132" t="n">
        <f aca="false">E121-E124</f>
        <v>479.17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21645.84</v>
      </c>
      <c r="H135" s="152" t="n">
        <f aca="false">C125+E125+G125+H128</f>
        <v>21645.84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4458.334</v>
      </c>
      <c r="H137" s="32" t="n">
        <f aca="false">(H135+H136)*20%</f>
        <v>4458.334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230</v>
      </c>
      <c r="H139" s="32" t="n">
        <f aca="false">G139</f>
        <v>230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27045.004</v>
      </c>
      <c r="H141" s="156" t="n">
        <f aca="false">(H135+H136+H139+H140+H137)-H138</f>
        <v>27045.004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27045.004</v>
      </c>
      <c r="H147" s="163" t="n">
        <f aca="false">H141-((H144*1.2)+(H145*1.2)+(H146*1.2)+(H142*1.2))</f>
        <v>27045.004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-21704.1666666667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27045.004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789.359481845283</v>
      </c>
      <c r="B167" s="176" t="n">
        <f aca="false">B94</f>
        <v>21.5733375</v>
      </c>
      <c r="C167" s="173"/>
      <c r="D167" s="173"/>
      <c r="E167" s="176" t="n">
        <f aca="false">B96</f>
        <v>810.932819345283</v>
      </c>
      <c r="F167" s="22"/>
      <c r="G167" s="22" t="n">
        <f aca="false">ROUND(G95,2)</f>
        <v>717.38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22291.67</v>
      </c>
      <c r="B173" s="102" t="n">
        <f aca="false">H137</f>
        <v>4458.334</v>
      </c>
      <c r="C173" s="185"/>
      <c r="D173" s="22"/>
      <c r="E173" s="181" t="n">
        <f aca="false">H139+H140</f>
        <v>295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27045.004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27045.004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4214.49941904906</v>
      </c>
      <c r="B182" s="102" t="str">
        <f aca="false">B114</f>
        <v>239.99</v>
      </c>
      <c r="C182" s="102"/>
      <c r="D182" s="22"/>
      <c r="E182" s="102" t="n">
        <f aca="false">E179+A182+B182+A185</f>
        <v>31509.4934190491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6.42000096</v>
      </c>
      <c r="B188" s="102" t="n">
        <f aca="false">(G158*B67)/1.2</f>
        <v>211.28909375</v>
      </c>
      <c r="C188" s="92"/>
      <c r="D188" s="92"/>
      <c r="E188" s="102" t="n">
        <f aca="false">IF(E105="YES",(H36*A108)*0.1,0)</f>
        <v>13.2759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324.556660416667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810.932819345283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1911.156</v>
      </c>
      <c r="B201" s="185" t="n">
        <f aca="false">E179+A201+B182+A185</f>
        <v>29206.15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789.359481845283</v>
      </c>
      <c r="B212" s="176" t="n">
        <f aca="false">B167</f>
        <v>21.5733375</v>
      </c>
      <c r="C212" s="173"/>
      <c r="D212" s="173"/>
      <c r="E212" s="176" t="n">
        <f aca="false">E167</f>
        <v>810.932819345283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22291.67</v>
      </c>
      <c r="B215" s="102" t="n">
        <f aca="false">B173</f>
        <v>4458.334</v>
      </c>
      <c r="C215" s="185"/>
      <c r="D215" s="112"/>
      <c r="E215" s="181" t="n">
        <f aca="false">E173</f>
        <v>295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27045.004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27045.004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4214.49941904906</v>
      </c>
      <c r="B224" s="102" t="str">
        <f aca="false">B182</f>
        <v>239.99</v>
      </c>
      <c r="C224" s="102"/>
      <c r="D224" s="112"/>
      <c r="E224" s="102" t="n">
        <f aca="false">E182</f>
        <v>31509.4934190491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789.359481845283</v>
      </c>
      <c r="B230" s="102" t="n">
        <f aca="false">B167</f>
        <v>21.5733375</v>
      </c>
      <c r="C230" s="185"/>
      <c r="D230" s="185"/>
      <c r="E230" s="102" t="n">
        <f aca="false">E167</f>
        <v>810.932819345283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19.26000288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6.42000096</v>
      </c>
      <c r="B236" s="102" t="n">
        <f aca="false">E233+A236</f>
        <v>25.68000384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211.28909375</v>
      </c>
      <c r="C240" s="92"/>
      <c r="D240" s="92"/>
      <c r="E240" s="102" t="n">
        <f aca="false">IF(E105="YES",(H36*A108)*0.1,0)</f>
        <v>13.2759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324.556660416667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2313.34341904906</v>
      </c>
      <c r="C254" s="196"/>
      <c r="D254" s="197" t="s">
        <v>217</v>
      </c>
      <c r="E254" s="197"/>
      <c r="F254" s="199" t="n">
        <f aca="false">F261+F267+F269+B270+B271</f>
        <v>253.5469125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232.750666666667</v>
      </c>
      <c r="C255" s="196"/>
      <c r="D255" s="197" t="s">
        <v>219</v>
      </c>
      <c r="E255" s="197"/>
      <c r="F255" s="199" t="n">
        <f aca="false">(B254-F254)+B255</f>
        <v>2292.54717321572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2313.34341904906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253.5469125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132.759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2292.54717321572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399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392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394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 t="s">
        <v>18</v>
      </c>
      <c r="B120" s="115" t="n">
        <v>0</v>
      </c>
      <c r="C120" s="116" t="s">
        <v>149</v>
      </c>
      <c r="D120" s="115" t="s">
        <v>148</v>
      </c>
      <c r="E120" s="117" t="n">
        <v>0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179" t="str">
        <f aca="false">H30</f>
        <v>5000</v>
      </c>
      <c r="C170" s="180"/>
      <c r="D170" s="22"/>
      <c r="E170" s="181" t="n">
        <v>6000.0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11178.3671197442</v>
      </c>
      <c r="B182" s="102" t="str">
        <f aca="false">B114</f>
        <v>199.99</v>
      </c>
      <c r="C182" s="102"/>
      <c r="D182" s="22"/>
      <c r="E182" s="102" t="n">
        <f aca="false">E179+A182+(B182*1.2)+A185</f>
        <v>80448.3431197443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13.6739976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639.20865625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E179+A201+(B182*1.2)+A185</f>
        <v>75037.188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11178.3671197442</v>
      </c>
      <c r="B224" s="102" t="str">
        <f aca="false">B182</f>
        <v>199.99</v>
      </c>
      <c r="C224" s="102"/>
      <c r="D224" s="112"/>
      <c r="E224" s="102" t="n">
        <f aca="false">E182</f>
        <v>80448.3431197443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41.0219928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13.6739976</v>
      </c>
      <c r="B236" s="102" t="n">
        <f aca="false">E233+A236</f>
        <v>54.6959904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639.20865625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5421.15511974425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4874.08273224425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5421.15511974425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4874.08273224425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399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0.024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408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6000.0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11178.3671197442</v>
      </c>
      <c r="B182" s="102" t="str">
        <f aca="false">B114</f>
        <v>239.99</v>
      </c>
      <c r="C182" s="102"/>
      <c r="D182" s="22"/>
      <c r="E182" s="102" t="n">
        <f aca="false">E179+A182+B182+A185</f>
        <v>80448.3451197443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16.40879712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639.210322916667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E179+A201+B182+A185</f>
        <v>75037.19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11178.3671197442</v>
      </c>
      <c r="B224" s="102" t="str">
        <f aca="false">B182</f>
        <v>239.99</v>
      </c>
      <c r="C224" s="102"/>
      <c r="D224" s="112"/>
      <c r="E224" s="102" t="n">
        <f aca="false">E182</f>
        <v>80448.3451197443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16.40879712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639.210322916667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5421.15511974425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4874.08439891091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5421.15511974425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4874.08439891091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8.19</v>
      </c>
      <c r="E32" s="225"/>
      <c r="F32" s="62"/>
      <c r="G32" s="226" t="s">
        <v>243</v>
      </c>
      <c r="H32" s="224" t="str">
        <f aca="false">A41</f>
        <v>8.19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508.19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416</v>
      </c>
      <c r="B41" s="240" t="n">
        <f aca="false">IF(B38="YES",D38+A41,D38)</f>
        <v>508.19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8.19</v>
      </c>
      <c r="I44" s="391" t="n">
        <f aca="false">((A41*(B35-1))+D32)/B35</f>
        <v>8.19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509.19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509.19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0.0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0.0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6112.56582666667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509.380485555556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12124.5658266667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102.709109463493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12227.2749361302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10.647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1018.93957801085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1029.58657801085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199.99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352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393</v>
      </c>
      <c r="B111" s="311" t="n">
        <v>30.0</v>
      </c>
      <c r="C111" s="311"/>
      <c r="D111" s="106" t="s">
        <v>397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1018.93957801085</v>
      </c>
      <c r="B134" s="320" t="n">
        <f aca="false">IF(A111="YES",B95,0)</f>
        <v>10.647</v>
      </c>
      <c r="C134" s="325"/>
      <c r="D134" s="320" t="n">
        <f aca="false">B97</f>
        <v>1029.58657801085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9170.45620209762</v>
      </c>
      <c r="C137" s="316"/>
      <c r="D137" s="37" t="n">
        <f aca="false">IF(A111="YES",B95*B63,0)</f>
        <v>95.823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9266.27920209762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1018.93957801085</v>
      </c>
      <c r="B143" s="37" t="n">
        <f aca="false">IF(A111="YES",B95,0)</f>
        <v>10.647</v>
      </c>
      <c r="C143" s="316"/>
      <c r="D143" s="37" t="n">
        <f aca="false">B97</f>
        <v>1029.58657801085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1.9656</v>
      </c>
      <c r="H148" s="102" t="n">
        <f aca="false">G108-100</f>
        <v>139.988</v>
      </c>
      <c r="I148" s="102"/>
      <c r="J148" s="102" t="n">
        <f aca="false">(H145+J145+G148+H148)-H151</f>
        <v>1506.82855</v>
      </c>
      <c r="K148" s="104"/>
      <c r="L148" s="62"/>
      <c r="M148" s="110" t="n">
        <f aca="false">IF(M111="YES",((A41*N111)*0.1)*(M133),0)</f>
        <v>1.9656</v>
      </c>
      <c r="N148" s="102" t="n">
        <f aca="false">M108-100</f>
        <v>99.99</v>
      </c>
      <c r="O148" s="102"/>
      <c r="P148" s="102" t="n">
        <f aca="false">(N145+P145+M148+N148)-N151</f>
        <v>1466.83055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2.9484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1186.63828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1029.58657801085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1018.93957801085</v>
      </c>
      <c r="B177" s="354" t="n">
        <f aca="false">IF(A111="YES",B95,0)</f>
        <v>10.647</v>
      </c>
      <c r="C177" s="357"/>
      <c r="D177" s="354" t="n">
        <f aca="false">B91</f>
        <v>12124.5658266667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9170.45620209762</v>
      </c>
      <c r="C180" s="352"/>
      <c r="D180" s="102" t="n">
        <f aca="false">IF(A111="YES",B95*B63,0)</f>
        <v>95.823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9266.27920209762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1018.93957801085</v>
      </c>
      <c r="B186" s="102" t="n">
        <f aca="false">IF(A111="YES",B95,0)</f>
        <v>10.647</v>
      </c>
      <c r="C186" s="352"/>
      <c r="D186" s="102" t="n">
        <f aca="false">B97</f>
        <v>1029.58657801085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2.9484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1186.63828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369.474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4471.67328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4471.67328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29.484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102.709109463493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8.19</v>
      </c>
      <c r="E32" s="225"/>
      <c r="F32" s="62"/>
      <c r="G32" s="226" t="s">
        <v>243</v>
      </c>
      <c r="H32" s="224" t="str">
        <f aca="false">A41</f>
        <v>8.19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508.19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n">
        <f aca="false">IF(B38="YES",D38+A41,D38)</f>
        <v>508.19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8.19</v>
      </c>
      <c r="I44" s="391" t="n">
        <f aca="false">((A41*(B35-1))+D32)/B35</f>
        <v>8.19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509.19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509.19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14601.478992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14704.5551849649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12.7764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1225.37959874708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1238.15599874708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239.99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352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1" t="n">
        <v>0.0</v>
      </c>
      <c r="C111" s="311"/>
      <c r="D111" s="106" t="s">
        <v>397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1225.37959874708</v>
      </c>
      <c r="B134" s="320" t="n">
        <f aca="false">IF(A111="YES",B95,0)</f>
        <v>12.7764</v>
      </c>
      <c r="C134" s="325"/>
      <c r="D134" s="320" t="n">
        <f aca="false">B97</f>
        <v>1238.15599874708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11028.4163887237</v>
      </c>
      <c r="C137" s="316"/>
      <c r="D137" s="37" t="n">
        <f aca="false">IF(A111="YES",B95*B63,0)</f>
        <v>114.9876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11143.4039887237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1225.37959874708</v>
      </c>
      <c r="B143" s="37" t="n">
        <f aca="false">IF(A111="YES",B95,0)</f>
        <v>12.7764</v>
      </c>
      <c r="C143" s="316"/>
      <c r="D143" s="37" t="n">
        <f aca="false">B97</f>
        <v>1238.15599874708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1.9656</v>
      </c>
      <c r="H148" s="102" t="n">
        <f aca="false">G108-100</f>
        <v>139.988</v>
      </c>
      <c r="I148" s="102"/>
      <c r="J148" s="102" t="n">
        <f aca="false">(H145+J145+G148+H148)-H151</f>
        <v>1506.82855</v>
      </c>
      <c r="K148" s="104"/>
      <c r="L148" s="62"/>
      <c r="M148" s="110" t="n">
        <f aca="false">IF(M111="YES",((A41*N111)*0.1)*(M133),0)</f>
        <v>1.9656</v>
      </c>
      <c r="N148" s="102" t="n">
        <f aca="false">M108-100</f>
        <v>99.99</v>
      </c>
      <c r="O148" s="102"/>
      <c r="P148" s="102" t="n">
        <f aca="false">(N145+P145+M148+N148)-N151</f>
        <v>1466.83055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2.9484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1186.63994666667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1238.15599874708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1225.37959874708</v>
      </c>
      <c r="B177" s="354" t="n">
        <f aca="false">IF(A111="YES",B95,0)</f>
        <v>12.7764</v>
      </c>
      <c r="C177" s="357"/>
      <c r="D177" s="354" t="n">
        <f aca="false">B91</f>
        <v>14601.478992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11028.4163887237</v>
      </c>
      <c r="C180" s="352"/>
      <c r="D180" s="102" t="n">
        <f aca="false">IF(A111="YES",B95*B63,0)</f>
        <v>114.9876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11143.4039887237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1225.37959874708</v>
      </c>
      <c r="B186" s="102" t="n">
        <f aca="false">IF(A111="YES",B95,0)</f>
        <v>12.7764</v>
      </c>
      <c r="C186" s="352"/>
      <c r="D186" s="102" t="n">
        <f aca="false">B97</f>
        <v>1238.15599874708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2.9484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1186.63994666667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369.475666666667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4471.67494666667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4471.67494666667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29.484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416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12167.89916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12270.9753529649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1022.58127941374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1022.58127941374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393</v>
      </c>
      <c r="B111" s="311" t="n">
        <v>30.0</v>
      </c>
      <c r="C111" s="311"/>
      <c r="D111" s="106" t="s">
        <v>397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1022.58127941374</v>
      </c>
      <c r="B134" s="320" t="n">
        <f aca="false">IF(A111="YES",B95,0)</f>
        <v>0</v>
      </c>
      <c r="C134" s="325"/>
      <c r="D134" s="320" t="n">
        <f aca="false">B97</f>
        <v>1022.58127941374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9203.23151472368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9203.23151472368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1022.58127941374</v>
      </c>
      <c r="B143" s="37" t="n">
        <f aca="false">IF(A111="YES",B95,0)</f>
        <v>0</v>
      </c>
      <c r="C143" s="316"/>
      <c r="D143" s="37" t="n">
        <f aca="false">B97</f>
        <v>1022.58127941374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1504.86295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1464.86495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1183.68988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1022.58127941374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1022.58127941374</v>
      </c>
      <c r="B177" s="354" t="n">
        <f aca="false">IF(A111="YES",B95,0)</f>
        <v>0</v>
      </c>
      <c r="C177" s="357"/>
      <c r="D177" s="354" t="n">
        <f aca="false">B91</f>
        <v>12167.89916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9203.23151472368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9203.23151472368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1022.58127941374</v>
      </c>
      <c r="B186" s="102" t="n">
        <f aca="false">IF(A111="YES",B95,0)</f>
        <v>0</v>
      </c>
      <c r="C186" s="352"/>
      <c r="D186" s="102" t="n">
        <f aca="false">B97</f>
        <v>1022.58127941374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1183.68988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60</v>
      </c>
      <c r="E32" s="225"/>
      <c r="F32" s="62"/>
      <c r="G32" s="226" t="s">
        <v>243</v>
      </c>
      <c r="H32" s="224" t="str">
        <f aca="false">A41</f>
        <v>60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560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391</v>
      </c>
      <c r="B41" s="240" t="n">
        <f aca="false">IF(B38="YES",D38+A41,D38)</f>
        <v>560</v>
      </c>
      <c r="C41" s="240"/>
      <c r="D41" s="103" t="s">
        <v>410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103" t="s">
        <v>412</v>
      </c>
      <c r="C44" s="103"/>
      <c r="D44" s="103" t="s">
        <v>417</v>
      </c>
      <c r="E44" s="103"/>
      <c r="F44" s="62"/>
      <c r="G44" s="62" t="s">
        <v>257</v>
      </c>
      <c r="H44" s="237" t="str">
        <f aca="false">H32</f>
        <v>60</v>
      </c>
      <c r="I44" s="391" t="n">
        <f aca="false">((A41*(B35-1))+D32)/B35</f>
        <v>60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561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413</v>
      </c>
      <c r="C47" s="425"/>
      <c r="D47" s="103" t="s">
        <v>413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561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0.0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0.0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6112.56582666667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509.380485555556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12124.5658266667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102.709109463493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12227.2749361302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1018.93957801085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1096.93957801085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393</v>
      </c>
      <c r="B111" s="313" t="n">
        <v>30.0</v>
      </c>
      <c r="C111" s="313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1018.93957801085</v>
      </c>
      <c r="B134" s="320" t="n">
        <f aca="false">IF(A111="YES",B95,0)</f>
        <v>78</v>
      </c>
      <c r="C134" s="325"/>
      <c r="D134" s="320" t="n">
        <f aca="false">B97</f>
        <v>1096.93957801085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1018.93957801085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1096.93957801085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1018.93957801085</v>
      </c>
      <c r="B143" s="37" t="n">
        <f aca="false">IF(A111="YES",B95,0)</f>
        <v>78</v>
      </c>
      <c r="C143" s="316"/>
      <c r="D143" s="37" t="n">
        <f aca="false">B97</f>
        <v>1096.93957801085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14.4</v>
      </c>
      <c r="H148" s="102" t="n">
        <f aca="false">G108-100</f>
        <v>139.988</v>
      </c>
      <c r="I148" s="102"/>
      <c r="J148" s="102" t="n">
        <f aca="false">(H145+J145+G148+H148)-H151</f>
        <v>1519.26295</v>
      </c>
      <c r="K148" s="104"/>
      <c r="L148" s="62"/>
      <c r="M148" s="110" t="n">
        <f aca="false">IF(M111="YES",((A41*N111)*0.1)*(M133),0)</f>
        <v>14.4</v>
      </c>
      <c r="N148" s="102" t="n">
        <f aca="false">M108-100</f>
        <v>99.99</v>
      </c>
      <c r="O148" s="102"/>
      <c r="P148" s="102" t="n">
        <f aca="false">(N145+P145+M148+N148)-N151</f>
        <v>1479.26495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102" t="n">
        <f aca="false">B108</f>
        <v>400</v>
      </c>
      <c r="C154" s="37"/>
      <c r="D154" s="37" t="n">
        <f aca="false">IF(A111="YES",(A41/100*B111)*B131,0)*0.1</f>
        <v>21.6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1205.28988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1096.93957801085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1018.93957801085</v>
      </c>
      <c r="B177" s="354" t="n">
        <f aca="false">IF(A111="YES",B95,0)</f>
        <v>78</v>
      </c>
      <c r="C177" s="357"/>
      <c r="D177" s="354" t="n">
        <f aca="false">B91</f>
        <v>12124.5658266667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1018.93957801085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1096.93957801085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1018.93957801085</v>
      </c>
      <c r="B186" s="102" t="n">
        <f aca="false">IF(A111="YES",B95,0)</f>
        <v>78</v>
      </c>
      <c r="C186" s="352"/>
      <c r="D186" s="102" t="n">
        <f aca="false">B97</f>
        <v>1096.93957801085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21.6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1205.28988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555.99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4658.18928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4658.18928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216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102.709109463493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396</v>
      </c>
      <c r="B41" s="240" t="str">
        <f aca="false">IF(B38="YES",D38+A41,D38)</f>
        <v>500</v>
      </c>
      <c r="C41" s="240"/>
      <c r="D41" s="103" t="s">
        <v>410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103" t="s">
        <v>412</v>
      </c>
      <c r="C44" s="103"/>
      <c r="D44" s="103" t="s">
        <v>396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413</v>
      </c>
      <c r="C47" s="425"/>
      <c r="D47" s="103" t="s">
        <v>413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14601.478992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14704.5551849649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1225.37959874708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1225.37959874708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1" t="n">
        <v>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1225.37959874708</v>
      </c>
      <c r="B134" s="320" t="n">
        <f aca="false">IF(A111="YES",B95,0)</f>
        <v>0</v>
      </c>
      <c r="C134" s="325"/>
      <c r="D134" s="320" t="n">
        <f aca="false">B97</f>
        <v>1225.37959874708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1225.37959874708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1225.37959874708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1225.37959874708</v>
      </c>
      <c r="B143" s="37" t="n">
        <f aca="false">IF(A111="YES",B95,0)</f>
        <v>0</v>
      </c>
      <c r="C143" s="316"/>
      <c r="D143" s="37" t="n">
        <f aca="false">B97</f>
        <v>1225.37959874708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1504.86295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1464.86495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1183.69154666667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1225.37959874708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1225.37959874708</v>
      </c>
      <c r="B177" s="354" t="n">
        <f aca="false">IF(A111="YES",B95,0)</f>
        <v>0</v>
      </c>
      <c r="C177" s="357"/>
      <c r="D177" s="354" t="n">
        <f aca="false">B97</f>
        <v>1225.37959874708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1225.37959874708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1225.37959874708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1225.37959874708</v>
      </c>
      <c r="B186" s="102" t="n">
        <f aca="false">IF(A111="YES",B95,0)</f>
        <v>0</v>
      </c>
      <c r="C186" s="352"/>
      <c r="D186" s="102" t="n">
        <f aca="false">B97</f>
        <v>1225.37959874708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1183.69154666667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4442.19094666667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4442.19094666667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407</v>
      </c>
      <c r="B41" s="240" t="n">
        <f aca="false">IF(B38="YES",D38+A41,D38)</f>
        <v>550</v>
      </c>
      <c r="C41" s="240"/>
      <c r="D41" s="103" t="s">
        <v>410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103" t="s">
        <v>412</v>
      </c>
      <c r="C44" s="103"/>
      <c r="D44" s="103" t="s">
        <v>413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413</v>
      </c>
      <c r="C47" s="425"/>
      <c r="D47" s="103" t="s">
        <v>413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12167.89916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12270.9753529649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1022.58127941374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1087.58127941374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200.0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393</v>
      </c>
      <c r="B111" s="311" t="n">
        <v>20.0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6000.0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1022.58127941374</v>
      </c>
      <c r="B134" s="320" t="n">
        <f aca="false">IF(A111="YES",B95,0)</f>
        <v>65</v>
      </c>
      <c r="C134" s="325"/>
      <c r="D134" s="320" t="n">
        <f aca="false">B97</f>
        <v>1087.58127941374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1022.58127941374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1087.58127941374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1022.58127941374</v>
      </c>
      <c r="B143" s="37" t="n">
        <f aca="false">IF(A111="YES",B95,0)</f>
        <v>65</v>
      </c>
      <c r="C143" s="316"/>
      <c r="D143" s="37" t="n">
        <f aca="false">B97</f>
        <v>1087.58127941374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1516.86295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1476.86495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1201.68988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1087.58127941374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1022.58127941374</v>
      </c>
      <c r="B177" s="354" t="n">
        <f aca="false">IF(A111="YES",B95,0)</f>
        <v>65</v>
      </c>
      <c r="C177" s="357"/>
      <c r="D177" s="354" t="n">
        <f aca="false">B91</f>
        <v>12167.89916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1022.58127941374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1087.58127941374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1022.58127941374</v>
      </c>
      <c r="B186" s="102" t="n">
        <f aca="false">IF(A111="YES",B95,0)</f>
        <v>65</v>
      </c>
      <c r="C186" s="352"/>
      <c r="D186" s="102" t="n">
        <f aca="false">B97</f>
        <v>1087.58127941374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1201.68988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4622.18928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4622.18928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399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404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393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0.3</v>
      </c>
      <c r="B108" s="106" t="s">
        <v>392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394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6000.0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11178.41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80448.388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13.6739976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639.20865625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E179+A201+(B182*1.2)+A185</f>
        <v>75037.188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11178.41</v>
      </c>
      <c r="B224" s="102" t="str">
        <f aca="false">B182</f>
        <v>199.99</v>
      </c>
      <c r="C224" s="102"/>
      <c r="D224" s="112"/>
      <c r="E224" s="102" t="n">
        <f aca="false">E182</f>
        <v>80448.388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13.6739976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639.20865625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5421.20000000001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4874.12761250001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5421.20000000001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4874.12761250001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645.83</v>
      </c>
      <c r="I10" s="2"/>
      <c r="J10" s="2"/>
      <c r="K10" s="1" t="s">
        <v>19</v>
      </c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 t="n">
        <v>0</v>
      </c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393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17.9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7.9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9462.5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3109.0499999999997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1711.27399140932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1622.44399140932</v>
      </c>
      <c r="B36" s="231" t="n">
        <f aca="false">IF(B26="YES",K42,"0.00")</f>
        <v>88.83</v>
      </c>
      <c r="C36" s="231"/>
      <c r="D36" s="231"/>
      <c r="E36" s="231" t="n">
        <f aca="false">K31</f>
        <v>9462.5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28851.1624303507</v>
      </c>
      <c r="N39" s="1" t="n">
        <f aca="false">K39-L39</f>
        <v>28773.8275696493</v>
      </c>
      <c r="P39" s="211"/>
    </row>
    <row r="40" customFormat="false" ht="19.5" hidden="false" customHeight="false" outlineLevel="0" collapsed="false">
      <c r="A40" s="106" t="n">
        <f aca="false">E36*A45/100</f>
        <v>28050.0</v>
      </c>
      <c r="B40" s="106" t="n">
        <f aca="false">IF(B26="YES",K42,"0.00")</f>
        <v>88.83</v>
      </c>
      <c r="C40" s="106"/>
      <c r="D40" s="106"/>
      <c r="E40" s="181" t="n">
        <f aca="false">K32</f>
        <v>3109.05</v>
      </c>
      <c r="F40" s="185"/>
      <c r="G40" s="185"/>
      <c r="H40" s="46"/>
      <c r="J40" s="2" t="s">
        <v>107</v>
      </c>
      <c r="K40" s="2" t="n">
        <f aca="false">(A40)/1.2</f>
        <v>7885.41666666667</v>
      </c>
      <c r="L40" s="2" t="n">
        <f aca="false">K39-L39</f>
        <v>28773.8275696493</v>
      </c>
      <c r="N40" s="1" t="n">
        <f aca="false">N38-N39</f>
        <v>-25862.1475696493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88.83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6395.69552839232</v>
      </c>
      <c r="L44" s="2"/>
      <c r="P44" s="211"/>
    </row>
    <row r="45" customFormat="false" ht="19.5" hidden="false" customHeight="false" outlineLevel="0" collapsed="false">
      <c r="A45" s="446" t="n">
        <v>100.0</v>
      </c>
      <c r="B45" s="92"/>
      <c r="C45" s="61" t="n">
        <v>100.0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51229.2944716077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1622.44399140932</v>
      </c>
      <c r="L47" s="2" t="n">
        <f aca="false">L49-K42</f>
        <v>711.17</v>
      </c>
      <c r="M47" s="1" t="n">
        <f aca="false">K47-L47</f>
        <v>911.273991409321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1711.27399140932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1711.27399140932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30450.4410981286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-5415.50814104921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-403.531775903641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-403.531775903641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1622.44399140932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1622.44399140932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1711.27399140932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1711.27399140932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53361.239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9462.5</v>
      </c>
      <c r="C82" s="92"/>
      <c r="D82" s="92"/>
      <c r="E82" s="112"/>
      <c r="F82" s="30" t="s">
        <v>107</v>
      </c>
      <c r="G82" s="32" t="n">
        <f aca="false">IF(A111="YES",A40,0)</f>
        <v>9462.5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9462.5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9462.5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6679.71310920642</v>
      </c>
      <c r="C86" s="92"/>
      <c r="D86" s="92"/>
      <c r="E86" s="112"/>
      <c r="F86" s="30" t="s">
        <v>111</v>
      </c>
      <c r="G86" s="32" t="n">
        <f aca="false">(G82/((1+G84)^(G85+1)))</f>
        <v>7719.60450276954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6470.95543218324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6470.95543218324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73644.2708907936</v>
      </c>
      <c r="C88" s="92"/>
      <c r="D88" s="92"/>
      <c r="E88" s="112"/>
      <c r="F88" s="30" t="s">
        <v>113</v>
      </c>
      <c r="G88" s="32" t="n">
        <f aca="false">G81-G86</f>
        <v>72604.3794972305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46890.2835678168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46890.2835678168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2565.76414110161</v>
      </c>
      <c r="C89" s="92"/>
      <c r="D89" s="92"/>
      <c r="E89" s="112"/>
      <c r="F89" s="30" t="s">
        <v>114</v>
      </c>
      <c r="G89" s="32" t="n">
        <f aca="false">(G88/G87)</f>
        <v>2360.38303272053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1658.2943506889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1658.2943506889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87235.9807974548</v>
      </c>
      <c r="C90" s="92"/>
      <c r="D90" s="92"/>
      <c r="E90" s="112"/>
      <c r="F90" s="30" t="s">
        <v>115</v>
      </c>
      <c r="G90" s="32" t="n">
        <f aca="false">((G89*(G85))+G77)</f>
        <v>80253.0231124979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56382.0079234226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56382.0079234226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87235.9807974548</v>
      </c>
      <c r="C92" s="92"/>
      <c r="D92" s="92"/>
      <c r="E92" s="112"/>
      <c r="F92" s="55" t="s">
        <v>117</v>
      </c>
      <c r="G92" s="64" t="n">
        <f aca="false">(G90+G91)</f>
        <v>80253.0231124979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56382.0079234226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56382.0079234226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109.731176470588</v>
      </c>
      <c r="C94" s="92"/>
      <c r="D94" s="92"/>
      <c r="E94" s="112"/>
      <c r="F94" s="87" t="s">
        <v>118</v>
      </c>
      <c r="G94" s="93" t="n">
        <f aca="false">IF(B26="YES",((E40/B85)*(1+A108)*(C45/100)),"0")</f>
        <v>109.731176470588</v>
      </c>
      <c r="H94" s="32"/>
      <c r="J94" s="87" t="s">
        <v>118</v>
      </c>
      <c r="K94" s="88" t="n">
        <f aca="false">((E40/K85)*(1+J108))*1.2</f>
        <v>138.5748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109.731176470588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131.677411764706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2565.76414110161</v>
      </c>
      <c r="C95" s="92"/>
      <c r="D95" s="92"/>
      <c r="E95" s="112"/>
      <c r="F95" s="94" t="s">
        <v>119</v>
      </c>
      <c r="G95" s="95" t="n">
        <f aca="false">G92/(G85)</f>
        <v>2360.38303272053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1658.2943506889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1658.2943506889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2675.4953175722</v>
      </c>
      <c r="C96" s="92"/>
      <c r="D96" s="92"/>
      <c r="E96" s="112"/>
      <c r="F96" s="96" t="s">
        <v>120</v>
      </c>
      <c r="G96" s="97" t="n">
        <f aca="false">G94+G95</f>
        <v>2470.11420919111</v>
      </c>
      <c r="H96" s="32"/>
      <c r="J96" s="96" t="s">
        <v>120</v>
      </c>
      <c r="K96" s="97" t="n">
        <f aca="false">(K94+K95)</f>
        <v>1649.45808112579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1768.02552715949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1789.97176245361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393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408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394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13873.9575</v>
      </c>
      <c r="V124" s="129" t="n">
        <f aca="false">(V121*V122)+V123</f>
        <v>0</v>
      </c>
      <c r="W124" s="130" t="n">
        <f aca="false">(W121*W122)+W123</f>
        <v>0</v>
      </c>
      <c r="X124" s="129" t="n">
        <f aca="false">(X121*X122)+X123</f>
        <v>0</v>
      </c>
      <c r="Y124" s="130" t="n">
        <f aca="false">(Y121*Y122)+Y123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41621.8725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42455.2025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8620.2065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52361.239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52361.239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-16658.749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53361.239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2565.76414110161</v>
      </c>
      <c r="B167" s="176" t="n">
        <f aca="false">B94</f>
        <v>109.731176470588</v>
      </c>
      <c r="C167" s="173"/>
      <c r="D167" s="173"/>
      <c r="E167" s="176" t="n">
        <f aca="false">B96</f>
        <v>2675.4953175722</v>
      </c>
      <c r="F167" s="22"/>
      <c r="G167" s="22" t="n">
        <f aca="false">ROUND(G95,2)</f>
        <v>2360.38</v>
      </c>
      <c r="H167" s="32"/>
      <c r="J167" s="175" t="n">
        <f aca="false">K95</f>
        <v>1510.88328112579</v>
      </c>
      <c r="K167" s="176" t="n">
        <f aca="false">K94</f>
        <v>138.5748</v>
      </c>
      <c r="L167" s="173"/>
      <c r="M167" s="173"/>
      <c r="N167" s="176" t="n">
        <f aca="false">K96</f>
        <v>1649.45808112579</v>
      </c>
      <c r="O167" s="22"/>
      <c r="P167" s="22"/>
      <c r="Q167" s="32"/>
      <c r="S167" s="175" t="n">
        <f aca="false">T95</f>
        <v>1658.2943506889</v>
      </c>
      <c r="T167" s="176" t="n">
        <f aca="false">T94</f>
        <v>109.731176470588</v>
      </c>
      <c r="U167" s="173"/>
      <c r="V167" s="173"/>
      <c r="W167" s="176" t="n">
        <f aca="false">T96</f>
        <v>1768.02552715949</v>
      </c>
      <c r="X167" s="22"/>
      <c r="Y167" s="22"/>
      <c r="Z167" s="32"/>
      <c r="AB167" s="175" t="n">
        <f aca="false">AC95</f>
        <v>1658.2943506889</v>
      </c>
      <c r="AC167" s="176" t="n">
        <f aca="false">AC94</f>
        <v>131.677411764706</v>
      </c>
      <c r="AD167" s="173"/>
      <c r="AE167" s="173"/>
      <c r="AF167" s="176" t="n">
        <f aca="false">AC96</f>
        <v>1789.97176245361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9462.5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9462.5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9462.5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9462.5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43101.0325</v>
      </c>
      <c r="T173" s="102" t="n">
        <f aca="false">Z137</f>
        <v>8620.2065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52361.239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53361.239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16374.36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96948.328</v>
      </c>
      <c r="F182" s="22"/>
      <c r="G182" s="22"/>
      <c r="H182" s="104"/>
      <c r="J182" s="110" t="n">
        <f aca="false">(J167*K59)+N185-N179-J185</f>
        <v>23062.535558277</v>
      </c>
      <c r="K182" s="102" t="n">
        <f aca="false">K114</f>
        <v>239.99</v>
      </c>
      <c r="L182" s="102"/>
      <c r="M182" s="22"/>
      <c r="N182" s="102" t="n">
        <f aca="false">N179+J182+K182+J185</f>
        <v>61092.521558277</v>
      </c>
      <c r="O182" s="22"/>
      <c r="P182" s="22"/>
      <c r="Q182" s="104"/>
      <c r="S182" s="110" t="n">
        <f aca="false">(S167*T59)+W185-W179-S185</f>
        <v>12483.2689234226</v>
      </c>
      <c r="T182" s="102" t="n">
        <f aca="false">T114</f>
        <v>199.99</v>
      </c>
      <c r="U182" s="102"/>
      <c r="V182" s="22"/>
      <c r="W182" s="102" t="n">
        <f aca="false">W179+S182+T182+S185</f>
        <v>66054.4979234226</v>
      </c>
      <c r="X182" s="22"/>
      <c r="Y182" s="22"/>
      <c r="Z182" s="104"/>
      <c r="AB182" s="110" t="n">
        <f aca="false">(AB167*AC59)+AF185-AF179-AB185</f>
        <v>12483.2689234226</v>
      </c>
      <c r="AC182" s="102" t="n">
        <f aca="false">AC114</f>
        <v>239.99</v>
      </c>
      <c r="AD182" s="102"/>
      <c r="AE182" s="22"/>
      <c r="AF182" s="102" t="n">
        <f aca="false">AF179+AB182+AC182+AB185</f>
        <v>66094.4979234226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9472.5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9482.5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9472.5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9472.5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13.6739976</v>
      </c>
      <c r="B188" s="102" t="n">
        <f aca="false">(G158*B67)/1.2</f>
        <v>655.421397222222</v>
      </c>
      <c r="C188" s="92"/>
      <c r="D188" s="92"/>
      <c r="E188" s="102" t="n">
        <f aca="false">(E40*A108)*0.1*(C45/100)</f>
        <v>62.181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93.2715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435.412887673611</v>
      </c>
      <c r="U188" s="92"/>
      <c r="V188" s="92"/>
      <c r="W188" s="102" t="n">
        <f aca="false">(E40*S108)*0.1</f>
        <v>62.181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62.181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817.592397222222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3561.09979513889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1597.58388767361</v>
      </c>
      <c r="U191" s="92"/>
      <c r="V191" s="92"/>
      <c r="W191" s="102" t="n">
        <f aca="false">Z148</f>
        <v>-16658.749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1637.58388767361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2675.4953175722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1649.45808112579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1768.02552715949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1789.97176245361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9391.43599999999</v>
      </c>
      <c r="B201" s="185" t="n">
        <f aca="false">E179+A201+(B182*1.2)+A185</f>
        <v>89965.408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2565.76414110161</v>
      </c>
      <c r="B212" s="176" t="n">
        <f aca="false">B167</f>
        <v>109.731176470588</v>
      </c>
      <c r="C212" s="173"/>
      <c r="D212" s="173"/>
      <c r="E212" s="176" t="n">
        <f aca="false">E167</f>
        <v>2675.4953175722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16374.36</v>
      </c>
      <c r="B224" s="102" t="str">
        <f aca="false">B182</f>
        <v>199.99</v>
      </c>
      <c r="C224" s="102"/>
      <c r="D224" s="112"/>
      <c r="E224" s="102" t="n">
        <f aca="false">E182</f>
        <v>96948.328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2565.76414110161</v>
      </c>
      <c r="B230" s="102" t="n">
        <f aca="false">B167</f>
        <v>109.731176470588</v>
      </c>
      <c r="C230" s="185"/>
      <c r="D230" s="185"/>
      <c r="E230" s="102" t="n">
        <f aca="false">E167</f>
        <v>2675.4953175722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9462.5</v>
      </c>
      <c r="B233" s="102" t="n">
        <f aca="false">E185</f>
        <v>9472.5</v>
      </c>
      <c r="C233" s="92"/>
      <c r="D233" s="92"/>
      <c r="E233" s="102" t="n">
        <f aca="false">A188</f>
        <v>13.6739976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62.181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12320.9223972222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6992.92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721.8</v>
      </c>
      <c r="C255" s="196"/>
      <c r="D255" s="197" t="s">
        <v>219</v>
      </c>
      <c r="E255" s="197"/>
      <c r="F255" s="199" t="n">
        <f aca="false">(B254-F254)+B255</f>
        <v>6928.21432333333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6992.92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621.81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6928.21432333333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2" activeCellId="0" sqref="B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390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5677.5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1703.46527337661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1703.46527337661</v>
      </c>
      <c r="B36" s="231" t="str">
        <f aca="false">IF(B26="YES",K42,"0.00")</f>
        <v>0.00</v>
      </c>
      <c r="C36" s="231"/>
      <c r="D36" s="231"/>
      <c r="E36" s="231" t="n">
        <f aca="false">K31</f>
        <v>5677.5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29097.7257124496</v>
      </c>
      <c r="N39" s="1" t="n">
        <f aca="false">K39-L39</f>
        <v>28527.2642875504</v>
      </c>
      <c r="P39" s="211"/>
    </row>
    <row r="40" customFormat="false" ht="19.5" hidden="false" customHeight="false" outlineLevel="0" collapsed="false">
      <c r="A40" s="106" t="n">
        <f aca="false">E36*A45/100</f>
        <v>28050.0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4731.25</v>
      </c>
      <c r="L40" s="2" t="n">
        <f aca="false">K39-L39</f>
        <v>28527.2642875504</v>
      </c>
      <c r="N40" s="1" t="n">
        <f aca="false">N38-N39</f>
        <v>-25615.5842875504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3837.41731703539</v>
      </c>
      <c r="L44" s="2"/>
      <c r="P44" s="211"/>
    </row>
    <row r="45" customFormat="false" ht="19.5" hidden="false" customHeight="false" outlineLevel="0" collapsed="false">
      <c r="A45" s="502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53787.5726829646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1703.46527337661</v>
      </c>
      <c r="L47" s="2" t="n">
        <f aca="false">L49-K42</f>
        <v>800</v>
      </c>
      <c r="M47" s="1" t="n">
        <f aca="false">K47-L47</f>
        <v>903.46527337661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1703.46527337661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1703.46527337661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30779.7018297299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-8251.25300990434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19691.725290374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-126.943490093159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1703.46527337661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1703.46527337661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1703.46527337661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1703.46527337661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5677.5</v>
      </c>
      <c r="C82" s="92"/>
      <c r="D82" s="92"/>
      <c r="E82" s="112"/>
      <c r="F82" s="30" t="s">
        <v>107</v>
      </c>
      <c r="G82" s="32" t="n">
        <f aca="false">IF(A111="YES",A40,0)</f>
        <v>5677.5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5677.5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5677.5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4007.82786552385</v>
      </c>
      <c r="C86" s="92"/>
      <c r="D86" s="92"/>
      <c r="E86" s="112"/>
      <c r="F86" s="30" t="s">
        <v>111</v>
      </c>
      <c r="G86" s="32" t="n">
        <f aca="false">(G82/((1+G84)^(G85+1)))</f>
        <v>4631.76270166172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3882.57325930994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3882.57325930994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76316.1561344762</v>
      </c>
      <c r="C88" s="92"/>
      <c r="D88" s="92"/>
      <c r="E88" s="112"/>
      <c r="F88" s="30" t="s">
        <v>113</v>
      </c>
      <c r="G88" s="32" t="n">
        <f aca="false">G81-G86</f>
        <v>75692.2212983383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65960.9272506901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49478.6657406901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2658.85254111504</v>
      </c>
      <c r="C89" s="92"/>
      <c r="D89" s="92"/>
      <c r="E89" s="112"/>
      <c r="F89" s="30" t="s">
        <v>114</v>
      </c>
      <c r="G89" s="32" t="n">
        <f aca="false">(G88/G87)</f>
        <v>2460.76939295845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2332.73558407516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1749.83356112024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90400.9863979113</v>
      </c>
      <c r="C90" s="92"/>
      <c r="D90" s="92"/>
      <c r="E90" s="112"/>
      <c r="F90" s="30" t="s">
        <v>115</v>
      </c>
      <c r="G90" s="32" t="n">
        <f aca="false">((G89*(G85))+G77)</f>
        <v>83666.1593605874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79313.0098585554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59494.3410780882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90400.9863979113</v>
      </c>
      <c r="C92" s="92"/>
      <c r="D92" s="92"/>
      <c r="E92" s="112"/>
      <c r="F92" s="55" t="s">
        <v>117</v>
      </c>
      <c r="G92" s="64" t="n">
        <f aca="false">(G90+G91)</f>
        <v>83666.1593605874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79313.0098585554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59494.3410780882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2658.85254111504</v>
      </c>
      <c r="C95" s="92"/>
      <c r="D95" s="92"/>
      <c r="E95" s="112"/>
      <c r="F95" s="94" t="s">
        <v>119</v>
      </c>
      <c r="G95" s="95" t="n">
        <f aca="false">G92/(G85)</f>
        <v>2460.76939295845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2332.73558407516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1749.83356112024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2658.85254111504</v>
      </c>
      <c r="C96" s="92"/>
      <c r="D96" s="92"/>
      <c r="E96" s="112"/>
      <c r="F96" s="96" t="s">
        <v>120</v>
      </c>
      <c r="G96" s="97" t="n">
        <f aca="false">G94+G95</f>
        <v>2460.76939295845</v>
      </c>
      <c r="H96" s="32"/>
      <c r="J96" s="96" t="s">
        <v>120</v>
      </c>
      <c r="K96" s="97" t="n">
        <f aca="false">(K94+K95)</f>
        <v>1510.88328112579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2332.73558407516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1749.83356112024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392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2658.85254111504</v>
      </c>
      <c r="B167" s="176" t="str">
        <f aca="false">B94</f>
        <v>0</v>
      </c>
      <c r="C167" s="173"/>
      <c r="D167" s="173"/>
      <c r="E167" s="176" t="n">
        <f aca="false">B96</f>
        <v>2658.85254111504</v>
      </c>
      <c r="F167" s="22"/>
      <c r="G167" s="22" t="n">
        <f aca="false">ROUND(G95,2)</f>
        <v>2460.77</v>
      </c>
      <c r="H167" s="32"/>
      <c r="J167" s="175" t="n">
        <f aca="false">K95</f>
        <v>1510.88328112579</v>
      </c>
      <c r="K167" s="176" t="n">
        <f aca="false">K94</f>
        <v>0</v>
      </c>
      <c r="L167" s="173"/>
      <c r="M167" s="173"/>
      <c r="N167" s="176" t="n">
        <f aca="false">K96</f>
        <v>1510.88328112579</v>
      </c>
      <c r="O167" s="22"/>
      <c r="P167" s="22"/>
      <c r="Q167" s="32"/>
      <c r="S167" s="175" t="n">
        <f aca="false">T95</f>
        <v>2332.73558407516</v>
      </c>
      <c r="T167" s="176" t="n">
        <f aca="false">T94</f>
        <v>0</v>
      </c>
      <c r="U167" s="173"/>
      <c r="V167" s="173"/>
      <c r="W167" s="176" t="n">
        <f aca="false">T96</f>
        <v>2332.73558407516</v>
      </c>
      <c r="X167" s="22"/>
      <c r="Y167" s="22"/>
      <c r="Z167" s="32"/>
      <c r="AB167" s="175" t="n">
        <f aca="false">AC95</f>
        <v>1749.83356112024</v>
      </c>
      <c r="AC167" s="176" t="n">
        <f aca="false">AC94</f>
        <v>0</v>
      </c>
      <c r="AD167" s="173"/>
      <c r="AE167" s="173"/>
      <c r="AF167" s="176" t="n">
        <f aca="false">AC96</f>
        <v>1749.83356112024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5677.5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5677.5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5677.5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5677.5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15754.42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96328.39</v>
      </c>
      <c r="F182" s="22"/>
      <c r="G182" s="22"/>
      <c r="H182" s="104"/>
      <c r="J182" s="110" t="n">
        <f aca="false">(J167*K59)+N185-N179-J185</f>
        <v>19277.535558277</v>
      </c>
      <c r="K182" s="102" t="n">
        <f aca="false">K114</f>
        <v>239.99</v>
      </c>
      <c r="L182" s="102"/>
      <c r="M182" s="22"/>
      <c r="N182" s="102" t="n">
        <f aca="false">N179+J182+K182+J185</f>
        <v>57307.521558277</v>
      </c>
      <c r="O182" s="22"/>
      <c r="P182" s="22"/>
      <c r="Q182" s="104"/>
      <c r="S182" s="110" t="n">
        <f aca="false">(S167*T59)+W185-W179-S185</f>
        <v>15147.0093485554</v>
      </c>
      <c r="T182" s="102" t="n">
        <f aca="false">T114</f>
        <v>199.99</v>
      </c>
      <c r="U182" s="102"/>
      <c r="V182" s="22"/>
      <c r="W182" s="102" t="n">
        <f aca="false">W179+S182+T182+S185</f>
        <v>85200.4998585554</v>
      </c>
      <c r="X182" s="22"/>
      <c r="Y182" s="22"/>
      <c r="Z182" s="104"/>
      <c r="AB182" s="110" t="n">
        <f aca="false">(AB167*AC59)+AF185-AF179-AB185</f>
        <v>11810.6020780882</v>
      </c>
      <c r="AC182" s="102" t="n">
        <f aca="false">AC114</f>
        <v>239.99</v>
      </c>
      <c r="AD182" s="102"/>
      <c r="AE182" s="22"/>
      <c r="AF182" s="102" t="n">
        <f aca="false">AF179+AB182+AC182+AB185</f>
        <v>65421.8310780882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(IF(E170=0,E167+A185,E170+A185))</f>
        <v>5687.5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5697.5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5687.5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5687.5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B68</f>
        <v>655.421397222222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755.413063888889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3467.82829513889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1669.89356318924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1575.40288767361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2658.85254111504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1510.88328112579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2332.73558407516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1749.83356112024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9019.69599999998</v>
      </c>
      <c r="B201" s="185" t="n">
        <f aca="false">E179+A201+B182+A185</f>
        <v>89593.67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2658.85254111504</v>
      </c>
      <c r="B212" s="176" t="str">
        <f aca="false">B167</f>
        <v>0</v>
      </c>
      <c r="C212" s="173"/>
      <c r="D212" s="173"/>
      <c r="E212" s="176" t="n">
        <f aca="false">E167</f>
        <v>2658.85254111504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15754.42</v>
      </c>
      <c r="B224" s="102" t="str">
        <f aca="false">B182</f>
        <v>239.99</v>
      </c>
      <c r="C224" s="102"/>
      <c r="D224" s="112"/>
      <c r="E224" s="102" t="n">
        <f aca="false">E182</f>
        <v>96328.39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2658.85254111504</v>
      </c>
      <c r="B230" s="102" t="str">
        <f aca="false">B167</f>
        <v>0</v>
      </c>
      <c r="C230" s="185"/>
      <c r="D230" s="185"/>
      <c r="E230" s="102" t="n">
        <f aca="false">E167</f>
        <v>2658.85254111504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5677.5</v>
      </c>
      <c r="B233" s="102" t="n">
        <f aca="false">E185</f>
        <v>5687.5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12258.7430638889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6744.72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6058.20599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6744.72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6058.20599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182" activeCellId="0" sqref="B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555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393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7570.0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3731.0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1769.55463239297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1662.95463239297</v>
      </c>
      <c r="B36" s="231" t="n">
        <f aca="false">IF(B26="YES",K42,"0.00")</f>
        <v>106.6</v>
      </c>
      <c r="C36" s="231"/>
      <c r="D36" s="231"/>
      <c r="E36" s="231" t="n">
        <f aca="false">K31</f>
        <v>7570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27010.9287244391</v>
      </c>
      <c r="N39" s="1" t="n">
        <f aca="false">K39-L39</f>
        <v>30614.0612755609</v>
      </c>
      <c r="P39" s="211"/>
    </row>
    <row r="40" customFormat="false" ht="19.5" hidden="false" customHeight="false" outlineLevel="0" collapsed="false">
      <c r="A40" s="312" t="n">
        <f aca="false">E36*A45/100</f>
        <v>28050.0</v>
      </c>
      <c r="B40" s="106" t="n">
        <f aca="false">IF(B26="YES",K42,"0.00")</f>
        <v>106.6</v>
      </c>
      <c r="C40" s="106"/>
      <c r="D40" s="106"/>
      <c r="E40" s="181" t="n">
        <f aca="false">K32</f>
        <v>3731</v>
      </c>
      <c r="F40" s="185"/>
      <c r="G40" s="185"/>
      <c r="H40" s="46"/>
      <c r="J40" s="2" t="s">
        <v>107</v>
      </c>
      <c r="K40" s="2" t="n">
        <f aca="false">(A40)/1.2</f>
        <v>6308.33333333333</v>
      </c>
      <c r="L40" s="2" t="n">
        <f aca="false">K39-L39</f>
        <v>30614.0612755609</v>
      </c>
      <c r="N40" s="1" t="n">
        <f aca="false">N38-N39</f>
        <v>-27702.3812755609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106.6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5116.55642271386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52508.4335772862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1662.95463239297</v>
      </c>
      <c r="L47" s="2" t="n">
        <f aca="false">L49-K42</f>
        <v>693.4</v>
      </c>
      <c r="M47" s="1" t="n">
        <f aca="false">K47-L47</f>
        <v>969.554632392966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1769.55463239297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1769.55463239297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32510.3657969114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-6833.38057547678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19553.4311474688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-265.237632998396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668.476952777778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0.05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1662.95463239297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1662.95463239297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1769.55463239297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1769.55463239297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81923.984</v>
      </c>
      <c r="C81" s="92"/>
      <c r="D81" s="92"/>
      <c r="E81" s="112"/>
      <c r="F81" s="24" t="s">
        <v>106</v>
      </c>
      <c r="G81" s="26" t="n">
        <f aca="false">G158</f>
        <v>81923.984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7570</v>
      </c>
      <c r="C82" s="92"/>
      <c r="D82" s="92"/>
      <c r="E82" s="112"/>
      <c r="F82" s="30" t="s">
        <v>107</v>
      </c>
      <c r="G82" s="32" t="n">
        <f aca="false">IF(A111="YES",A40,0)</f>
        <v>7570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7570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7570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5343.77048736513</v>
      </c>
      <c r="C86" s="92"/>
      <c r="D86" s="92"/>
      <c r="E86" s="112"/>
      <c r="F86" s="30" t="s">
        <v>111</v>
      </c>
      <c r="G86" s="32" t="n">
        <f aca="false">(G82/((1+G84)^(G85+1)))</f>
        <v>6175.68360221563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5176.76434574659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5176.76434574659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76580.2135126349</v>
      </c>
      <c r="C88" s="92"/>
      <c r="D88" s="92"/>
      <c r="E88" s="112"/>
      <c r="F88" s="30" t="s">
        <v>113</v>
      </c>
      <c r="G88" s="32" t="n">
        <f aca="false">G81-G86</f>
        <v>75748.3003977844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64666.7361642534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48184.4746542534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2668.05229207839</v>
      </c>
      <c r="C89" s="92"/>
      <c r="D89" s="92"/>
      <c r="E89" s="112"/>
      <c r="F89" s="30" t="s">
        <v>114</v>
      </c>
      <c r="G89" s="32" t="n">
        <f aca="false">(G88/G87)</f>
        <v>2462.59253580107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2286.96597885949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1704.06395590457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90713.7779306652</v>
      </c>
      <c r="C90" s="92"/>
      <c r="D90" s="92"/>
      <c r="E90" s="112"/>
      <c r="F90" s="30" t="s">
        <v>115</v>
      </c>
      <c r="G90" s="32" t="n">
        <f aca="false">((G89*(G85))+G77)</f>
        <v>83728.1462172363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77756.8432812226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57938.1745007554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90713.7779306652</v>
      </c>
      <c r="C92" s="92"/>
      <c r="D92" s="92"/>
      <c r="E92" s="112"/>
      <c r="F92" s="55" t="s">
        <v>117</v>
      </c>
      <c r="G92" s="64" t="n">
        <f aca="false">(G90+G91)</f>
        <v>83728.1462172363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77756.8432812226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57938.1745007554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171.187058823529</v>
      </c>
      <c r="C94" s="92"/>
      <c r="D94" s="92"/>
      <c r="E94" s="112"/>
      <c r="F94" s="87" t="s">
        <v>118</v>
      </c>
      <c r="G94" s="93" t="n">
        <f aca="false">IF(B26="YES",((E40/B85)*(1+A108)*(C45/100)),"0")</f>
        <v>142.655882352941</v>
      </c>
      <c r="H94" s="32"/>
      <c r="J94" s="87" t="s">
        <v>118</v>
      </c>
      <c r="K94" s="88" t="n">
        <f aca="false">((E40/K85)*(1+J108))*1.2</f>
        <v>166.296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131.682352941176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158.018823529412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2668.05229207839</v>
      </c>
      <c r="C95" s="92"/>
      <c r="D95" s="92"/>
      <c r="E95" s="112"/>
      <c r="F95" s="94" t="s">
        <v>119</v>
      </c>
      <c r="G95" s="95" t="n">
        <f aca="false">G92/(G85)</f>
        <v>2462.59253580107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2286.96597885949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1704.06395590457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2839.23935090192</v>
      </c>
      <c r="C96" s="92"/>
      <c r="D96" s="92"/>
      <c r="E96" s="112"/>
      <c r="F96" s="96" t="s">
        <v>120</v>
      </c>
      <c r="G96" s="97" t="n">
        <f aca="false">G94+G95</f>
        <v>2605.24841815401</v>
      </c>
      <c r="H96" s="32"/>
      <c r="J96" s="96" t="s">
        <v>120</v>
      </c>
      <c r="K96" s="97" t="n">
        <f aca="false">(K94+K95)</f>
        <v>1677.17928112579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2418.64833180066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1862.08277943398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393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s">
        <v>408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200.0</v>
      </c>
      <c r="C111" s="106"/>
      <c r="D111" s="106"/>
      <c r="E111" s="106" t="n">
        <v>200.0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-58683.8783333333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81923.984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2668.05229207839</v>
      </c>
      <c r="B167" s="176" t="n">
        <f aca="false">B94</f>
        <v>171.187058823529</v>
      </c>
      <c r="C167" s="173"/>
      <c r="D167" s="173"/>
      <c r="E167" s="176" t="n">
        <f aca="false">B96</f>
        <v>2839.23935090192</v>
      </c>
      <c r="F167" s="22"/>
      <c r="G167" s="22" t="n">
        <f aca="false">ROUND(G95,2)</f>
        <v>2462.59</v>
      </c>
      <c r="H167" s="32"/>
      <c r="J167" s="175" t="n">
        <f aca="false">K95</f>
        <v>1510.88328112579</v>
      </c>
      <c r="K167" s="176" t="n">
        <f aca="false">K94</f>
        <v>166.296</v>
      </c>
      <c r="L167" s="173"/>
      <c r="M167" s="173"/>
      <c r="N167" s="176" t="n">
        <f aca="false">K96</f>
        <v>1677.17928112579</v>
      </c>
      <c r="O167" s="22"/>
      <c r="P167" s="22"/>
      <c r="Q167" s="32"/>
      <c r="S167" s="175" t="n">
        <f aca="false">T95</f>
        <v>2286.96597885949</v>
      </c>
      <c r="T167" s="176" t="n">
        <f aca="false">T94</f>
        <v>131.682352941176</v>
      </c>
      <c r="U167" s="173"/>
      <c r="V167" s="173"/>
      <c r="W167" s="176" t="n">
        <f aca="false">T96</f>
        <v>2418.64833180066</v>
      </c>
      <c r="X167" s="22"/>
      <c r="Y167" s="22"/>
      <c r="Z167" s="32"/>
      <c r="AB167" s="175" t="n">
        <f aca="false">AC95</f>
        <v>1704.06395590457</v>
      </c>
      <c r="AC167" s="176" t="n">
        <f aca="false">AC94</f>
        <v>158.018823529412</v>
      </c>
      <c r="AD167" s="173"/>
      <c r="AE167" s="173"/>
      <c r="AF167" s="176" t="n">
        <f aca="false">AC96</f>
        <v>1862.08277943398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7570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7570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7570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7570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82823.984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81923.984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16359.72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98533.69</v>
      </c>
      <c r="F182" s="22"/>
      <c r="G182" s="22"/>
      <c r="H182" s="104"/>
      <c r="J182" s="110" t="n">
        <f aca="false">(J167*K59)+N185-N179-J185</f>
        <v>21170.035558277</v>
      </c>
      <c r="K182" s="102" t="n">
        <f aca="false">K114</f>
        <v>239.99</v>
      </c>
      <c r="L182" s="102"/>
      <c r="M182" s="22"/>
      <c r="N182" s="102" t="n">
        <f aca="false">N179+J182+K182+J185</f>
        <v>59200.021558277</v>
      </c>
      <c r="O182" s="22"/>
      <c r="P182" s="22"/>
      <c r="Q182" s="104"/>
      <c r="S182" s="110" t="n">
        <f aca="false">(S167*T59)+W185-W179-S185</f>
        <v>15483.3427712226</v>
      </c>
      <c r="T182" s="102" t="n">
        <f aca="false">T114</f>
        <v>199.99</v>
      </c>
      <c r="U182" s="102"/>
      <c r="V182" s="22"/>
      <c r="W182" s="102" t="n">
        <f aca="false">W179+S182+T182+S185</f>
        <v>85536.8332812226</v>
      </c>
      <c r="X182" s="22"/>
      <c r="Y182" s="22"/>
      <c r="Z182" s="104"/>
      <c r="AB182" s="110" t="n">
        <f aca="false">(AB167*AC59)+AF185-AF179-AB185</f>
        <v>12146.9355007554</v>
      </c>
      <c r="AC182" s="102" t="n">
        <f aca="false">AC114</f>
        <v>239.99</v>
      </c>
      <c r="AD182" s="102"/>
      <c r="AE182" s="22"/>
      <c r="AF182" s="102" t="n">
        <f aca="false">AF179+AB182+AC182+AB185</f>
        <v>65758.1645007554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7580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7590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7580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7580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0.136739976</v>
      </c>
      <c r="B188" s="102" t="n">
        <f aca="false">(G158*B67)/1.2</f>
        <v>668.476952777778</v>
      </c>
      <c r="C188" s="92"/>
      <c r="D188" s="92"/>
      <c r="E188" s="102" t="n">
        <f aca="false">(E40*A108)*0.1*C45/100</f>
        <v>111.93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111.93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74.62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74.62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880.398619444444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3579.75829513889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1744.51356318924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1650.02288767361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2839.23935090192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1677.17928112579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2418.64833180066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1862.08277943398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9374.07599999999</v>
      </c>
      <c r="B201" s="185" t="n">
        <f aca="false">E179+A201+B182+A185</f>
        <v>91548.05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2668.05229207839</v>
      </c>
      <c r="B212" s="176" t="n">
        <f aca="false">B167</f>
        <v>171.187058823529</v>
      </c>
      <c r="C212" s="173"/>
      <c r="D212" s="173"/>
      <c r="E212" s="176" t="n">
        <f aca="false">E167</f>
        <v>2839.23935090192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81923.984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16359.72</v>
      </c>
      <c r="B224" s="102" t="str">
        <f aca="false">B182</f>
        <v>239.99</v>
      </c>
      <c r="C224" s="102"/>
      <c r="D224" s="112"/>
      <c r="E224" s="102" t="n">
        <f aca="false">E182</f>
        <v>98533.69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2668.05229207839</v>
      </c>
      <c r="B230" s="102" t="n">
        <f aca="false">B167</f>
        <v>171.187058823529</v>
      </c>
      <c r="C230" s="185"/>
      <c r="D230" s="185"/>
      <c r="E230" s="102" t="n">
        <f aca="false">E167</f>
        <v>2839.23935090192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7570</v>
      </c>
      <c r="B233" s="102" t="n">
        <f aca="false">E185</f>
        <v>7580</v>
      </c>
      <c r="C233" s="92"/>
      <c r="D233" s="92"/>
      <c r="E233" s="102" t="n">
        <f aca="false">J18*0.000006*100*1.2</f>
        <v>49.22639136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16.40879712</v>
      </c>
      <c r="B236" s="102" t="n">
        <f aca="false">E233+A236</f>
        <v>65.63518848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668.476952777778</v>
      </c>
      <c r="C240" s="92"/>
      <c r="D240" s="92"/>
      <c r="E240" s="102" t="n">
        <f aca="false">E188</f>
        <v>111.93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12383.7286194444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6995.64</v>
      </c>
      <c r="C254" s="196"/>
      <c r="D254" s="197" t="s">
        <v>217</v>
      </c>
      <c r="E254" s="197"/>
      <c r="F254" s="199" t="n">
        <f aca="false">F261+F267+F269+B270+B271</f>
        <v>802.172343333334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1219.29166666667</v>
      </c>
      <c r="C255" s="196"/>
      <c r="D255" s="197" t="s">
        <v>219</v>
      </c>
      <c r="E255" s="197"/>
      <c r="F255" s="199" t="n">
        <f aca="false">(B254-F254)+B255</f>
        <v>7412.75932333333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6995.64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802.172343333334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1119.3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7412.75932333333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390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5677.5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1689.39538594558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1689.39538594558</v>
      </c>
      <c r="B36" s="231" t="str">
        <f aca="false">IF(B26="YES",K42,"0.00")</f>
        <v>0.00</v>
      </c>
      <c r="C36" s="231"/>
      <c r="D36" s="231"/>
      <c r="E36" s="231" t="n">
        <f aca="false">K31</f>
        <v>5677.5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29338.4625055488</v>
      </c>
      <c r="N39" s="1" t="n">
        <f aca="false">K39-L39</f>
        <v>28286.5274944512</v>
      </c>
      <c r="P39" s="211"/>
    </row>
    <row r="40" customFormat="false" ht="19.5" hidden="false" customHeight="false" outlineLevel="0" collapsed="false">
      <c r="A40" s="312" t="n">
        <f aca="false">E36*A45/100</f>
        <v>28050.0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4731.25</v>
      </c>
      <c r="L40" s="2" t="n">
        <f aca="false">K39-L39</f>
        <v>28286.5274944512</v>
      </c>
      <c r="N40" s="1" t="n">
        <f aca="false">N38-N39</f>
        <v>-25374.8474944512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3895.08563047957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53729.9043695204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1689.39538594558</v>
      </c>
      <c r="L47" s="2" t="n">
        <f aca="false">L49-K42</f>
        <v>800</v>
      </c>
      <c r="M47" s="1" t="n">
        <f aca="false">K47-L47</f>
        <v>889.395385945576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1689.39538594558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1689.39538594558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30587.8022978266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-7758.80694981812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20184.1713504602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365.502569993056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1689.39538594558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1689.39538594558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1689.39538594558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1689.39538594558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5677.5</v>
      </c>
      <c r="C82" s="92"/>
      <c r="D82" s="92"/>
      <c r="E82" s="112"/>
      <c r="F82" s="30" t="s">
        <v>107</v>
      </c>
      <c r="G82" s="32" t="n">
        <f aca="false">IF(A111="YES",A40,0)</f>
        <v>5677.5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5677.5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5677.5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4066.12858104662</v>
      </c>
      <c r="C86" s="92"/>
      <c r="D86" s="92"/>
      <c r="E86" s="112"/>
      <c r="F86" s="30" t="s">
        <v>111</v>
      </c>
      <c r="G86" s="32" t="n">
        <f aca="false">(G82/((1+G84)^(G85+1)))</f>
        <v>4699.42081317361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3882.57325930994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3882.57325930994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28.8995114056174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76257.8554189534</v>
      </c>
      <c r="C88" s="92"/>
      <c r="D88" s="92"/>
      <c r="E88" s="112"/>
      <c r="F88" s="30" t="s">
        <v>113</v>
      </c>
      <c r="G88" s="32" t="n">
        <f aca="false">G81-G86</f>
        <v>75624.5631868264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65960.9272506901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49478.6657406901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2638.72472958593</v>
      </c>
      <c r="C89" s="92"/>
      <c r="D89" s="92"/>
      <c r="E89" s="112"/>
      <c r="F89" s="30" t="s">
        <v>114</v>
      </c>
      <c r="G89" s="32" t="n">
        <f aca="false">(G88/G87)</f>
        <v>2441.35321735028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2332.73558407516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1749.83356112024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89716.6408059217</v>
      </c>
      <c r="C90" s="92"/>
      <c r="D90" s="92"/>
      <c r="E90" s="112"/>
      <c r="F90" s="30" t="s">
        <v>115</v>
      </c>
      <c r="G90" s="32" t="n">
        <f aca="false">((G89*(G85))+G77)</f>
        <v>83006.0093899096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79313.0098585554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59494.3410780882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89716.6408059217</v>
      </c>
      <c r="C92" s="92"/>
      <c r="D92" s="92"/>
      <c r="E92" s="112"/>
      <c r="F92" s="55" t="s">
        <v>117</v>
      </c>
      <c r="G92" s="64" t="n">
        <f aca="false">(G90+G91)</f>
        <v>83006.0093899096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79313.0098585554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59494.3410780882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2638.72472958593</v>
      </c>
      <c r="C95" s="92"/>
      <c r="D95" s="92"/>
      <c r="E95" s="112"/>
      <c r="F95" s="94" t="s">
        <v>119</v>
      </c>
      <c r="G95" s="95" t="n">
        <f aca="false">G92/(G85)</f>
        <v>2441.35321735028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2332.73558407516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1749.83356112024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2638.72472958593</v>
      </c>
      <c r="C96" s="92"/>
      <c r="D96" s="92"/>
      <c r="E96" s="112"/>
      <c r="F96" s="96" t="s">
        <v>120</v>
      </c>
      <c r="G96" s="97" t="n">
        <f aca="false">G94+G95</f>
        <v>2441.35321735028</v>
      </c>
      <c r="H96" s="32"/>
      <c r="J96" s="96" t="s">
        <v>120</v>
      </c>
      <c r="K96" s="97" t="n">
        <f aca="false">(K94+K95)</f>
        <v>1510.88328112579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2332.73558407516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1749.83356112024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392</v>
      </c>
      <c r="C108" s="106"/>
      <c r="D108" s="106"/>
      <c r="E108" s="107" t="n">
        <f aca="false">B83</f>
        <v>0.115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394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n">
        <v>0.3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2638.72472958593</v>
      </c>
      <c r="B167" s="176" t="str">
        <f aca="false">B94</f>
        <v>0</v>
      </c>
      <c r="C167" s="173"/>
      <c r="D167" s="173"/>
      <c r="E167" s="176" t="n">
        <f aca="false">B96</f>
        <v>2638.72472958593</v>
      </c>
      <c r="F167" s="22"/>
      <c r="G167" s="22" t="n">
        <f aca="false">ROUND(G95,2)</f>
        <v>2441.35</v>
      </c>
      <c r="H167" s="32"/>
      <c r="J167" s="175" t="n">
        <f aca="false">K95</f>
        <v>1510.88328112579</v>
      </c>
      <c r="K167" s="176" t="n">
        <f aca="false">K94</f>
        <v>0</v>
      </c>
      <c r="L167" s="173"/>
      <c r="M167" s="173"/>
      <c r="N167" s="176" t="n">
        <f aca="false">K96</f>
        <v>1510.88328112579</v>
      </c>
      <c r="O167" s="22"/>
      <c r="P167" s="22"/>
      <c r="Q167" s="32"/>
      <c r="S167" s="175" t="n">
        <f aca="false">T95</f>
        <v>2332.73558407516</v>
      </c>
      <c r="T167" s="176" t="n">
        <f aca="false">T94</f>
        <v>0</v>
      </c>
      <c r="U167" s="173"/>
      <c r="V167" s="173"/>
      <c r="W167" s="176" t="n">
        <f aca="false">T96</f>
        <v>2332.73558407516</v>
      </c>
      <c r="X167" s="22"/>
      <c r="Y167" s="22"/>
      <c r="Z167" s="32"/>
      <c r="AB167" s="175" t="n">
        <f aca="false">AC95</f>
        <v>1749.83356112024</v>
      </c>
      <c r="AC167" s="176" t="n">
        <f aca="false">AC94</f>
        <v>0</v>
      </c>
      <c r="AD167" s="173"/>
      <c r="AE167" s="173"/>
      <c r="AF167" s="176" t="n">
        <f aca="false">AC96</f>
        <v>1749.83356112024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5677.5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5677.5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5677.5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5677.5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15070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95643.968</v>
      </c>
      <c r="F182" s="22"/>
      <c r="G182" s="22"/>
      <c r="H182" s="104"/>
      <c r="J182" s="110" t="n">
        <f aca="false">(J167*K59)+N185-N179-J185</f>
        <v>19277.535558277</v>
      </c>
      <c r="K182" s="102" t="n">
        <f aca="false">K114</f>
        <v>239.99</v>
      </c>
      <c r="L182" s="102"/>
      <c r="M182" s="22"/>
      <c r="N182" s="102" t="n">
        <f aca="false">N179+J182+K182+J185</f>
        <v>57307.521558277</v>
      </c>
      <c r="O182" s="22"/>
      <c r="P182" s="22"/>
      <c r="Q182" s="104"/>
      <c r="S182" s="110" t="n">
        <f aca="false">(S167*T59)+W185-W179-S185</f>
        <v>15147.0093485554</v>
      </c>
      <c r="T182" s="102" t="n">
        <f aca="false">T114</f>
        <v>199.99</v>
      </c>
      <c r="U182" s="102"/>
      <c r="V182" s="22"/>
      <c r="W182" s="102" t="n">
        <f aca="false">W179+S182+T182+S185</f>
        <v>85200.4998585554</v>
      </c>
      <c r="X182" s="22"/>
      <c r="Y182" s="22"/>
      <c r="Z182" s="104"/>
      <c r="AB182" s="110" t="n">
        <f aca="false">(AB167*AC59)+AF185-AF179-AB185</f>
        <v>11810.6020780882</v>
      </c>
      <c r="AC182" s="102" t="n">
        <f aca="false">AC114</f>
        <v>239.99</v>
      </c>
      <c r="AD182" s="102"/>
      <c r="AE182" s="22"/>
      <c r="AF182" s="102" t="n">
        <f aca="false">AF179+AB182+AC182+AB185</f>
        <v>65421.8310780882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5687.5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5697.5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5687.5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5687.5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0</v>
      </c>
      <c r="B188" s="102" t="n">
        <f aca="false">(G158*B67)/1.2</f>
        <v>655.421397222222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755.411397222222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3467.82829513889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1669.89356318924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1575.40288767361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2638.72472958593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1510.88328112579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2332.73558407516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1749.83356112024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8359.41599999998</v>
      </c>
      <c r="B201" s="185" t="n">
        <f aca="false">E179+A201+(B182*1.2)+A185</f>
        <v>88933.388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2638.72472958593</v>
      </c>
      <c r="B212" s="176" t="str">
        <f aca="false">B167</f>
        <v>0</v>
      </c>
      <c r="C212" s="173"/>
      <c r="D212" s="173"/>
      <c r="E212" s="176" t="n">
        <f aca="false">E167</f>
        <v>2638.72472958593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15070</v>
      </c>
      <c r="B224" s="102" t="str">
        <f aca="false">B182</f>
        <v>199.99</v>
      </c>
      <c r="C224" s="102"/>
      <c r="D224" s="112"/>
      <c r="E224" s="102" t="n">
        <f aca="false">E182</f>
        <v>95643.968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2638.72472958593</v>
      </c>
      <c r="B230" s="102" t="str">
        <f aca="false">B167</f>
        <v>0</v>
      </c>
      <c r="C230" s="185"/>
      <c r="D230" s="185"/>
      <c r="E230" s="102" t="n">
        <f aca="false">E167</f>
        <v>2638.72472958593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5677.5</v>
      </c>
      <c r="B233" s="102" t="n">
        <f aca="false">E185</f>
        <v>5687.5</v>
      </c>
      <c r="C233" s="92"/>
      <c r="D233" s="92"/>
      <c r="E233" s="102" t="n">
        <f aca="false">J18*0.000006*100</f>
        <v>41.0219928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41.0219928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12258.7413972222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6720.58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6034.06432333334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6720.58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6034.06432333334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41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 t="s">
        <v>18</v>
      </c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0.0</v>
      </c>
      <c r="D3" s="262" t="n">
        <v>833.33</v>
      </c>
      <c r="E3" s="496" t="n">
        <v>0</v>
      </c>
      <c r="F3" s="62"/>
      <c r="G3" s="62" t="n">
        <v>25000</v>
      </c>
      <c r="H3" s="62"/>
      <c r="I3" s="62" t="s">
        <v>19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393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396</v>
      </c>
      <c r="C30" s="171"/>
      <c r="D30" s="214"/>
      <c r="E30" s="215"/>
      <c r="F30" s="62"/>
      <c r="G30" s="217" t="s">
        <v>32</v>
      </c>
      <c r="H30" s="453" t="n">
        <v>35000.0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18925.0</v>
      </c>
      <c r="I31" s="237" t="n">
        <f aca="false">IF(C107="YES",H31,0)</f>
        <v>18925</v>
      </c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6218.45</v>
      </c>
      <c r="J32" s="62"/>
      <c r="K32" s="62" t="n">
        <v>2160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1581.30038918711</v>
      </c>
      <c r="E33" s="215"/>
      <c r="F33" s="62"/>
      <c r="G33" s="218" t="s">
        <v>356</v>
      </c>
      <c r="H33" s="456" t="n">
        <f aca="false">E21-E11+((E16*20%)+(E19*20%)+(E20*20%))</f>
        <v>57624.99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1403.63038918711</v>
      </c>
      <c r="B36" s="102" t="n">
        <f aca="false">IF(B26="YES",H42,"")</f>
        <v>177.67</v>
      </c>
      <c r="C36" s="220"/>
      <c r="D36" s="183" t="n">
        <f aca="false">I31</f>
        <v>18925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57624.99</v>
      </c>
      <c r="I39" s="237" t="n">
        <f aca="false">(I48*H46)+H44</f>
        <v>51858.8723378945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18925</v>
      </c>
      <c r="B40" s="106" t="n">
        <f aca="false">IF(B26="YES",H42,"0")</f>
        <v>177.67</v>
      </c>
      <c r="C40" s="106"/>
      <c r="D40" s="183" t="n">
        <f aca="false">I32</f>
        <v>6218.45</v>
      </c>
      <c r="E40" s="215"/>
      <c r="F40" s="62"/>
      <c r="G40" s="62" t="s">
        <v>107</v>
      </c>
      <c r="H40" s="237" t="n">
        <f aca="false">A40/1.2</f>
        <v>15770.8333333333</v>
      </c>
      <c r="I40" s="237" t="n">
        <f aca="false">H39-I39</f>
        <v>5766.11766210552</v>
      </c>
      <c r="J40" s="62" t="n">
        <v>24541.66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177.67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12983.6187682653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374</v>
      </c>
      <c r="H45" s="237" t="n">
        <f aca="false">(H39-H44)</f>
        <v>44641.3712317348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1403.63038918711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1581.30038918711</v>
      </c>
      <c r="I48" s="237" t="n">
        <f aca="false">I49-H42</f>
        <v>1222.33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1581.30038918711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7076.293758</v>
      </c>
      <c r="C64" s="214" t="n">
        <v>10000.0</v>
      </c>
      <c r="D64" s="290" t="n">
        <f aca="false">B64-A143</f>
        <v>7076.293758</v>
      </c>
      <c r="E64" s="215"/>
      <c r="F64" s="62"/>
      <c r="G64" s="284" t="s">
        <v>91</v>
      </c>
      <c r="H64" s="132" t="n">
        <f aca="false">H61*H63</f>
        <v>7079.1425075</v>
      </c>
      <c r="I64" s="214"/>
      <c r="J64" s="290" t="n">
        <f aca="false">H64-G145</f>
        <v>7079.1425075</v>
      </c>
      <c r="K64" s="215"/>
      <c r="L64" s="62"/>
      <c r="M64" s="284" t="s">
        <v>91</v>
      </c>
      <c r="N64" s="132" t="n">
        <f aca="false">N61*N63</f>
        <v>7079.1425075</v>
      </c>
      <c r="O64" s="214"/>
      <c r="P64" s="290" t="n">
        <f aca="false">N64-M145</f>
        <v>7079.1425075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1338.912265</v>
      </c>
      <c r="C67" s="214"/>
      <c r="D67" s="290"/>
      <c r="E67" s="215"/>
      <c r="F67" s="62"/>
      <c r="G67" s="284" t="s">
        <v>94</v>
      </c>
      <c r="H67" s="132" t="n">
        <f aca="false">(H61*H66)/1.2</f>
        <v>1115.76022083333</v>
      </c>
      <c r="I67" s="214"/>
      <c r="J67" s="290"/>
      <c r="K67" s="215"/>
      <c r="L67" s="62"/>
      <c r="M67" s="284" t="s">
        <v>94</v>
      </c>
      <c r="N67" s="132" t="n">
        <f aca="false">(N61*N66)/1.2</f>
        <v>1115.76022083333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467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290" t="n">
        <f aca="false">B73+B71</f>
        <v>375</v>
      </c>
      <c r="E73" s="215"/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427" t="s">
        <v>280</v>
      </c>
      <c r="B74" s="428" t="n">
        <v>0.0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429" t="s">
        <v>281</v>
      </c>
      <c r="B75" s="430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431" t="s">
        <v>282</v>
      </c>
      <c r="B76" s="4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8517.96042466667</v>
      </c>
      <c r="C81" s="214"/>
      <c r="D81" s="214"/>
      <c r="E81" s="215"/>
      <c r="F81" s="62"/>
      <c r="G81" s="302" t="s">
        <v>103</v>
      </c>
      <c r="H81" s="303" t="n">
        <f aca="false">SUM(J64:J80)</f>
        <v>8126.6425075</v>
      </c>
      <c r="I81" s="214"/>
      <c r="J81" s="214"/>
      <c r="K81" s="215"/>
      <c r="L81" s="62"/>
      <c r="M81" s="302" t="s">
        <v>103</v>
      </c>
      <c r="N81" s="303" t="n">
        <f aca="false">SUM(P64:P80)</f>
        <v>7796.6425075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243.370297847619</v>
      </c>
      <c r="C82" s="214"/>
      <c r="D82" s="214"/>
      <c r="E82" s="215"/>
      <c r="F82" s="62"/>
      <c r="G82" s="213" t="s">
        <v>104</v>
      </c>
      <c r="H82" s="299" t="n">
        <f aca="false">H81/H29</f>
        <v>232.189785928571</v>
      </c>
      <c r="I82" s="214"/>
      <c r="J82" s="214"/>
      <c r="K82" s="215"/>
      <c r="L82" s="62"/>
      <c r="M82" s="213" t="s">
        <v>104</v>
      </c>
      <c r="N82" s="299" t="n">
        <f aca="false">N81/H29</f>
        <v>222.7612145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1403.63038918711</v>
      </c>
      <c r="C83" s="214"/>
      <c r="D83" s="214"/>
      <c r="E83" s="215"/>
      <c r="F83" s="62"/>
      <c r="G83" s="304" t="s">
        <v>105</v>
      </c>
      <c r="H83" s="305" t="n">
        <f aca="false">H47</f>
        <v>1403.63038918711</v>
      </c>
      <c r="I83" s="214"/>
      <c r="J83" s="214"/>
      <c r="K83" s="215"/>
      <c r="L83" s="62"/>
      <c r="M83" s="304" t="s">
        <v>105</v>
      </c>
      <c r="N83" s="305" t="n">
        <f aca="false">H47</f>
        <v>1403.63038918711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57645.0240462156</v>
      </c>
      <c r="C85" s="214"/>
      <c r="D85" s="214"/>
      <c r="E85" s="215"/>
      <c r="F85" s="62"/>
      <c r="G85" s="287" t="s">
        <v>115</v>
      </c>
      <c r="H85" s="130" t="n">
        <f aca="false">((H83*H29)+H81)*1.2</f>
        <v>68704.4473548587</v>
      </c>
      <c r="I85" s="214"/>
      <c r="J85" s="214"/>
      <c r="K85" s="215"/>
      <c r="L85" s="62"/>
      <c r="M85" s="287" t="s">
        <v>115</v>
      </c>
      <c r="N85" s="130" t="n">
        <f aca="false">((N83*H29)+N81)</f>
        <v>56923.7061290489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488.320090750515</v>
      </c>
      <c r="C86" s="214"/>
      <c r="D86" s="214"/>
      <c r="E86" s="215"/>
      <c r="F86" s="62"/>
      <c r="G86" s="213" t="s">
        <v>116</v>
      </c>
      <c r="H86" s="299" t="n">
        <f aca="false">((((H83*H29)+H81))/(1-H70))*H70</f>
        <v>485.005174953621</v>
      </c>
      <c r="I86" s="214"/>
      <c r="J86" s="214"/>
      <c r="K86" s="215"/>
      <c r="L86" s="62"/>
      <c r="M86" s="213" t="s">
        <v>116</v>
      </c>
      <c r="N86" s="299" t="n">
        <f aca="false">(N85/(1-N70))*N70</f>
        <v>482.209692904408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58133.3441369661</v>
      </c>
      <c r="C87" s="214"/>
      <c r="D87" s="214"/>
      <c r="E87" s="215"/>
      <c r="F87" s="62"/>
      <c r="G87" s="284" t="s">
        <v>117</v>
      </c>
      <c r="H87" s="132" t="n">
        <f aca="false">IF(H110="YES",((H85+H86)-K114),(H85+H86))</f>
        <v>69189.4525298123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57405.9158219533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IF(B99=Y98,(D40+(D40*B105))/(B58),(D40+(D40*B105))/(B57+B58))*(C45/100)</f>
        <v>213.204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223.8642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186.5535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1660.9526896276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1729.73631324531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1435.14789554883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1874.1566896276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1953.60051324531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1621.70139554883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342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393</v>
      </c>
      <c r="B105" s="313" t="n">
        <v>0.3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 t="s">
        <v>343</v>
      </c>
      <c r="C107" s="221" t="s">
        <v>393</v>
      </c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18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1729.73631324531</v>
      </c>
      <c r="H127" s="176" t="n">
        <f aca="false">IF(G105="YES",H89*H57,0)</f>
        <v>1343.1852</v>
      </c>
      <c r="I127" s="176"/>
      <c r="J127" s="333" t="n">
        <f aca="false">H91</f>
        <v>1953.60051324531</v>
      </c>
      <c r="K127" s="215"/>
      <c r="L127" s="62"/>
      <c r="M127" s="332" t="n">
        <f aca="false">N90</f>
        <v>1435.14789554883</v>
      </c>
      <c r="N127" s="176" t="n">
        <f aca="false">IF(M105="YES",N89*N57,0)</f>
        <v>1119.321</v>
      </c>
      <c r="O127" s="176"/>
      <c r="P127" s="176" t="n">
        <f aca="false">N91</f>
        <v>1621.70139554883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1660.9526896276</v>
      </c>
      <c r="B128" s="320" t="n">
        <f aca="false">IF(A105="YES",B89,0)</f>
        <v>213.204</v>
      </c>
      <c r="C128" s="324"/>
      <c r="D128" s="320" t="n">
        <f aca="false">B91</f>
        <v>1874.1566896276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1660.9526896276</v>
      </c>
      <c r="C131" s="316"/>
      <c r="D131" s="37" t="n">
        <f aca="false">IF(A105="YES",B89*B57,0)</f>
        <v>213.204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10378.4178794718</v>
      </c>
      <c r="H133" s="102" t="n">
        <f aca="false">IF(G105="YES",H89*H57,0)</f>
        <v>1343.1852</v>
      </c>
      <c r="I133" s="220"/>
      <c r="J133" s="183" t="n">
        <f aca="false">H91*H57</f>
        <v>11721.6030794718</v>
      </c>
      <c r="K133" s="215"/>
      <c r="L133" s="62"/>
      <c r="M133" s="184" t="n">
        <f aca="false">N90*N57</f>
        <v>8610.887373293</v>
      </c>
      <c r="N133" s="102" t="n">
        <f aca="false">IF(M105="YES",N89*N57,0)</f>
        <v>1119.321</v>
      </c>
      <c r="O133" s="220"/>
      <c r="P133" s="183" t="n">
        <f aca="false">N91*N57</f>
        <v>9730.208373293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1874.1566896276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1660.9526896276</v>
      </c>
      <c r="B137" s="37" t="n">
        <f aca="false">IF(A105="YES",B89,0)</f>
        <v>213.204</v>
      </c>
      <c r="C137" s="316"/>
      <c r="D137" s="37" t="n">
        <f aca="false">B91</f>
        <v>1874.1566896276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1115.76022083333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1115.76022083333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IF(A105="YES",G18*0.000002,0)*100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124.369</v>
      </c>
      <c r="H142" s="102" t="n">
        <f aca="false">G102-100</f>
        <v>99.99</v>
      </c>
      <c r="I142" s="102"/>
      <c r="J142" s="102" t="n">
        <f aca="false">(H139+J139+G142+H142)-H145</f>
        <v>1340.11922083333</v>
      </c>
      <c r="K142" s="104"/>
      <c r="L142" s="62"/>
      <c r="M142" s="110" t="n">
        <f aca="false">IF(M105="YES",((B36*N105)*0.1)*(M130),0)</f>
        <v>124.369</v>
      </c>
      <c r="N142" s="102" t="n">
        <f aca="false">M102-100</f>
        <v>99.99</v>
      </c>
      <c r="O142" s="102"/>
      <c r="P142" s="102" t="n">
        <f aca="false">(N139+P139+M142+N142)-N145</f>
        <v>1340.11922083333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1338.912265</v>
      </c>
      <c r="B148" s="37" t="n">
        <f aca="false">B102</f>
        <v>400</v>
      </c>
      <c r="C148" s="37"/>
      <c r="D148" s="37" t="n">
        <f aca="false">IF(A105="YES",(B40*B105)*B125,0)*0.1</f>
        <v>124.369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1963.271265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1953.60051324531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1621.70139554883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1874.1566896276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1660.9526896276</v>
      </c>
      <c r="B177" s="354" t="n">
        <f aca="false">IF(A105="YES",B89,0)</f>
        <v>213.204</v>
      </c>
      <c r="C177" s="356"/>
      <c r="D177" s="354" t="n">
        <f aca="false">B91</f>
        <v>1874.1566896276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1660.9526896276</v>
      </c>
      <c r="C180" s="352"/>
      <c r="D180" s="102" t="n">
        <f aca="false">IF(A105="YES",B89*B57,0)</f>
        <v>213.204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1874.1566896276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1660.9526896276</v>
      </c>
      <c r="B186" s="102" t="n">
        <f aca="false">IF(A105="YES",B89,0)</f>
        <v>213.204</v>
      </c>
      <c r="C186" s="352"/>
      <c r="D186" s="102" t="n">
        <f aca="false">B91</f>
        <v>1874.1566896276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IF(A105="YES",G18*0.000002,0)*100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1338.912265</v>
      </c>
      <c r="B197" s="102" t="n">
        <f aca="false">B102</f>
        <v>400</v>
      </c>
      <c r="C197" s="102"/>
      <c r="D197" s="102" t="n">
        <f aca="false">IF(A105="YES",(B40*B105)*B125,0)*0.1</f>
        <v>124.369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1963.271265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7076.293758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1338.912265</v>
      </c>
      <c r="C211" s="319" t="s">
        <v>218</v>
      </c>
      <c r="D211" s="369" t="n">
        <f aca="false">B225+E221+B221+B223</f>
        <v>1583.68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7321.061493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7076.293758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1338.912265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7321.061493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1243.69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488.320090750515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0.0</v>
      </c>
      <c r="D3" s="262" t="n">
        <v>833.33</v>
      </c>
      <c r="E3" s="496" t="n">
        <v>0</v>
      </c>
      <c r="F3" s="62"/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68839.988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390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396</v>
      </c>
      <c r="C30" s="171"/>
      <c r="D30" s="214"/>
      <c r="E30" s="215"/>
      <c r="F30" s="62"/>
      <c r="G30" s="217" t="s">
        <v>32</v>
      </c>
      <c r="H30" s="453" t="n">
        <v>35000.0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18925.0</v>
      </c>
      <c r="I31" s="62"/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0.0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1730.58979847558</v>
      </c>
      <c r="E33" s="215"/>
      <c r="F33" s="62"/>
      <c r="G33" s="218" t="s">
        <v>356</v>
      </c>
      <c r="H33" s="456" t="n">
        <f aca="false">E21-E11+((E16*20%)+(E19*20%)+(E20*20%))</f>
        <v>57474.99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1730.58979847558</v>
      </c>
      <c r="B36" s="102" t="str">
        <f aca="false">IF(B26="YES",H42,"")</f>
        <v/>
      </c>
      <c r="C36" s="220"/>
      <c r="D36" s="183" t="n">
        <f aca="false">H31</f>
        <v>29450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57474.99</v>
      </c>
      <c r="I39" s="237" t="n">
        <f aca="false">(I48*H46)+H44</f>
        <v>50636.0745706378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29450</v>
      </c>
      <c r="B40" s="106" t="str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(A40)/1.2</f>
        <v>24541.6666666667</v>
      </c>
      <c r="I40" s="237" t="n">
        <f aca="false">H39-I39</f>
        <v>6838.91542936218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21674.256495014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507" t="n">
        <v>100.0</v>
      </c>
      <c r="D45" s="507"/>
      <c r="E45" s="215"/>
      <c r="F45" s="62"/>
      <c r="G45" s="62" t="s">
        <v>374</v>
      </c>
      <c r="H45" s="237" t="n">
        <f aca="false">(H39-H44)</f>
        <v>35800.733504986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1730.58979847558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1730.58979847558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1730.58979847558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9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13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5784.1009848</v>
      </c>
      <c r="C64" s="214" t="n">
        <v>10000.0</v>
      </c>
      <c r="D64" s="290" t="n">
        <f aca="false">B64-A143</f>
        <v>5784.1009848</v>
      </c>
      <c r="E64" s="462" t="n">
        <f aca="false">D64/(B58+B57)</f>
        <v>262.913681127273</v>
      </c>
      <c r="F64" s="62"/>
      <c r="G64" s="284" t="s">
        <v>91</v>
      </c>
      <c r="H64" s="132" t="n">
        <f aca="false">H61*H63</f>
        <v>5782.961485</v>
      </c>
      <c r="I64" s="214"/>
      <c r="J64" s="290" t="n">
        <f aca="false">H64-G145</f>
        <v>5782.961485</v>
      </c>
      <c r="K64" s="215"/>
      <c r="L64" s="62"/>
      <c r="M64" s="284" t="s">
        <v>91</v>
      </c>
      <c r="N64" s="132" t="n">
        <f aca="false">N61*N63</f>
        <v>5782.961485</v>
      </c>
      <c r="O64" s="214"/>
      <c r="P64" s="290" t="n">
        <f aca="false">N64-M145</f>
        <v>5782.961485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968.57483</v>
      </c>
      <c r="C67" s="214"/>
      <c r="D67" s="290"/>
      <c r="E67" s="215"/>
      <c r="F67" s="62"/>
      <c r="G67" s="284" t="s">
        <v>94</v>
      </c>
      <c r="H67" s="132" t="n">
        <f aca="false">(H61*H66)/1.2</f>
        <v>807.145691666667</v>
      </c>
      <c r="I67" s="214"/>
      <c r="J67" s="290"/>
      <c r="K67" s="215"/>
      <c r="L67" s="62"/>
      <c r="M67" s="284" t="s">
        <v>94</v>
      </c>
      <c r="N67" s="132" t="n">
        <f aca="false">(N61*N66)/1.2</f>
        <v>807.145691666667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355.0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476.666666666667</v>
      </c>
      <c r="C76" s="214"/>
      <c r="D76" s="290" t="n">
        <f aca="false">B76</f>
        <v>476.666666666667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462" t="n">
        <f aca="false">D77/(B58+B57)</f>
        <v>20.2020202020202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462" t="n">
        <f aca="false">(D73+D76+D79+D80)/(B58+B57)</f>
        <v>53.9393939393939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7637.43431813333</v>
      </c>
      <c r="C81" s="214"/>
      <c r="D81" s="214"/>
      <c r="E81" s="462"/>
      <c r="F81" s="62"/>
      <c r="G81" s="302" t="s">
        <v>103</v>
      </c>
      <c r="H81" s="303" t="n">
        <f aca="false">SUM(J64:J80)</f>
        <v>6593.211485</v>
      </c>
      <c r="I81" s="214"/>
      <c r="J81" s="214"/>
      <c r="K81" s="215"/>
      <c r="L81" s="62"/>
      <c r="M81" s="302" t="s">
        <v>103</v>
      </c>
      <c r="N81" s="303" t="n">
        <f aca="false">SUM(P64:P80)</f>
        <v>6441.961485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347.156105369697</v>
      </c>
      <c r="C82" s="214"/>
      <c r="D82" s="214"/>
      <c r="E82" s="462"/>
      <c r="F82" s="62"/>
      <c r="G82" s="213" t="s">
        <v>104</v>
      </c>
      <c r="H82" s="299" t="n">
        <f aca="false">H81/H29</f>
        <v>299.691431136364</v>
      </c>
      <c r="I82" s="214"/>
      <c r="J82" s="214"/>
      <c r="K82" s="215"/>
      <c r="L82" s="62"/>
      <c r="M82" s="213" t="s">
        <v>104</v>
      </c>
      <c r="N82" s="299" t="n">
        <f aca="false">N81/H29</f>
        <v>292.816431136364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1730.58979847558</v>
      </c>
      <c r="C83" s="214"/>
      <c r="D83" s="214"/>
      <c r="E83" s="462" t="n">
        <f aca="false">B83+E80+E77+E64</f>
        <v>2067.64489374427</v>
      </c>
      <c r="F83" s="62"/>
      <c r="G83" s="304" t="s">
        <v>105</v>
      </c>
      <c r="H83" s="305" t="n">
        <f aca="false">H47</f>
        <v>1730.58979847558</v>
      </c>
      <c r="I83" s="214"/>
      <c r="J83" s="214"/>
      <c r="K83" s="215"/>
      <c r="L83" s="62"/>
      <c r="M83" s="304" t="s">
        <v>105</v>
      </c>
      <c r="N83" s="305" t="n">
        <f aca="false">H47</f>
        <v>1730.58979847558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54852.4918615154</v>
      </c>
      <c r="C85" s="214"/>
      <c r="D85" s="214"/>
      <c r="E85" s="462" t="n">
        <f aca="false">B85/(B58+B57)</f>
        <v>2493.29508461434</v>
      </c>
      <c r="F85" s="62"/>
      <c r="G85" s="287" t="s">
        <v>115</v>
      </c>
      <c r="H85" s="130" t="n">
        <f aca="false">((H83*H29)+H81)*1.2</f>
        <v>53599.4244617555</v>
      </c>
      <c r="I85" s="214"/>
      <c r="J85" s="214"/>
      <c r="K85" s="215"/>
      <c r="L85" s="62"/>
      <c r="M85" s="287" t="s">
        <v>115</v>
      </c>
      <c r="N85" s="130" t="n">
        <f aca="false">((N83*H29)+N81)</f>
        <v>44514.9370514629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((((B83*H29)+B81))/(1-B70))*B70</f>
        <v>387.220091801743</v>
      </c>
      <c r="C86" s="214"/>
      <c r="D86" s="214"/>
      <c r="E86" s="462" t="n">
        <f aca="false">B86/(B58+B57)</f>
        <v>17.6009132637156</v>
      </c>
      <c r="F86" s="62"/>
      <c r="G86" s="213" t="s">
        <v>116</v>
      </c>
      <c r="H86" s="299" t="n">
        <f aca="false">((((H83*H29)+H81))/(1-H70))*H70</f>
        <v>378.37431548234</v>
      </c>
      <c r="I86" s="214"/>
      <c r="J86" s="214"/>
      <c r="K86" s="215"/>
      <c r="L86" s="62"/>
      <c r="M86" s="213" t="s">
        <v>116</v>
      </c>
      <c r="N86" s="299" t="n">
        <f aca="false">(N85/(1-N70))*N70</f>
        <v>377.09305287645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55239.7119533172</v>
      </c>
      <c r="C87" s="214"/>
      <c r="D87" s="214"/>
      <c r="E87" s="462" t="n">
        <f aca="false">E86+E85</f>
        <v>2510.89599787805</v>
      </c>
      <c r="F87" s="62"/>
      <c r="G87" s="284" t="s">
        <v>117</v>
      </c>
      <c r="H87" s="132" t="n">
        <f aca="false">IF(H110="YES",((H85+H86)-K114),(H85+H86))</f>
        <v>53977.7987772378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44892.0301043393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IF(B99=Y98,(D40+(D40*B105))/(B58),(D40+(D40*B105))/(B57+B58))*1.2*(C45/100)</f>
        <v>0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2510.89599787805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1999.17773249029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1662.6677816422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2510.89599787805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1999.17773249029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1662.6677816422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0.0</v>
      </c>
      <c r="C102" s="106"/>
      <c r="D102" s="106" t="n">
        <v>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390</v>
      </c>
      <c r="B105" s="313" t="n">
        <v>0.0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E118+E117-E114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1999.17773249029</v>
      </c>
      <c r="H127" s="176" t="n">
        <f aca="false">IF(G105="YES",H89*H57,0)</f>
        <v>0</v>
      </c>
      <c r="I127" s="176"/>
      <c r="J127" s="333" t="n">
        <f aca="false">H91</f>
        <v>1999.17773249029</v>
      </c>
      <c r="K127" s="215"/>
      <c r="L127" s="62"/>
      <c r="M127" s="332" t="n">
        <f aca="false">N90</f>
        <v>1662.6677816422</v>
      </c>
      <c r="N127" s="176" t="n">
        <f aca="false">IF(M105="YES",N89*N57,0)</f>
        <v>0</v>
      </c>
      <c r="O127" s="176"/>
      <c r="P127" s="176" t="n">
        <f aca="false">N91</f>
        <v>1662.6677816422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2510.89599787805</v>
      </c>
      <c r="B128" s="320" t="n">
        <f aca="false">IF(A105="YES",B89,0)</f>
        <v>0</v>
      </c>
      <c r="C128" s="324"/>
      <c r="D128" s="320" t="n">
        <f aca="false">B91</f>
        <v>2510.89599787805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13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13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22598.0639809025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11995.0663949417</v>
      </c>
      <c r="H133" s="102" t="n">
        <f aca="false">IF(G105="YES",H89*H57,0)</f>
        <v>0</v>
      </c>
      <c r="I133" s="220"/>
      <c r="J133" s="183" t="n">
        <f aca="false">H91*H57</f>
        <v>11995.0663949417</v>
      </c>
      <c r="K133" s="215"/>
      <c r="L133" s="62"/>
      <c r="M133" s="184" t="n">
        <f aca="false">N90*N57</f>
        <v>9976.00668985318</v>
      </c>
      <c r="N133" s="102" t="n">
        <f aca="false">IF(M105="YES",N89*N57,0)</f>
        <v>0</v>
      </c>
      <c r="O133" s="220"/>
      <c r="P133" s="183" t="n">
        <f aca="false">N91*N57</f>
        <v>9976.00668985318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22598.0639809025</v>
      </c>
      <c r="B134" s="37" t="n">
        <f aca="false">E114</f>
        <v>4000</v>
      </c>
      <c r="C134" s="316"/>
      <c r="D134" s="336" t="n">
        <f aca="false">B58</f>
        <v>13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2510.89599787805</v>
      </c>
      <c r="B137" s="37" t="n">
        <f aca="false">IF(A105="YES",B89,0)</f>
        <v>0</v>
      </c>
      <c r="C137" s="316"/>
      <c r="D137" s="37" t="n">
        <f aca="false">B91</f>
        <v>2510.89599787805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807.145691666667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807.145691666667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49.22639136</v>
      </c>
      <c r="B140" s="342" t="n">
        <f aca="false">IF(A105="YES",G18*0.000002,0)*1.2*100</f>
        <v>0</v>
      </c>
      <c r="C140" s="316"/>
      <c r="D140" s="342" t="n">
        <f aca="false">A140+B140</f>
        <v>49.22639136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e">
        <f aca="false">IF(G105="YES",((B36*H105)*0.1)*(G130),0)</f>
        <v>#VALUE!</v>
      </c>
      <c r="H142" s="102" t="n">
        <f aca="false">G102-100</f>
        <v>99.99</v>
      </c>
      <c r="I142" s="102"/>
      <c r="J142" s="102" t="e">
        <f aca="false">(H139+J139+G142+H142)-H145</f>
        <v>#VALUE!</v>
      </c>
      <c r="K142" s="104"/>
      <c r="L142" s="62"/>
      <c r="M142" s="110" t="e">
        <f aca="false">IF(M105="YES",((B36*N105)*0.1)*(M130),0)</f>
        <v>#VALUE!</v>
      </c>
      <c r="N142" s="102" t="n">
        <f aca="false">M102-100</f>
        <v>99.99</v>
      </c>
      <c r="O142" s="102"/>
      <c r="P142" s="102" t="e">
        <f aca="false">(N139+P139+M142+N142)-N145</f>
        <v>#VALUE!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#VALUE!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#VALUE!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968.57483</v>
      </c>
      <c r="B148" s="37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1468.56649666667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1999.17773249029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1662.6677816422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2510.89599787805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2510.89599787805</v>
      </c>
      <c r="B177" s="354" t="n">
        <f aca="false">IF(A105="YES",B89,0)</f>
        <v>0</v>
      </c>
      <c r="C177" s="356"/>
      <c r="D177" s="354" t="n">
        <f aca="false">B91</f>
        <v>2510.89599787805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Terminal pause with 9 down </v>
      </c>
      <c r="B180" s="102" t="n">
        <f aca="false">B90*B57</f>
        <v>22598.0639809025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22598.0639809025</v>
      </c>
      <c r="B183" s="102" t="n">
        <f aca="false">E114</f>
        <v>4000</v>
      </c>
      <c r="C183" s="352"/>
      <c r="D183" s="360" t="n">
        <f aca="false">B58</f>
        <v>13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2510.89599787805</v>
      </c>
      <c r="B186" s="102" t="n">
        <f aca="false">IF(A105="YES",B89,0)</f>
        <v>0</v>
      </c>
      <c r="C186" s="352"/>
      <c r="D186" s="102" t="n">
        <f aca="false">B91</f>
        <v>2510.89599787805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IF(A105="YES",G18*0.000002,0)*1.2*100</f>
        <v>0</v>
      </c>
      <c r="C189" s="352"/>
      <c r="D189" s="364" t="n">
        <f aca="false">A189+B189</f>
        <v>49.22639136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968.57483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(E118/1.2)-100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1468.56649666667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5784.1009848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968.57483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5155.51782146667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5784.1009848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968.57483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5155.51782146667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387.220091801743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0.0</v>
      </c>
      <c r="D3" s="262" t="n">
        <v>833.33</v>
      </c>
      <c r="E3" s="496" t="n">
        <v>0</v>
      </c>
      <c r="F3" s="62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393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22.0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396</v>
      </c>
      <c r="C30" s="171"/>
      <c r="D30" s="214"/>
      <c r="E30" s="215"/>
      <c r="F30" s="62"/>
      <c r="G30" s="217" t="s">
        <v>32</v>
      </c>
      <c r="H30" s="453" t="n">
        <v>22000.0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29450.0</v>
      </c>
      <c r="I31" s="62"/>
      <c r="J31" s="62"/>
      <c r="K31" s="62" t="n">
        <v>10000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2230.8</v>
      </c>
      <c r="J32" s="62"/>
      <c r="K32" s="62" t="n">
        <v>14400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1839.24072448623</v>
      </c>
      <c r="E33" s="215"/>
      <c r="F33" s="62"/>
      <c r="G33" s="218" t="s">
        <v>356</v>
      </c>
      <c r="H33" s="456" t="n">
        <f aca="false">E21-E11+((E16*20%)+(E19*20%)+(E20*20%))</f>
        <v>57624.99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1737.84072448623</v>
      </c>
      <c r="B36" s="102" t="n">
        <f aca="false">IF(B26="YES",H42,"")</f>
        <v>101.4</v>
      </c>
      <c r="C36" s="220"/>
      <c r="D36" s="183" t="n">
        <f aca="false">H31</f>
        <v>29450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57624.99</v>
      </c>
      <c r="I39" s="237" t="n">
        <f aca="false">(I48*H46)+H44</f>
        <v>48538.4114614462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29450</v>
      </c>
      <c r="B40" s="106" t="n">
        <f aca="false">IF(B26="YES",H42,"0")</f>
        <v>101.4</v>
      </c>
      <c r="C40" s="106"/>
      <c r="D40" s="183" t="n">
        <f aca="false">I32</f>
        <v>2230.8</v>
      </c>
      <c r="E40" s="215"/>
      <c r="F40" s="62"/>
      <c r="G40" s="62" t="s">
        <v>107</v>
      </c>
      <c r="H40" s="237" t="n">
        <f aca="false">A40/1.2</f>
        <v>24541.6666666667</v>
      </c>
      <c r="I40" s="237" t="n">
        <f aca="false">H39-I39</f>
        <v>9086.5785385538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101.4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21674.256495014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374</v>
      </c>
      <c r="H45" s="237" t="n">
        <f aca="false">(H39-H44)</f>
        <v>35950.733504986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1737.84072448623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1839.24072448623</v>
      </c>
      <c r="I48" s="237" t="n">
        <f aca="false">I49-H42</f>
        <v>1298.6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1839.24072448623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5784.1009848</v>
      </c>
      <c r="C64" s="461" t="n">
        <v>10000.0</v>
      </c>
      <c r="D64" s="290" t="n">
        <f aca="false">B64</f>
        <v>5784.1009848</v>
      </c>
      <c r="E64" s="462" t="n">
        <f aca="false">D64/(B58+B57)</f>
        <v>262.913681127273</v>
      </c>
      <c r="F64" s="62"/>
      <c r="G64" s="284" t="s">
        <v>91</v>
      </c>
      <c r="H64" s="132" t="n">
        <f aca="false">H61*H63</f>
        <v>5782.961485</v>
      </c>
      <c r="I64" s="214"/>
      <c r="J64" s="290" t="n">
        <f aca="false">H64-G145</f>
        <v>5782.961485</v>
      </c>
      <c r="K64" s="215"/>
      <c r="L64" s="62"/>
      <c r="M64" s="284" t="s">
        <v>91</v>
      </c>
      <c r="N64" s="132" t="n">
        <f aca="false">N61*N63</f>
        <v>5782.961485</v>
      </c>
      <c r="O64" s="214"/>
      <c r="P64" s="290" t="n">
        <f aca="false">N64-M145</f>
        <v>5782.961485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968.57483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807.145691666667</v>
      </c>
      <c r="I67" s="214"/>
      <c r="J67" s="290"/>
      <c r="K67" s="215"/>
      <c r="L67" s="62"/>
      <c r="M67" s="284" t="s">
        <v>94</v>
      </c>
      <c r="N67" s="132" t="n">
        <f aca="false">(N61*N66)/1.2</f>
        <v>807.145691666667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468" t="n">
        <f aca="false">B73+B71</f>
        <v>310</v>
      </c>
      <c r="E73" s="215" t="s">
        <v>228</v>
      </c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355.0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476.666666666667</v>
      </c>
      <c r="C76" s="214"/>
      <c r="D76" s="290" t="n">
        <f aca="false">B76</f>
        <v>476.666666666667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20.2020202020202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53.9393939393939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7637.43431813333</v>
      </c>
      <c r="C81" s="469"/>
      <c r="D81" s="470"/>
      <c r="E81" s="462"/>
      <c r="F81" s="62"/>
      <c r="G81" s="302" t="s">
        <v>103</v>
      </c>
      <c r="H81" s="303" t="n">
        <f aca="false">SUM(J64:J80)</f>
        <v>6593.211485</v>
      </c>
      <c r="I81" s="214"/>
      <c r="J81" s="214"/>
      <c r="K81" s="215"/>
      <c r="L81" s="62"/>
      <c r="M81" s="302" t="s">
        <v>103</v>
      </c>
      <c r="N81" s="303" t="n">
        <f aca="false">SUM(P64:P80)</f>
        <v>6441.961485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347.156105369697</v>
      </c>
      <c r="C82" s="469"/>
      <c r="D82" s="214"/>
      <c r="E82" s="462"/>
      <c r="F82" s="62"/>
      <c r="G82" s="213" t="s">
        <v>104</v>
      </c>
      <c r="H82" s="299" t="n">
        <f aca="false">H81/H29</f>
        <v>299.691431136364</v>
      </c>
      <c r="I82" s="214"/>
      <c r="J82" s="214"/>
      <c r="K82" s="215"/>
      <c r="L82" s="62"/>
      <c r="M82" s="213" t="s">
        <v>104</v>
      </c>
      <c r="N82" s="299" t="n">
        <f aca="false">N81/H29</f>
        <v>292.816431136364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1737.84072448623</v>
      </c>
      <c r="C83" s="469"/>
      <c r="D83" s="214"/>
      <c r="E83" s="462" t="n">
        <f aca="false">B83+E80+E77+E64</f>
        <v>2074.89581975491</v>
      </c>
      <c r="F83" s="62"/>
      <c r="G83" s="304" t="s">
        <v>105</v>
      </c>
      <c r="H83" s="305" t="n">
        <f aca="false">H47</f>
        <v>1737.84072448623</v>
      </c>
      <c r="I83" s="214"/>
      <c r="J83" s="214"/>
      <c r="K83" s="215"/>
      <c r="L83" s="62"/>
      <c r="M83" s="304" t="s">
        <v>105</v>
      </c>
      <c r="N83" s="305" t="n">
        <f aca="false">H47</f>
        <v>1737.84072448623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45869.9302568303</v>
      </c>
      <c r="C85" s="469"/>
      <c r="D85" s="469"/>
      <c r="E85" s="462" t="n">
        <f aca="false">B85/(B58+B57)</f>
        <v>2084.99682985592</v>
      </c>
      <c r="F85" s="62"/>
      <c r="G85" s="287" t="s">
        <v>115</v>
      </c>
      <c r="H85" s="130" t="n">
        <f aca="false">((H83*H29)+H81)*1.2</f>
        <v>53790.8489084364</v>
      </c>
      <c r="I85" s="214"/>
      <c r="J85" s="214"/>
      <c r="K85" s="215"/>
      <c r="L85" s="62"/>
      <c r="M85" s="287" t="s">
        <v>115</v>
      </c>
      <c r="N85" s="130" t="n">
        <f aca="false">((N83*H29)+N81)</f>
        <v>44674.457423697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388.571414035271</v>
      </c>
      <c r="C86" s="469" t="s">
        <v>231</v>
      </c>
      <c r="D86" s="214"/>
      <c r="E86" s="462" t="n">
        <f aca="false">B86/(B58+B57)</f>
        <v>17.6623370016032</v>
      </c>
      <c r="F86" s="62"/>
      <c r="G86" s="213" t="s">
        <v>116</v>
      </c>
      <c r="H86" s="299" t="n">
        <f aca="false">((((H83*H29)+H81))/(1-H70))*H70</f>
        <v>379.725637715868</v>
      </c>
      <c r="I86" s="214"/>
      <c r="J86" s="214"/>
      <c r="K86" s="215"/>
      <c r="L86" s="62"/>
      <c r="M86" s="213" t="s">
        <v>116</v>
      </c>
      <c r="N86" s="299" t="n">
        <f aca="false">(N85/(1-N70))*N70</f>
        <v>378.444375109978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46258.5016708656</v>
      </c>
      <c r="C87" s="469"/>
      <c r="D87" s="471"/>
      <c r="E87" s="462" t="n">
        <f aca="false">E86+E85</f>
        <v>2102.65916685753</v>
      </c>
      <c r="F87" s="62"/>
      <c r="G87" s="284" t="s">
        <v>117</v>
      </c>
      <c r="H87" s="132" t="n">
        <f aca="false">IF(H110="YES",((H85+H86)-K114),(H85+H86))</f>
        <v>54170.5745461522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45052.901798807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131.82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118.976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99.1466666666667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2102.65916685753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2006.31757578342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1668.62599254841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2234.47916685753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2125.29357578342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1767.77265921507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0.0</v>
      </c>
      <c r="C102" s="106"/>
      <c r="D102" s="106" t="n">
        <v>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393</v>
      </c>
      <c r="B105" s="313" t="n">
        <v>0.3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 t="s">
        <v>19</v>
      </c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2006.31757578342</v>
      </c>
      <c r="H127" s="176" t="n">
        <f aca="false">IF(G105="YES",H89*H57,0)</f>
        <v>713.856</v>
      </c>
      <c r="I127" s="176"/>
      <c r="J127" s="333" t="n">
        <f aca="false">H91</f>
        <v>2125.29357578342</v>
      </c>
      <c r="K127" s="215"/>
      <c r="L127" s="62"/>
      <c r="M127" s="332" t="n">
        <f aca="false">N90</f>
        <v>1668.62599254841</v>
      </c>
      <c r="N127" s="176" t="n">
        <f aca="false">IF(M105="YES",N89*N57,0)</f>
        <v>594.88</v>
      </c>
      <c r="O127" s="176"/>
      <c r="P127" s="176" t="n">
        <f aca="false">N91</f>
        <v>1767.77265921507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2102.65916685753</v>
      </c>
      <c r="B128" s="320" t="n">
        <f aca="false">IF(A105="YES",B89,0)</f>
        <v>131.82</v>
      </c>
      <c r="C128" s="324"/>
      <c r="D128" s="320" t="n">
        <f aca="false">B91</f>
        <v>2234.47916685753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2102.65916685753</v>
      </c>
      <c r="C131" s="316"/>
      <c r="D131" s="37" t="n">
        <f aca="false">IF(A105="YES",B89*B57,0)</f>
        <v>131.82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12037.9054547005</v>
      </c>
      <c r="H133" s="102" t="n">
        <f aca="false">IF(G105="YES",H89*H57,0)</f>
        <v>713.856</v>
      </c>
      <c r="I133" s="220"/>
      <c r="J133" s="183" t="n">
        <f aca="false">H91*H57</f>
        <v>12751.7614547005</v>
      </c>
      <c r="K133" s="215"/>
      <c r="L133" s="62"/>
      <c r="M133" s="184" t="n">
        <f aca="false">N90*N57</f>
        <v>10011.7559552904</v>
      </c>
      <c r="N133" s="102" t="n">
        <f aca="false">IF(M105="YES",N89*N57,0)</f>
        <v>594.88</v>
      </c>
      <c r="O133" s="220"/>
      <c r="P133" s="183" t="n">
        <f aca="false">N91*N57</f>
        <v>10606.6359552904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2234.47916685753</v>
      </c>
      <c r="B134" s="37" t="n">
        <f aca="false">E114</f>
        <v>4000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2102.65916685753</v>
      </c>
      <c r="B137" s="37" t="n">
        <f aca="false">IF(A105="YES",B89,0)</f>
        <v>131.82</v>
      </c>
      <c r="C137" s="316"/>
      <c r="D137" s="37" t="n">
        <f aca="false">B91</f>
        <v>2234.47916685753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807.145691666667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807.145691666667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IF(A105="YES",G18*0.000002,0)*100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44.616</v>
      </c>
      <c r="H142" s="102" t="n">
        <f aca="false">G102-100</f>
        <v>99.99</v>
      </c>
      <c r="I142" s="102"/>
      <c r="J142" s="102" t="n">
        <f aca="false">(H139+J139+G142+H142)-H145</f>
        <v>951.751691666667</v>
      </c>
      <c r="K142" s="104"/>
      <c r="L142" s="62"/>
      <c r="M142" s="110" t="n">
        <f aca="false">IF(M105="YES",((B36*N105)*0.1)*(M130),0)</f>
        <v>44.616</v>
      </c>
      <c r="N142" s="102" t="n">
        <f aca="false">M102-100</f>
        <v>99.99</v>
      </c>
      <c r="O142" s="102"/>
      <c r="P142" s="102" t="n">
        <f aca="false">(N139+P139+M142+N142)-N145</f>
        <v>951.751691666667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968.57483</v>
      </c>
      <c r="B148" s="102" t="n">
        <f aca="false">B102</f>
        <v>400</v>
      </c>
      <c r="C148" s="37"/>
      <c r="D148" s="37" t="n">
        <f aca="false">IF(A105="YES",(B40*B105)*B125,0)*0.1</f>
        <v>66.924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1535.48883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2125.29357578342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1767.77265921507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2234.47916685753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2102.65916685753</v>
      </c>
      <c r="B177" s="354" t="n">
        <f aca="false">IF(A105="YES",B89,0)</f>
        <v>131.82</v>
      </c>
      <c r="C177" s="356"/>
      <c r="D177" s="354" t="n">
        <f aca="false">B91</f>
        <v>2234.47916685753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2102.65916685753</v>
      </c>
      <c r="C180" s="352"/>
      <c r="D180" s="102" t="n">
        <f aca="false">IF(A105="YES",B89*B57,0)</f>
        <v>131.82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2234.47916685753</v>
      </c>
      <c r="B183" s="102" t="n">
        <f aca="false">E114</f>
        <v>4000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2102.65916685753</v>
      </c>
      <c r="B186" s="102" t="n">
        <f aca="false">IF(A105="YES",B89,0)</f>
        <v>131.82</v>
      </c>
      <c r="C186" s="352"/>
      <c r="D186" s="102" t="n">
        <f aca="false">B91</f>
        <v>2234.47916685753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IF(A105="YES",G18*0.000002,0)*100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968.57483</v>
      </c>
      <c r="B197" s="102" t="n">
        <f aca="false">B102</f>
        <v>400</v>
      </c>
      <c r="C197" s="102"/>
      <c r="D197" s="102" t="n">
        <f aca="false">IF(A105="YES",(B40*B105)*B125,0)*0.1</f>
        <v>66.924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1535.48883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5784.1009848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968.57483</v>
      </c>
      <c r="C211" s="319" t="s">
        <v>218</v>
      </c>
      <c r="D211" s="369" t="n">
        <f aca="false">B225+E221+B221+B223</f>
        <v>1009.23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5824.7561548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5784.1009848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968.57483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5824.7561548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669.24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388.571414035271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A18:A20 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</v>
      </c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18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6000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12</v>
      </c>
      <c r="B44" s="103" t="n">
        <v>1</v>
      </c>
      <c r="C44" s="103"/>
      <c r="D44" s="103" t="n">
        <v>1</v>
      </c>
      <c r="E44" s="103"/>
      <c r="F44" s="62"/>
      <c r="G44" s="62" t="s">
        <v>257</v>
      </c>
      <c r="H44" s="237" t="n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n">
        <v>0.01</v>
      </c>
      <c r="C47" s="425"/>
      <c r="D47" s="103" t="n">
        <v>1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 t="s">
        <v>389</v>
      </c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21" t="s">
        <v>19</v>
      </c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275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82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12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/>
      <c r="D70" s="290" t="n">
        <f aca="false">B70-A151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4711.95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392.6625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10723.95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90.8442718838241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10814.7942718838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((H44*B35)+((H44*B35)*B111))/(B63+B64)</f>
        <v>31.304347826087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IF(B105=Y104,(B93-D111)/(B64),B93/(B63+B64))</f>
        <v>470.208446603645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501.512794429732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287</v>
      </c>
      <c r="B105" s="311" t="s">
        <v>268</v>
      </c>
      <c r="C105" s="311"/>
      <c r="D105" s="418" t="n">
        <v>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3" t="n">
        <v>0.2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/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199.99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213"/>
      <c r="B129" s="214"/>
      <c r="C129" s="214"/>
      <c r="D129" s="214"/>
      <c r="E129" s="215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213" t="s">
        <v>182</v>
      </c>
      <c r="B130" s="171" t="n">
        <v>1200</v>
      </c>
      <c r="C130" s="171"/>
      <c r="D130" s="214"/>
      <c r="E130" s="215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213"/>
      <c r="B131" s="214"/>
      <c r="C131" s="214"/>
      <c r="D131" s="214"/>
      <c r="E131" s="215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213" t="s">
        <v>83</v>
      </c>
      <c r="B132" s="214" t="s">
        <v>84</v>
      </c>
      <c r="C132" s="214"/>
      <c r="D132" s="214" t="s">
        <v>86</v>
      </c>
      <c r="E132" s="215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227" t="n">
        <f aca="false">A158</f>
        <v>12</v>
      </c>
      <c r="B133" s="228" t="n">
        <f aca="false">B157</f>
        <v>5000</v>
      </c>
      <c r="C133" s="229"/>
      <c r="D133" s="228" t="n">
        <f aca="false">B64</f>
        <v>11</v>
      </c>
      <c r="E133" s="215"/>
      <c r="F133" s="62"/>
      <c r="G133" s="227" t="n">
        <f aca="false">G158</f>
        <v>12</v>
      </c>
      <c r="H133" s="228" t="n">
        <f aca="false">B157</f>
        <v>5000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5000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213"/>
      <c r="B134" s="214"/>
      <c r="C134" s="214"/>
      <c r="D134" s="214"/>
      <c r="E134" s="215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26" t="s">
        <v>344</v>
      </c>
      <c r="B135" s="327" t="s">
        <v>252</v>
      </c>
      <c r="C135" s="327"/>
      <c r="D135" s="327" t="s">
        <v>120</v>
      </c>
      <c r="E135" s="215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32" t="n">
        <f aca="false">B96</f>
        <v>470.208446603645</v>
      </c>
      <c r="B136" s="176" t="n">
        <f aca="false">IF(A111="YES",B95*B63,0)</f>
        <v>375.652173913043</v>
      </c>
      <c r="C136" s="176"/>
      <c r="D136" s="176" t="n">
        <f aca="false">B97</f>
        <v>501.512794429732</v>
      </c>
      <c r="E136" s="215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213"/>
      <c r="B137" s="214"/>
      <c r="C137" s="214"/>
      <c r="D137" s="214"/>
      <c r="E137" s="215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213" t="s">
        <v>345</v>
      </c>
      <c r="B138" s="214" t="s">
        <v>241</v>
      </c>
      <c r="C138" s="214"/>
      <c r="D138" s="214" t="s">
        <v>245</v>
      </c>
      <c r="E138" s="215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84" t="n">
        <f aca="false">B96*B63</f>
        <v>5642.50135924373</v>
      </c>
      <c r="B139" s="102" t="n">
        <f aca="false">IF(A111="YES",B95*B63,0)</f>
        <v>375.652173913043</v>
      </c>
      <c r="C139" s="220"/>
      <c r="D139" s="183" t="n">
        <f aca="false">B97*B63</f>
        <v>6018.15353315678</v>
      </c>
      <c r="E139" s="215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213"/>
      <c r="B140" s="214"/>
      <c r="C140" s="214"/>
      <c r="D140" s="214"/>
      <c r="E140" s="215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213" t="s">
        <v>254</v>
      </c>
      <c r="B141" s="214" t="s">
        <v>255</v>
      </c>
      <c r="C141" s="214"/>
      <c r="D141" s="214" t="s">
        <v>259</v>
      </c>
      <c r="E141" s="215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110" t="n">
        <f aca="false">E15*0.000006</f>
        <v>0.35115</v>
      </c>
      <c r="B142" s="102" t="n">
        <f aca="false">IF(A111="YES",E15*0.000002,0)</f>
        <v>0.11705</v>
      </c>
      <c r="C142" s="102"/>
      <c r="D142" s="102" t="n">
        <f aca="false">A142+B142</f>
        <v>0.4682</v>
      </c>
      <c r="E142" s="104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213"/>
      <c r="B143" s="214"/>
      <c r="C143" s="214"/>
      <c r="D143" s="214"/>
      <c r="E143" s="215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213" t="s">
        <v>140</v>
      </c>
      <c r="B144" s="214" t="s">
        <v>311</v>
      </c>
      <c r="C144" s="214"/>
      <c r="D144" s="214" t="s">
        <v>312</v>
      </c>
      <c r="E144" s="215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110" t="n">
        <f aca="false">A108</f>
        <v>199.99</v>
      </c>
      <c r="B145" s="102" t="n">
        <f aca="false">B73/1.2</f>
        <v>482.375</v>
      </c>
      <c r="C145" s="102"/>
      <c r="D145" s="102" t="n">
        <f aca="false">B108*0.9</f>
        <v>0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213"/>
      <c r="B146" s="214"/>
      <c r="C146" s="214"/>
      <c r="D146" s="214"/>
      <c r="E146" s="215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213" t="s">
        <v>314</v>
      </c>
      <c r="B147" s="214" t="s">
        <v>315</v>
      </c>
      <c r="C147" s="214"/>
      <c r="D147" s="214" t="s">
        <v>316</v>
      </c>
      <c r="E147" s="215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IF(A111="YES",((A41*B111)*0.1)*(A133),0)</f>
        <v>12</v>
      </c>
      <c r="B148" s="102" t="n">
        <f aca="false">A108-100</f>
        <v>99.99</v>
      </c>
      <c r="C148" s="102"/>
      <c r="D148" s="102" t="n">
        <f aca="false">(B145+D145+A148+B148)-B151</f>
        <v>594.365</v>
      </c>
      <c r="E148" s="104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1473.1755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1433.1775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213"/>
      <c r="B149" s="214"/>
      <c r="C149" s="214"/>
      <c r="D149" s="214"/>
      <c r="E149" s="215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213" t="s">
        <v>318</v>
      </c>
      <c r="B150" s="214" t="s">
        <v>319</v>
      </c>
      <c r="C150" s="214"/>
      <c r="D150" s="214"/>
      <c r="E150" s="215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v>0</v>
      </c>
      <c r="B151" s="102" t="n">
        <f aca="false">(B145+D145+A148+B148)*(A151/B70)</f>
        <v>0</v>
      </c>
      <c r="C151" s="214"/>
      <c r="D151" s="214"/>
      <c r="E151" s="215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213"/>
      <c r="B152" s="214"/>
      <c r="C152" s="214"/>
      <c r="D152" s="214"/>
      <c r="E152" s="215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213"/>
      <c r="B153" s="214"/>
      <c r="C153" s="214"/>
      <c r="D153" s="214"/>
      <c r="E153" s="215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280" t="s">
        <v>324</v>
      </c>
      <c r="B154" s="214"/>
      <c r="C154" s="214"/>
      <c r="D154" s="281"/>
      <c r="E154" s="282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213"/>
      <c r="B155" s="248"/>
      <c r="C155" s="248"/>
      <c r="D155" s="214"/>
      <c r="E155" s="215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249" t="s">
        <v>83</v>
      </c>
      <c r="B156" s="250" t="s">
        <v>84</v>
      </c>
      <c r="C156" s="250"/>
      <c r="D156" s="214"/>
      <c r="E156" s="215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249"/>
      <c r="B157" s="251" t="n">
        <f aca="false">B57</f>
        <v>5000</v>
      </c>
      <c r="C157" s="251"/>
      <c r="D157" s="214"/>
      <c r="E157" s="215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253" t="n">
        <f aca="false">A58</f>
        <v>12</v>
      </c>
      <c r="B158" s="73" t="n">
        <f aca="false">B97</f>
        <v>501.512794429732</v>
      </c>
      <c r="C158" s="73"/>
      <c r="D158" s="214"/>
      <c r="E158" s="215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13"/>
      <c r="B159" s="214"/>
      <c r="C159" s="214"/>
      <c r="D159" s="214"/>
      <c r="E159" s="215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13"/>
      <c r="B160" s="214"/>
      <c r="C160" s="214"/>
      <c r="D160" s="214"/>
      <c r="E160" s="215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13"/>
      <c r="B161" s="214"/>
      <c r="C161" s="214"/>
      <c r="D161" s="214"/>
      <c r="E161" s="215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213"/>
      <c r="B162" s="214"/>
      <c r="C162" s="214"/>
      <c r="D162" s="214"/>
      <c r="E162" s="215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508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n">
        <v>500.0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50.0</v>
      </c>
      <c r="B41" s="240" t="n">
        <f aca="false">IF(B38="YES",D38+A41,D38)</f>
        <v>500</v>
      </c>
      <c r="C41" s="240"/>
      <c r="D41" s="103" t="n">
        <v>12.0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1.0</v>
      </c>
      <c r="B44" s="103" t="n">
        <v>1.0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4785.89916</v>
      </c>
      <c r="C64" s="214" t="n">
        <v>10000</v>
      </c>
      <c r="D64" s="290" t="n">
        <f aca="false">B64</f>
        <v>4785.89916</v>
      </c>
      <c r="E64" s="215"/>
      <c r="F64" s="62"/>
      <c r="G64" s="284" t="s">
        <v>91</v>
      </c>
      <c r="H64" s="132" t="n">
        <f aca="false">H61*H63</f>
        <v>4785.89916</v>
      </c>
      <c r="I64" s="214"/>
      <c r="J64" s="290" t="n">
        <f aca="false">H64</f>
        <v>4785.89916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683.69988</v>
      </c>
      <c r="C67" s="214"/>
      <c r="D67" s="290"/>
      <c r="E67" s="215"/>
      <c r="F67" s="62"/>
      <c r="G67" s="284" t="s">
        <v>94</v>
      </c>
      <c r="H67" s="132" t="n">
        <f aca="false">H61*H66</f>
        <v>341.84994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6112.56582666667</v>
      </c>
      <c r="C81" s="214"/>
      <c r="D81" s="214"/>
      <c r="E81" s="215"/>
      <c r="F81" s="62"/>
      <c r="G81" s="302" t="s">
        <v>103</v>
      </c>
      <c r="H81" s="303" t="n">
        <f aca="false">SUM(J64:J80)</f>
        <v>6439.48249333333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509.380485555556</v>
      </c>
      <c r="C82" s="214"/>
      <c r="D82" s="214"/>
      <c r="E82" s="215"/>
      <c r="F82" s="62"/>
      <c r="G82" s="213" t="s">
        <v>104</v>
      </c>
      <c r="H82" s="299" t="n">
        <f aca="false">H81/H29</f>
        <v>536.623541111111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14549.478992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14941.778992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102.709109463493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105.478472109722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14652.1881014635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14947.2674641097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1221.01567512196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1245.60562200914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1221.01567512196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1245.60562200914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239.99</v>
      </c>
      <c r="B102" s="106" t="n">
        <v>400.0</v>
      </c>
      <c r="C102" s="106"/>
      <c r="D102" s="106" t="n">
        <v>200.0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393</v>
      </c>
      <c r="B105" s="311" t="n">
        <v>20.0</v>
      </c>
      <c r="C105" s="311"/>
      <c r="D105" s="106" t="s">
        <v>397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1221.01567512196</v>
      </c>
      <c r="B128" s="320" t="n">
        <f aca="false">IF(A105="YES",B89,0)</f>
        <v>0</v>
      </c>
      <c r="C128" s="325"/>
      <c r="D128" s="320" t="n">
        <f aca="false">B91</f>
        <v>1221.01567512196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1245.60562200914</v>
      </c>
      <c r="H130" s="176" t="n">
        <f aca="false">IF(G105="YES",H89*H57,0)</f>
        <v>0</v>
      </c>
      <c r="I130" s="176"/>
      <c r="J130" s="333" t="n">
        <f aca="false">H91</f>
        <v>1245.60562200914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1221.01567512196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1245.60562200914</v>
      </c>
      <c r="H133" s="102" t="n">
        <f aca="false">IF(G105="YES",H89*H57,0)</f>
        <v>0</v>
      </c>
      <c r="I133" s="220"/>
      <c r="J133" s="183" t="n">
        <f aca="false">H91*H57</f>
        <v>1245.60562200914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1221.01567512196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1221.01567512196</v>
      </c>
      <c r="B137" s="37" t="n">
        <f aca="false">IF(A105="YES",B89,0)</f>
        <v>0</v>
      </c>
      <c r="C137" s="316"/>
      <c r="D137" s="37" t="n">
        <f aca="false">B91</f>
        <v>1221.01567512196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341.84994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49.22639136</v>
      </c>
      <c r="B140" s="342" t="n">
        <f aca="false">G18*0.000002*1.2*100</f>
        <v>16.40879712</v>
      </c>
      <c r="C140" s="316"/>
      <c r="D140" s="342" t="n">
        <f aca="false">A140+B140</f>
        <v>65.63518848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1561.83794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683.69988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1183.68988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1245.60562200914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1221.01567512196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1221.01567512196</v>
      </c>
      <c r="B171" s="354" t="n">
        <f aca="false">IF(A105="YES",B89,0)</f>
        <v>0</v>
      </c>
      <c r="C171" s="357"/>
      <c r="D171" s="354" t="n">
        <f aca="false">B91</f>
        <v>1221.01567512196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1221.01567512196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1221.01567512196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1221.01567512196</v>
      </c>
      <c r="B180" s="102" t="n">
        <f aca="false">IF(A105="YES",B89,0)</f>
        <v>0</v>
      </c>
      <c r="C180" s="352"/>
      <c r="D180" s="102" t="n">
        <f aca="false">B91</f>
        <v>1221.01567512196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49.22639136</v>
      </c>
      <c r="B183" s="364" t="n">
        <f aca="false">G18*0.000002*1.2*100</f>
        <v>16.40879712</v>
      </c>
      <c r="C183" s="352"/>
      <c r="D183" s="364" t="n">
        <f aca="false">A183+B183</f>
        <v>65.63518848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683.69988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1183.68988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4785.89916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683.69988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4442.18928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4785.89916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683.69988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4442.18928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102.709109463493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n">
        <v>500.0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50.0</v>
      </c>
      <c r="B41" s="240" t="n">
        <f aca="false">IF(B38="YES",D38+A41,D38)</f>
        <v>550</v>
      </c>
      <c r="C41" s="240"/>
      <c r="D41" s="103" t="n">
        <v>12.0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1.0</v>
      </c>
      <c r="B44" s="103" t="n">
        <v>1.0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4785.89916</v>
      </c>
      <c r="C64" s="214" t="n">
        <v>10000</v>
      </c>
      <c r="D64" s="290" t="n">
        <f aca="false">B64</f>
        <v>4785.89916</v>
      </c>
      <c r="E64" s="215"/>
      <c r="F64" s="62"/>
      <c r="G64" s="284" t="s">
        <v>91</v>
      </c>
      <c r="H64" s="132" t="n">
        <f aca="false">H61*H63</f>
        <v>4785.89916</v>
      </c>
      <c r="I64" s="214"/>
      <c r="J64" s="290" t="n">
        <f aca="false">H64</f>
        <v>4785.89916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683.69988</v>
      </c>
      <c r="C67" s="214"/>
      <c r="D67" s="290"/>
      <c r="E67" s="215"/>
      <c r="F67" s="62"/>
      <c r="G67" s="284" t="s">
        <v>94</v>
      </c>
      <c r="H67" s="132" t="n">
        <f aca="false">H61*H66</f>
        <v>341.84994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6112.56582666667</v>
      </c>
      <c r="C81" s="214"/>
      <c r="D81" s="214"/>
      <c r="E81" s="215"/>
      <c r="F81" s="62"/>
      <c r="G81" s="302" t="s">
        <v>103</v>
      </c>
      <c r="H81" s="303" t="n">
        <f aca="false">SUM(J64:J80)</f>
        <v>6439.48249333333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509.380485555556</v>
      </c>
      <c r="C82" s="214"/>
      <c r="D82" s="214"/>
      <c r="E82" s="215"/>
      <c r="F82" s="62"/>
      <c r="G82" s="213" t="s">
        <v>104</v>
      </c>
      <c r="H82" s="299" t="n">
        <f aca="false">H81/H29</f>
        <v>536.623541111111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12124.5658266667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14941.778992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102.709109463493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105.478472109722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12227.2749361302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14947.2674641097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60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1018.93957801085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1245.60562200914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1078.93957801085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1317.60562200914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393</v>
      </c>
      <c r="B105" s="311" t="n">
        <v>20.0</v>
      </c>
      <c r="C105" s="311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1018.93957801085</v>
      </c>
      <c r="B128" s="320" t="n">
        <f aca="false">IF(A105="YES",B89,0)</f>
        <v>60</v>
      </c>
      <c r="C128" s="325"/>
      <c r="D128" s="320" t="n">
        <f aca="false">B91</f>
        <v>1078.93957801085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1245.60562200914</v>
      </c>
      <c r="H130" s="176" t="n">
        <f aca="false">IF(G105="YES",H89*H57,0)</f>
        <v>72</v>
      </c>
      <c r="I130" s="176"/>
      <c r="J130" s="333" t="n">
        <f aca="false">H91</f>
        <v>1317.60562200914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1018.93957801085</v>
      </c>
      <c r="C131" s="316"/>
      <c r="D131" s="37" t="n">
        <f aca="false">IF(A105="YES",B89*B57,0)</f>
        <v>60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1245.60562200914</v>
      </c>
      <c r="H133" s="102" t="n">
        <f aca="false">IF(G105="YES",H89*H57,0)</f>
        <v>72</v>
      </c>
      <c r="I133" s="220"/>
      <c r="J133" s="183" t="n">
        <f aca="false">H91*H57</f>
        <v>1317.60562200914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1078.93957801085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1018.93957801085</v>
      </c>
      <c r="B137" s="37" t="n">
        <f aca="false">IF(A105="YES",B89,0)</f>
        <v>60</v>
      </c>
      <c r="C137" s="316"/>
      <c r="D137" s="37" t="n">
        <f aca="false">B91</f>
        <v>1078.93957801085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341.84994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G18*0.000002*100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1569.03794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683.69988</v>
      </c>
      <c r="B148" s="37" t="n">
        <f aca="false">B102</f>
        <v>400</v>
      </c>
      <c r="C148" s="37"/>
      <c r="D148" s="37" t="n">
        <f aca="false">IF(A105="YES",(A38/100*B105)*B125,0)*0.001</f>
        <v>12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1195.68988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1317.60562200914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1078.93957801085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1018.93957801085</v>
      </c>
      <c r="B171" s="354" t="n">
        <f aca="false">IF(A105="YES",B89,0)</f>
        <v>60</v>
      </c>
      <c r="C171" s="357"/>
      <c r="D171" s="354" t="n">
        <f aca="false">B91</f>
        <v>1078.93957801085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1018.93957801085</v>
      </c>
      <c r="C174" s="352"/>
      <c r="D174" s="102" t="n">
        <f aca="false">IF(A105="YES",B89*B57,0)</f>
        <v>60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1078.93957801085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1018.93957801085</v>
      </c>
      <c r="B180" s="102" t="n">
        <f aca="false">IF(A105="YES",B89,0)</f>
        <v>60</v>
      </c>
      <c r="C180" s="352"/>
      <c r="D180" s="102" t="n">
        <f aca="false">B91</f>
        <v>1078.93957801085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41.0219928</v>
      </c>
      <c r="B183" s="364" t="n">
        <f aca="false">G18*0.000002*100</f>
        <v>13.6739976</v>
      </c>
      <c r="C183" s="352"/>
      <c r="D183" s="364" t="n">
        <f aca="false">A183+B183</f>
        <v>54.6959904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683.69988</v>
      </c>
      <c r="B191" s="102" t="n">
        <f aca="false">B102</f>
        <v>400</v>
      </c>
      <c r="C191" s="102"/>
      <c r="D191" s="102" t="n">
        <f aca="false">IF(A105="YES",(A38/100*B105)*B125,0)*0.001</f>
        <v>12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1195.68988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4785.89916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683.69988</v>
      </c>
      <c r="C205" s="319" t="s">
        <v>218</v>
      </c>
      <c r="D205" s="369" t="n">
        <f aca="false">B219+E215+B215+B217</f>
        <v>459.99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4562.18928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4785.89916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683.69988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4562.18928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120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102.709109463493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124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2024-05-16T21:10:02Z</dcterms:modified>
  <cp:revision>942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