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 (Formula 3) - PCP" sheetId="1" state="visible" r:id="rId2"/>
    <sheet name="HPNR (Formula 3) - CP" sheetId="2" state="visible" r:id="rId3"/>
    <sheet name="HPNR (Formula 3) - HPR" sheetId="3" state="visible" r:id="rId4"/>
    <sheet name="HPNR (Formula 3) - FL" sheetId="4" state="visible" r:id="rId5"/>
    <sheet name="HPNR (Formula 3) - PCH" sheetId="5" state="visible" r:id="rId6"/>
    <sheet name="HPNR (Formula 3) - HPNR" sheetId="6" state="visible" r:id="rId7"/>
    <sheet name="HirePurchaseNonRegulated" sheetId="7" state="visible" r:id="rId8"/>
    <sheet name="HPNR (Formula 3) - BCH" sheetId="8" state="visible" r:id="rId9"/>
    <sheet name="FL (Formula 3) - FL" sheetId="9" state="visible" r:id="rId10"/>
    <sheet name="FL (Formula 3) - PCH" sheetId="10" state="visible" r:id="rId11"/>
    <sheet name="FL (Formula 3) - BCH" sheetId="11" state="visible" r:id="rId12"/>
    <sheet name="BCH (Formula 3) - PCH" sheetId="12" state="visible" r:id="rId13"/>
    <sheet name="PersonalContractPurchase" sheetId="13" state="visible" r:id="rId14"/>
    <sheet name="ContractPurchase" sheetId="14" state="visible" r:id="rId15"/>
    <sheet name="HirePurchaseRegulated" sheetId="15" state="visible" r:id="rId16"/>
    <sheet name="Formula1-FL" sheetId="16" state="visible" r:id="rId17"/>
    <sheet name="Formula1-PCH" sheetId="17" state="visible" r:id="rId18"/>
    <sheet name="Formula1-BCH" sheetId="18" state="visible" r:id="rId19"/>
    <sheet name="FL (Formula 3) - BCH, PCH, FL" sheetId="19" state="visible" r:id="rId20"/>
    <sheet name="BCH (Formula 3) - BCH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<sst xmlns="http://schemas.openxmlformats.org/spreadsheetml/2006/main" count="7473" uniqueCount="289">
  <si>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</si>
  <si>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</si>
  <si>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</si>
  <si>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</si>
  <si>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</si>
  <si>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</si>
  <si>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</si>
  <si>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</si>
  <si>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</si>
  <si>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</si>
  <si>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</si>
  <si>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</si>
  <si>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</si>
  <si>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</si>
  <si>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</si>
  <si>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</si>
  <si>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</si>
  <si>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</si>
  <si>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</si>
  <si>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</si>
  <si>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</si>
  <si>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</si>
  <si>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</si>
  <si>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</si>
  <si>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</si>
  <si>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</si>
  <si>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</si>
  <si>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</si>
  <si>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</si>
  <si>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</si>
  <si>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Advance</t>
  </si>
  <si>
    <t xml:space="preserve">Funder</t>
  </si>
  <si>
    <t xml:space="preserve">Quote reference</t>
  </si>
  <si>
    <t xml:space="preserve">Quote expiry date </t>
  </si>
  <si>
    <t xml:space="preserve">Subsequent monthly rentals</t>
  </si>
  <si>
    <t xml:space="preserve">Test</t>
  </si>
  <si>
    <t xml:space="preserve">Duration</t>
  </si>
  <si>
    <t xml:space="preserve">Mileage</t>
  </si>
  <si>
    <t xml:space="preserve">Payment profile</t>
  </si>
  <si>
    <t xml:space="preserve">Initial finance rental(Ex. VAT)</t>
  </si>
  <si>
    <t xml:space="preserve">Initial maintenance rental (Ex. VAT)</t>
  </si>
  <si>
    <t xml:space="preserve">Finance Rental Monthly</t>
  </si>
  <si>
    <t xml:space="preserve"> Monthly in advance </t>
  </si>
  <si>
    <t xml:space="preserve">Maintenance monthly</t>
  </si>
  <si>
    <t xml:space="preserve">TOTAL CASH PURCHASE</t>
  </si>
  <si>
    <t xml:space="preserve">48877.50</t>
  </si>
  <si>
    <t xml:space="preserve">Optional final payment</t>
  </si>
  <si>
    <t xml:space="preserve">Total initial rental (Ex. VAT)</t>
  </si>
  <si>
    <t xml:space="preserve">Term (months) </t>
  </si>
  <si>
    <t xml:space="preserve">Miles per annum</t>
  </si>
  <si>
    <t xml:space="preserve">Document Fee</t>
  </si>
  <si>
    <t xml:space="preserve">CASH DEPOSIT</t>
  </si>
  <si>
    <t xml:space="preserve">1000</t>
  </si>
  <si>
    <t xml:space="preserve">33</t>
  </si>
  <si>
    <t xml:space="preserve">5000</t>
  </si>
  <si>
    <t xml:space="preserve">Total Cap Maint. Value</t>
  </si>
  <si>
    <t xml:space="preserve">BALANCE TO FINANCE</t>
  </si>
  <si>
    <t xml:space="preserve">Contract mileage</t>
  </si>
  <si>
    <t xml:space="preserve">Maintenance</t>
  </si>
  <si>
    <t xml:space="preserve">Monthly finance rental(Ex. VAT)</t>
  </si>
  <si>
    <t xml:space="preserve">500</t>
  </si>
  <si>
    <t xml:space="preserve">Monthly maintenance rental (Ex. VAT)</t>
  </si>
  <si>
    <t xml:space="preserve">Total monthly rental (Ex. VAT)</t>
  </si>
  <si>
    <t xml:space="preserve">Final balloon payment (Ex. VAT)</t>
  </si>
  <si>
    <t xml:space="preserve">Calculation</t>
  </si>
  <si>
    <t xml:space="preserve">Document fee (Ex. VAT)</t>
  </si>
  <si>
    <t xml:space="preserve">Pence per excess mile - finance (Ex. VAT)</t>
  </si>
  <si>
    <t xml:space="preserve">Pence per excess mile - maintenance (Ex. VAT)</t>
  </si>
  <si>
    <t xml:space="preserve">Monthly Fianance Cost</t>
  </si>
  <si>
    <t xml:space="preserve">12</t>
  </si>
  <si>
    <t xml:space="preserve">Maintenanace Cost</t>
  </si>
  <si>
    <t xml:space="preserve">Holding Cost (Monthly)</t>
  </si>
  <si>
    <t xml:space="preserve">Pence per excess mile - total (Ex. VAT)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</si>
  <si>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</si>
  <si>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</si>
  <si>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</si>
  <si>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Term (months)</t>
  </si>
  <si>
    <t xml:space="preserve">Mileage per annum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</si>
  <si>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</si>
  <si>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</si>
  <si>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</si>
  <si>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</si>
  <si>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</si>
  <si>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</si>
  <si>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</si>
  <si>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</si>
  <si>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</si>
  <si>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</si>
  <si>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</si>
  <si>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</si>
  <si>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</si>
  <si>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</si>
  <si>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</si>
  <si>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</si>
  <si>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</si>
  <si>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</si>
  <si>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</si>
  <si>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</si>
  <si>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</si>
  <si>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</si>
  <si>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</si>
  <si>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</si>
  <si>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</si>
  <si>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</si>
  <si>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</si>
  <si>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</si>
  <si>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Total exc. contingency insurance</t>
  </si>
  <si>
    <t xml:space="preserve">Insurance</t>
  </si>
  <si>
    <t xml:space="preserve">Total inc. contingency insurance</t>
  </si>
  <si>
    <t xml:space="preserve">Monthly maintenance rental</t>
  </si>
  <si>
    <t xml:space="preserve">Monthly finance rental</t>
  </si>
  <si>
    <t xml:space="preserve">Contract purchase</t>
  </si>
  <si>
    <t xml:space="preserve">       Own book customer quote</t>
  </si>
  <si>
    <t xml:space="preserve">Contract type</t>
  </si>
  <si>
    <t xml:space="preserve">Maintenance include</t>
  </si>
  <si>
    <t xml:space="preserve"> Spread rentals initial payment </t>
  </si>
  <si>
    <t xml:space="preserve">Hire purchase - NON regulated</t>
  </si>
  <si>
    <t xml:space="preserve"> Spread rentals with 3 down </t>
  </si>
  <si>
    <t xml:space="preserve"> Spread rentals with 6 down </t>
  </si>
  <si>
    <t xml:space="preserve">Maintenance margin %</t>
  </si>
  <si>
    <t xml:space="preserve">Credit type</t>
  </si>
  <si>
    <t xml:space="preserve">APR</t>
  </si>
  <si>
    <t xml:space="preserve"> Spread rentals with 9 down </t>
  </si>
  <si>
    <t xml:space="preserve">Limited Credit</t>
  </si>
  <si>
    <t xml:space="preserve"> Spread rentals with 12 down </t>
  </si>
  <si>
    <t xml:space="preserve">A1  Crdit</t>
  </si>
  <si>
    <t xml:space="preserve"> Terminal pause with 3 down </t>
  </si>
  <si>
    <t xml:space="preserve">Limited Cedit</t>
  </si>
  <si>
    <t xml:space="preserve">Included balloon payment</t>
  </si>
  <si>
    <t xml:space="preserve">Order deposit</t>
  </si>
  <si>
    <t xml:space="preserve">Finance deposit</t>
  </si>
  <si>
    <t xml:space="preserve"> Terminal Pause with 6 down </t>
  </si>
  <si>
    <t xml:space="preserve"> Terminal Pause with 9 down </t>
  </si>
  <si>
    <t xml:space="preserve">Total deposit</t>
  </si>
  <si>
    <t xml:space="preserve">Initial payment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</si>
  <si>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</si>
  <si>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</si>
  <si>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</si>
  <si>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</si>
  <si>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</si>
  <si>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</si>
  <si>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</si>
  <si>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</si>
  <si>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</si>
  <si>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</si>
  <si>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</si>
  <si>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</si>
  <si>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</si>
  <si>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</si>
  <si>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</si>
  <si>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</si>
  <si>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</si>
  <si>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Deposit required</t>
  </si>
  <si>
    <t xml:space="preserve">Balance to finanace</t>
  </si>
  <si>
    <t xml:space="preserve">Document fee</t>
  </si>
  <si>
    <t xml:space="preserve">       Summary</t>
  </si>
  <si>
    <t xml:space="preserve">Target rental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</si>
  <si>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</si>
  <si>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</si>
  <si>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</si>
  <si>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</si>
  <si>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</si>
  <si>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</si>
  <si>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</si>
  <si>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</si>
  <si>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</si>
  <si>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</si>
  <si>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</si>
  <si>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</si>
  <si>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</si>
  <si>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</si>
  <si>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</si>
  <si>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</si>
  <si>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</si>
  <si>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</si>
  <si>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</si>
  <si>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</si>
  <si>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Hire purchase – Regulated</t>
  </si>
  <si>
    <t xml:space="preserve">5.28</t>
  </si>
  <si>
    <t xml:space="preserve">          </t>
  </si>
  <si>
    <t xml:space="preserve">Minimum Margin (%)</t>
  </si>
  <si>
    <t xml:space="preserve">Margin Required (%)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</si>
  <si>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</si>
  <si>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</si>
  <si>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</si>
  <si>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</si>
  <si>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</si>
  <si>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</si>
  <si>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Customer Quote - Finance Lease</t>
  </si>
  <si>
    <t xml:space="preserve">Customer Quote - Personal Contract Hire</t>
  </si>
  <si>
    <t xml:space="preserve">Order deposit (No VAT)</t>
  </si>
  <si>
    <t xml:space="preserve"> Terminal pause with 9 down </t>
  </si>
  <si>
    <t xml:space="preserve">Business Contract Hire</t>
  </si>
  <si>
    <t xml:space="preserve">Document fee (Inc. VAT)</t>
  </si>
  <si>
    <t xml:space="preserve">Upsell (Ex. VAT)</t>
  </si>
  <si>
    <t xml:space="preserve">Referral commission (Ex. VAT)</t>
  </si>
  <si>
    <t xml:space="preserve">200</t>
  </si>
  <si>
    <t xml:space="preserve"> </t>
  </si>
  <si>
    <t xml:space="preserve">With balloon</t>
  </si>
  <si>
    <t xml:space="preserve">        Part exchange</t>
  </si>
  <si>
    <t xml:space="preserve">Add part exchange to montly rental</t>
  </si>
  <si>
    <t xml:space="preserve">Balance due</t>
  </si>
  <si>
    <t xml:space="preserve">        Summary</t>
  </si>
  <si>
    <t xml:space="preserve">Monthly finance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</si>
  <si>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</si>
  <si>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</si>
  <si>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</si>
  <si>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</si>
  <si>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</si>
  <si>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</si>
  <si>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</si>
  <si>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</si>
  <si>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</si>
  <si>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</si>
  <si>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</si>
  <si>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</si>
  <si>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</si>
  <si>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</si>
  <si>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</si>
  <si>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</si>
  <si>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</si>
  <si>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</si>
  <si>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</si>
  <si>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</si>
  <si>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</si>
  <si>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Hire purchase - NON Regulated</t>
  </si>
  <si>
    <t xml:space="preserve">A1 Credit</t>
  </si>
  <si>
    <t xml:space="preserve">Holding cost - formula - 1</t>
  </si>
  <si>
    <t xml:space="preserve">Monthly Advance</t>
  </si>
  <si>
    <t xml:space="preserve">Number of Monthly Advance</t>
  </si>
  <si>
    <t xml:space="preserve">Advance payment in Value</t>
  </si>
  <si>
    <t xml:space="preserve">0</t>
  </si>
  <si>
    <t xml:space="preserve">Residual Value</t>
  </si>
  <si>
    <t xml:space="preserve">Total monthly holding cost</t>
  </si>
  <si>
    <t xml:space="preserve">Maintenance Cost (SMR) Annual Value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</si>
  <si>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</si>
  <si>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</si>
  <si>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</si>
  <si>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</si>
  <si>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Interest Rate (annual)</t>
  </si>
  <si>
    <t xml:space="preserve">Subsequence term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</si>
  <si>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</si>
  <si>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</si>
  <si>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</si>
  <si>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</si>
  <si>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</si>
  <si>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</si>
  <si>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</si>
  <si>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</si>
  <si>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</si>
  <si>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</si>
  <si>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</si>
  <si>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</si>
  <si>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</si>
  <si>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</si>
  <si>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</si>
  <si>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</si>
  <si>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Hire purchase - Regulated</t>
  </si>
  <si>
    <t xml:space="preserve">Personal contract purchase</t>
  </si>
  <si>
    <t xml:space="preserve">Limited credit</t>
  </si>
  <si>
    <t xml:space="preserve">Customer Quote - Business Contract Hire</t>
  </si>
  <si>
    <t xml:space="preserve">60</t>
  </si>
  <si>
    <t xml:space="preserve">6000</t>
  </si>
  <si>
    <t xml:space="preserve">10</t>
  </si>
  <si>
    <t xml:space="preserve">2</t>
  </si>
  <si>
    <t xml:space="preserve">1</t>
  </si>
  <si>
    <t xml:space="preserve">  </t>
  </si>
  <si>
    <t xml:space="preserve">Customer Quote – Finance Lease</t>
  </si>
  <si>
    <t xml:space="preserve">50</t>
  </si>
  <si>
    <t xml:space="preserve">Upload document</t>
  </si>
  <si>
    <t xml:space="preserve">`</t>
  </si>
  <si>
    <t xml:space="preserve">239.99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</si>
  <si>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</si>
  <si>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</si>
  <si>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</si>
  <si>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</si>
  <si>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Select Caste</t>
  </si>
  <si>
    <t xml:space="preserve">Referrer commission (Ex. VAT)</t>
  </si>
  <si>
    <t xml:space="preserve">RFL included?</t>
  </si>
  <si>
    <t>48877.50</t>
  </si>
  <si>
    <t>1000</t>
  </si>
  <si>
    <t>33</t>
  </si>
  <si>
    <t>5000</t>
  </si>
  <si>
    <t>YES</t>
  </si>
  <si>
    <t>500</t>
  </si>
  <si>
    <t>470.00</t>
  </si>
  <si>
    <t>12</t>
  </si>
  <si>
    <t>NO</t>
  </si>
  <si>
    <t>Limited Credit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</si>
</sst>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£#,##0.00"/>
    <numFmt numFmtId="166" formatCode="0%"/>
    <numFmt numFmtId="167" formatCode="#,##0.00"/>
    <numFmt numFmtId="168" formatCode="[$-409]m/d/yyyy"/>
    <numFmt numFmtId="169" formatCode="0.00%"/>
    <numFmt numFmtId="170" formatCode="General"/>
    <numFmt numFmtId="171" formatCode="0.00"/>
    <numFmt numFmtId="172" formatCode="#,##0.0000000"/>
    <numFmt numFmtId="173" formatCode="#,##0.000000000"/>
    <numFmt numFmtId="174" formatCode="#,##0.0"/>
    <numFmt numFmtId="175" formatCode="0.0000000000000"/>
    <numFmt numFmtId="176" formatCode="0.0000"/>
    <numFmt numFmtId="177" formatCode="0.000%"/>
    <numFmt numFmtId="178" formatCode="#,##0.00000"/>
    <numFmt numFmtId="179" formatCode="#,##0.000"/>
    <numFmt numFmtId="180" formatCode="#,##0.0000000000"/>
    <numFmt numFmtId="181" formatCode="#,##0.0000"/>
    <numFmt numFmtId="182" formatCode="\£#,##0.00000"/>
  </numFmts>
  <fonts count="2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3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7E3794"/>
      <name val="Inconsolata"/>
      <family val="0"/>
      <charset val="1"/>
    </font>
    <font>
      <strike val="true"/>
      <sz val="14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AFD095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2A6099"/>
        <bgColor rgb="FF666699"/>
      </patternFill>
    </fill>
    <fill>
      <patternFill patternType="solid">
        <fgColor rgb="FF81D41A"/>
        <bgColor rgb="FF70AD47"/>
      </patternFill>
    </fill>
    <fill>
      <patternFill patternType="solid">
        <fgColor rgb="FFA9D18E"/>
        <bgColor rgb="FFA8D08D"/>
      </patternFill>
    </fill>
    <fill>
      <patternFill patternType="solid">
        <fgColor rgb="FFA5A5A5"/>
        <bgColor rgb="FFA6A6A6"/>
      </patternFill>
    </fill>
    <fill>
      <patternFill patternType="solid">
        <fgColor rgb="FFA8D08D"/>
        <bgColor rgb="FFA9D18E"/>
      </patternFill>
    </fill>
    <fill>
      <patternFill patternType="solid">
        <fgColor rgb="FFAFD095"/>
        <bgColor rgb="FFA9D18E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3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5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2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9" fillId="5" borderId="2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4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E7E6E6"/>
      <rgbColor rgb="FFA8D08D"/>
      <rgbColor rgb="FF660066"/>
      <rgbColor rgb="FFFF8080"/>
      <rgbColor rgb="FF2A6099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FD095"/>
      <rgbColor rgb="FFFF99CC"/>
      <rgbColor rgb="FFCC99FF"/>
      <rgbColor rgb="FFA9D18E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H37" activeCellId="0" sqref="H37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0"/>
      <c r="J24" s="0"/>
      <c r="K24" s="0"/>
      <c r="P24" s="32"/>
    </row>
    <row r="25" customFormat="false" ht="17.35" hidden="false" customHeight="false" outlineLevel="0" collapsed="false">
      <c r="A25" s="35"/>
      <c r="B25" s="36"/>
      <c r="C25" s="36"/>
      <c r="D25" s="36"/>
      <c r="E25" s="37"/>
      <c r="F25" s="34"/>
      <c r="G25" s="34"/>
      <c r="H25" s="34"/>
      <c r="I25" s="0"/>
      <c r="J25" s="0"/>
      <c r="K25" s="0"/>
      <c r="P25" s="32"/>
    </row>
    <row r="26" customFormat="false" ht="22.05" hidden="false" customHeight="fals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0"/>
      <c r="J26" s="0"/>
      <c r="K26" s="0"/>
      <c r="P26" s="32"/>
    </row>
    <row r="27" customFormat="false" ht="17.35" hidden="false" customHeight="fals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2"/>
    </row>
    <row r="28" customFormat="false" ht="31.8" hidden="false" customHeight="fals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2"/>
    </row>
    <row r="29" customFormat="false" ht="17.35" hidden="false" customHeight="fals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33</v>
      </c>
      <c r="I29" s="0"/>
      <c r="J29" s="0"/>
      <c r="K29" s="0"/>
      <c r="P29" s="32"/>
    </row>
    <row r="30" customFormat="false" ht="17.35" hidden="false" customHeight="fals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0"/>
      <c r="J30" s="0"/>
      <c r="K30" s="0"/>
      <c r="P30" s="32"/>
    </row>
    <row r="31" customFormat="false" ht="31.8" hidden="false" customHeight="fals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0"/>
      <c r="J31" s="0"/>
      <c r="K31" s="0"/>
      <c r="P31" s="32"/>
    </row>
    <row r="32" customFormat="false" ht="17.35" hidden="false" customHeight="fals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15.1515151515152</v>
      </c>
      <c r="E32" s="47"/>
      <c r="F32" s="34"/>
      <c r="G32" s="48" t="s">
        <v>43</v>
      </c>
      <c r="H32" s="46" t="n">
        <f aca="false">A41</f>
        <v>15.1515151515152</v>
      </c>
      <c r="I32" s="0"/>
      <c r="J32" s="49" t="s">
        <v>44</v>
      </c>
      <c r="K32" s="50" t="s">
        <v>45</v>
      </c>
      <c r="P32" s="32"/>
    </row>
    <row r="33" customFormat="false" ht="17.35" hidden="false" customHeight="fals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0"/>
      <c r="J33" s="49"/>
      <c r="K33" s="55"/>
      <c r="P33" s="32"/>
    </row>
    <row r="34" customFormat="false" ht="17.35" hidden="false" customHeight="fals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0"/>
      <c r="J34" s="49" t="s">
        <v>51</v>
      </c>
      <c r="K34" s="58" t="s">
        <v>52</v>
      </c>
      <c r="P34" s="32"/>
    </row>
    <row r="35" customFormat="false" ht="17.35" hidden="false" customHeight="false" outlineLevel="0" collapsed="false">
      <c r="A35" s="47" t="n">
        <f aca="false">B32+D32</f>
        <v>515.151515151515</v>
      </c>
      <c r="B35" s="44" t="s">
        <v>53</v>
      </c>
      <c r="C35" s="44"/>
      <c r="D35" s="44" t="s">
        <v>54</v>
      </c>
      <c r="E35" s="44"/>
      <c r="F35" s="34"/>
      <c r="G35" s="59"/>
      <c r="H35" s="60"/>
      <c r="I35" s="0"/>
      <c r="J35" s="49"/>
      <c r="K35" s="55"/>
      <c r="P35" s="32"/>
    </row>
    <row r="36" customFormat="false" ht="17.35" hidden="false" customHeight="false" outlineLevel="0" collapsed="false">
      <c r="A36" s="35"/>
      <c r="B36" s="36"/>
      <c r="C36" s="36"/>
      <c r="D36" s="36"/>
      <c r="E36" s="37"/>
      <c r="F36" s="34"/>
      <c r="G36" s="34" t="s">
        <v>55</v>
      </c>
      <c r="H36" s="61" t="n">
        <v>500</v>
      </c>
      <c r="I36" s="0"/>
      <c r="J36" s="49" t="s">
        <v>56</v>
      </c>
      <c r="K36" s="62" t="n">
        <f aca="false">K32-K34</f>
        <v>47877.5</v>
      </c>
      <c r="P36" s="32"/>
    </row>
    <row r="37" customFormat="false" ht="17.35" hidden="false" customHeight="fals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0"/>
      <c r="J37" s="0"/>
      <c r="K37" s="0"/>
      <c r="P37" s="32"/>
    </row>
    <row r="38" customFormat="false" ht="17.35" hidden="false" customHeight="false" outlineLevel="0" collapsed="false">
      <c r="A38" s="63" t="n">
        <f aca="false">(B35/12)*D35</f>
        <v>13750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0"/>
      <c r="J38" s="65"/>
      <c r="K38" s="65"/>
      <c r="L38" s="2"/>
      <c r="N38" s="1" t="n">
        <f aca="false">80.88*36</f>
        <v>2911.68</v>
      </c>
      <c r="P38" s="32"/>
    </row>
    <row r="39" customFormat="false" ht="17.35" hidden="false" customHeight="false" outlineLevel="0" collapsed="false">
      <c r="A39" s="66"/>
      <c r="B39" s="53"/>
      <c r="C39" s="53"/>
      <c r="D39" s="36"/>
      <c r="E39" s="37"/>
      <c r="F39" s="34"/>
      <c r="G39" s="34"/>
      <c r="H39" s="67"/>
      <c r="I39" s="0"/>
      <c r="J39" s="0"/>
      <c r="K39" s="0"/>
      <c r="L39" s="2"/>
      <c r="N39" s="1" t="n">
        <f aca="false">K39-L39</f>
        <v>0</v>
      </c>
      <c r="P39" s="32"/>
    </row>
    <row r="40" customFormat="false" ht="17.35" hidden="false" customHeight="fals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0"/>
      <c r="J40" s="0"/>
      <c r="K40" s="0"/>
      <c r="L40" s="2"/>
      <c r="N40" s="1" t="n">
        <f aca="false">N38-N39</f>
        <v>2911.68</v>
      </c>
      <c r="P40" s="32"/>
    </row>
    <row r="41" customFormat="false" ht="17.35" hidden="false" customHeight="false" outlineLevel="0" collapsed="false">
      <c r="A41" s="64" t="n">
        <f aca="false">H36/B35</f>
        <v>15.1515151515152</v>
      </c>
      <c r="B41" s="71" t="str">
        <f aca="false">IF(B38="YES", D38+A41, D38)</f>
        <v>500</v>
      </c>
      <c r="C41" s="71"/>
      <c r="D41" s="64" t="n">
        <v>6000</v>
      </c>
      <c r="E41" s="64"/>
      <c r="F41" s="34"/>
      <c r="G41" s="34"/>
      <c r="H41" s="72"/>
      <c r="J41" s="2"/>
      <c r="K41" s="2"/>
      <c r="L41" s="2"/>
      <c r="P41" s="32"/>
    </row>
    <row r="42" customFormat="false" ht="17.35" hidden="false" customHeight="fals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J42" s="2"/>
      <c r="K42" s="2"/>
      <c r="L42" s="2"/>
      <c r="P42" s="32"/>
    </row>
    <row r="43" customFormat="false" ht="17.35" hidden="false" customHeight="fals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500.363636363636</v>
      </c>
      <c r="J43" s="2"/>
      <c r="K43" s="2"/>
      <c r="L43" s="2"/>
      <c r="P43" s="32"/>
    </row>
    <row r="44" customFormat="false" ht="17.35" hidden="false" customHeight="fals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15.1515151515152</v>
      </c>
      <c r="J44" s="2"/>
      <c r="K44" s="2"/>
      <c r="L44" s="2"/>
      <c r="P44" s="32"/>
    </row>
    <row r="45" customFormat="false" ht="17.35" hidden="false" customHeight="fals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515.515151515151</v>
      </c>
      <c r="J45" s="2"/>
      <c r="K45" s="2"/>
      <c r="L45" s="2"/>
      <c r="P45" s="32"/>
    </row>
    <row r="46" customFormat="false" ht="17.35" hidden="false" customHeight="fals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500.363636363636</v>
      </c>
      <c r="J46" s="2"/>
      <c r="K46" s="2"/>
      <c r="L46" s="2"/>
      <c r="P46" s="32"/>
    </row>
    <row r="47" customFormat="false" ht="17.35" hidden="false" customHeight="fals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J47" s="2"/>
      <c r="K47" s="2"/>
      <c r="L47" s="2"/>
      <c r="P47" s="32"/>
    </row>
    <row r="48" customFormat="false" ht="17.35" hidden="false" customHeight="false" outlineLevel="0" collapsed="false">
      <c r="A48" s="0"/>
      <c r="B48" s="53"/>
      <c r="C48" s="53"/>
      <c r="D48" s="53"/>
      <c r="E48" s="73"/>
      <c r="F48" s="34"/>
      <c r="G48" s="34"/>
      <c r="H48" s="67"/>
      <c r="J48" s="79"/>
      <c r="K48" s="2"/>
      <c r="L48" s="2"/>
      <c r="P48" s="32"/>
    </row>
    <row r="49" customFormat="false" ht="17.35" hidden="false" customHeight="false" outlineLevel="0" collapsed="false">
      <c r="A49" s="66"/>
      <c r="B49" s="53"/>
      <c r="C49" s="53"/>
      <c r="D49" s="53"/>
      <c r="E49" s="73"/>
      <c r="F49" s="34"/>
      <c r="G49" s="34"/>
      <c r="H49" s="67"/>
      <c r="J49" s="2"/>
      <c r="K49" s="2"/>
      <c r="L49" s="2"/>
      <c r="P49" s="32"/>
    </row>
    <row r="50" customFormat="false" ht="17.35" hidden="false" customHeight="false" outlineLevel="0" collapsed="false">
      <c r="A50" s="35"/>
      <c r="B50" s="80"/>
      <c r="C50" s="80"/>
      <c r="D50" s="36"/>
      <c r="E50" s="37"/>
      <c r="F50" s="0"/>
      <c r="G50" s="0"/>
      <c r="H50" s="0"/>
      <c r="I50" s="2"/>
      <c r="J50" s="2"/>
      <c r="K50" s="2"/>
      <c r="P50" s="32"/>
    </row>
    <row r="51" customFormat="false" ht="19.5" hidden="false" customHeight="true" outlineLevel="0" collapsed="false">
      <c r="A51" s="81" t="s">
        <v>76</v>
      </c>
      <c r="B51" s="82" t="s">
        <v>77</v>
      </c>
      <c r="C51" s="82"/>
      <c r="D51" s="36"/>
      <c r="E51" s="37"/>
      <c r="F51" s="0"/>
      <c r="G51" s="0"/>
      <c r="H51" s="0"/>
      <c r="I51" s="2"/>
      <c r="J51" s="2"/>
      <c r="K51" s="2"/>
      <c r="P51" s="32"/>
    </row>
    <row r="52" customFormat="false" ht="17.35" hidden="false" customHeight="false" outlineLevel="0" collapsed="false">
      <c r="A52" s="81"/>
      <c r="B52" s="83" t="str">
        <f aca="false">H30</f>
        <v>5000</v>
      </c>
      <c r="C52" s="83"/>
      <c r="D52" s="36"/>
      <c r="E52" s="37"/>
      <c r="F52" s="0"/>
      <c r="G52" s="0"/>
      <c r="H52" s="0"/>
      <c r="I52" s="2"/>
      <c r="J52" s="2"/>
      <c r="K52" s="2"/>
      <c r="P52" s="32"/>
    </row>
    <row r="53" customFormat="false" ht="17.35" hidden="false" customHeight="false" outlineLevel="0" collapsed="false">
      <c r="A53" s="84" t="str">
        <f aca="false">H29</f>
        <v>33</v>
      </c>
      <c r="B53" s="85" t="n">
        <f aca="false">H45</f>
        <v>515.515151515151</v>
      </c>
      <c r="C53" s="85"/>
      <c r="D53" s="36"/>
      <c r="E53" s="37"/>
      <c r="F53" s="0"/>
      <c r="G53" s="0"/>
      <c r="H53" s="0"/>
      <c r="I53" s="2"/>
      <c r="J53" s="2"/>
      <c r="K53" s="2"/>
      <c r="P53" s="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7" t="s">
        <v>30</v>
      </c>
      <c r="B58" s="14" t="n">
        <v>1</v>
      </c>
      <c r="C58" s="90"/>
      <c r="D58" s="14"/>
      <c r="E58" s="91"/>
      <c r="F58" s="91"/>
      <c r="G58" s="91"/>
      <c r="H58" s="1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7" t="s">
        <v>34</v>
      </c>
      <c r="B59" s="14" t="n">
        <f aca="false">B35-B58</f>
        <v>32</v>
      </c>
      <c r="C59" s="90"/>
      <c r="D59" s="14"/>
      <c r="E59" s="91"/>
      <c r="F59" s="91"/>
      <c r="G59" s="91"/>
      <c r="H59" s="1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2" t="s">
        <v>78</v>
      </c>
      <c r="B60" s="93" t="n">
        <v>10</v>
      </c>
      <c r="C60" s="90"/>
      <c r="D60" s="14"/>
      <c r="E60" s="91"/>
      <c r="F60" s="91"/>
      <c r="G60" s="91"/>
      <c r="H60" s="1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90"/>
      <c r="D61" s="14"/>
      <c r="E61" s="91"/>
      <c r="F61" s="91"/>
      <c r="G61" s="91"/>
      <c r="H61" s="1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4" t="s">
        <v>79</v>
      </c>
      <c r="B62" s="95" t="n">
        <v>0</v>
      </c>
      <c r="C62" s="90"/>
      <c r="D62" s="14"/>
      <c r="E62" s="91"/>
      <c r="F62" s="91"/>
      <c r="G62" s="91"/>
      <c r="H62" s="12"/>
      <c r="J62" s="0"/>
      <c r="K62" s="96"/>
      <c r="L62" s="0"/>
      <c r="M62" s="0"/>
      <c r="N62" s="0"/>
      <c r="O62" s="0"/>
      <c r="P62" s="0"/>
      <c r="Q62" s="0"/>
      <c r="R62" s="0"/>
      <c r="S62" s="0"/>
      <c r="T62" s="96"/>
      <c r="U62" s="0"/>
      <c r="V62" s="0"/>
      <c r="W62" s="0"/>
      <c r="X62" s="0"/>
      <c r="Y62" s="0"/>
      <c r="Z62" s="0"/>
      <c r="AA62" s="0"/>
      <c r="AB62" s="0"/>
      <c r="AC62" s="96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4" t="s">
        <v>80</v>
      </c>
      <c r="B63" s="97" t="n">
        <v>0.065</v>
      </c>
      <c r="C63" s="90"/>
      <c r="D63" s="14"/>
      <c r="E63" s="91"/>
      <c r="F63" s="91"/>
      <c r="G63" s="91"/>
      <c r="H63" s="12"/>
      <c r="J63" s="0"/>
      <c r="K63" s="96"/>
      <c r="L63" s="0"/>
      <c r="M63" s="0"/>
      <c r="N63" s="0"/>
      <c r="O63" s="0"/>
      <c r="P63" s="0"/>
      <c r="Q63" s="0"/>
      <c r="R63" s="0"/>
      <c r="S63" s="0"/>
      <c r="T63" s="96"/>
      <c r="U63" s="0"/>
      <c r="V63" s="0"/>
      <c r="W63" s="0"/>
      <c r="X63" s="0"/>
      <c r="Y63" s="0"/>
      <c r="Z63" s="0"/>
      <c r="AA63" s="0"/>
      <c r="AB63" s="0"/>
      <c r="AC63" s="96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0"/>
      <c r="K64" s="96"/>
      <c r="L64" s="0"/>
      <c r="M64" s="0"/>
      <c r="N64" s="0"/>
      <c r="O64" s="0"/>
      <c r="P64" s="0"/>
      <c r="Q64" s="0"/>
      <c r="R64" s="0"/>
      <c r="S64" s="0"/>
      <c r="T64" s="96"/>
      <c r="U64" s="0"/>
      <c r="V64" s="0"/>
      <c r="W64" s="0"/>
      <c r="X64" s="0"/>
      <c r="Y64" s="0"/>
      <c r="Z64" s="0"/>
      <c r="AA64" s="0"/>
      <c r="AB64" s="0"/>
      <c r="AC64" s="96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00" t="s">
        <v>82</v>
      </c>
      <c r="B65" s="101" t="n">
        <f aca="false">(B89*B59)-B53</f>
        <v>51960.8181463264</v>
      </c>
      <c r="C65" s="14"/>
      <c r="D65" s="14"/>
      <c r="E65" s="91"/>
      <c r="F65" s="91"/>
      <c r="G65" s="91"/>
      <c r="H65" s="1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0"/>
      <c r="K66" s="96"/>
      <c r="L66" s="0"/>
      <c r="M66" s="0"/>
      <c r="N66" s="0"/>
      <c r="O66" s="0"/>
      <c r="P66" s="0"/>
      <c r="Q66" s="0"/>
      <c r="R66" s="0"/>
      <c r="S66" s="0"/>
      <c r="T66" s="96"/>
      <c r="U66" s="0"/>
      <c r="V66" s="0"/>
      <c r="W66" s="0"/>
      <c r="X66" s="0"/>
      <c r="Y66" s="0"/>
      <c r="Z66" s="0"/>
      <c r="AA66" s="0"/>
      <c r="AB66" s="0"/>
      <c r="AC66" s="96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0.0025</v>
      </c>
      <c r="C67" s="14"/>
      <c r="D67" s="14"/>
      <c r="E67" s="91"/>
      <c r="F67" s="91"/>
      <c r="G67" s="91"/>
      <c r="H67" s="12"/>
      <c r="J67" s="0"/>
      <c r="K67" s="96"/>
      <c r="L67" s="0"/>
      <c r="M67" s="0"/>
      <c r="N67" s="0"/>
      <c r="O67" s="0"/>
      <c r="P67" s="0"/>
      <c r="Q67" s="0"/>
      <c r="R67" s="0"/>
      <c r="S67" s="0"/>
      <c r="T67" s="96"/>
      <c r="U67" s="0"/>
      <c r="V67" s="0"/>
      <c r="W67" s="0"/>
      <c r="X67" s="0"/>
      <c r="Y67" s="0"/>
      <c r="Z67" s="0"/>
      <c r="AA67" s="0"/>
      <c r="AB67" s="0"/>
      <c r="AC67" s="96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00" t="s">
        <v>85</v>
      </c>
      <c r="B68" s="101" t="n">
        <f aca="false">(G158*B67)</f>
        <v>143.81251</v>
      </c>
      <c r="C68" s="14"/>
      <c r="D68" s="14"/>
      <c r="E68" s="91"/>
      <c r="F68" s="91"/>
      <c r="G68" s="91"/>
      <c r="H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4" t="s">
        <v>86</v>
      </c>
      <c r="B69" s="95" t="n">
        <v>0</v>
      </c>
      <c r="C69" s="103"/>
      <c r="D69" s="14"/>
      <c r="E69" s="91"/>
      <c r="F69" s="91"/>
      <c r="G69" s="91"/>
      <c r="H69" s="12"/>
      <c r="J69" s="0"/>
      <c r="K69" s="96"/>
      <c r="L69" s="0"/>
      <c r="M69" s="0"/>
      <c r="N69" s="0"/>
      <c r="O69" s="0"/>
      <c r="P69" s="0"/>
      <c r="Q69" s="0"/>
      <c r="R69" s="0"/>
      <c r="S69" s="0"/>
      <c r="T69" s="96"/>
      <c r="U69" s="0"/>
      <c r="V69" s="0"/>
      <c r="W69" s="0"/>
      <c r="X69" s="0"/>
      <c r="Y69" s="0"/>
      <c r="Z69" s="0"/>
      <c r="AA69" s="0"/>
      <c r="AB69" s="0"/>
      <c r="AC69" s="96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4" t="s">
        <v>87</v>
      </c>
      <c r="B70" s="97" t="n">
        <v>0</v>
      </c>
      <c r="C70" s="103"/>
      <c r="D70" s="14"/>
      <c r="E70" s="91"/>
      <c r="F70" s="91"/>
      <c r="G70" s="91"/>
      <c r="H70" s="12"/>
      <c r="J70" s="0"/>
      <c r="K70" s="96"/>
      <c r="L70" s="0"/>
      <c r="M70" s="0"/>
      <c r="N70" s="0"/>
      <c r="O70" s="0"/>
      <c r="P70" s="0"/>
      <c r="Q70" s="0"/>
      <c r="R70" s="0"/>
      <c r="S70" s="0"/>
      <c r="T70" s="96"/>
      <c r="U70" s="0"/>
      <c r="V70" s="0"/>
      <c r="W70" s="0"/>
      <c r="X70" s="0"/>
      <c r="Y70" s="0"/>
      <c r="Z70" s="0"/>
      <c r="AA70" s="0"/>
      <c r="AB70" s="0"/>
      <c r="AC70" s="96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03"/>
      <c r="D71" s="14"/>
      <c r="E71" s="91"/>
      <c r="F71" s="91"/>
      <c r="G71" s="91"/>
      <c r="H71" s="12"/>
      <c r="J71" s="0"/>
      <c r="K71" s="96"/>
      <c r="L71" s="0"/>
      <c r="M71" s="0"/>
      <c r="N71" s="0"/>
      <c r="O71" s="0"/>
      <c r="P71" s="0"/>
      <c r="Q71" s="0"/>
      <c r="R71" s="0"/>
      <c r="S71" s="0"/>
      <c r="T71" s="96"/>
      <c r="U71" s="0"/>
      <c r="V71" s="0"/>
      <c r="W71" s="0"/>
      <c r="X71" s="0"/>
      <c r="Y71" s="0"/>
      <c r="Z71" s="0"/>
      <c r="AA71" s="0"/>
      <c r="AB71" s="0"/>
      <c r="AC71" s="96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4" t="s">
        <v>89</v>
      </c>
      <c r="B72" s="105" t="n">
        <v>0</v>
      </c>
      <c r="C72" s="103"/>
      <c r="D72" s="14"/>
      <c r="E72" s="91"/>
      <c r="F72" s="91"/>
      <c r="G72" s="91"/>
      <c r="H72" s="1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4" t="s">
        <v>90</v>
      </c>
      <c r="B73" s="93" t="n">
        <v>0</v>
      </c>
      <c r="C73" s="103"/>
      <c r="D73" s="14"/>
      <c r="E73" s="91"/>
      <c r="F73" s="91"/>
      <c r="G73" s="91"/>
      <c r="H73" s="1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00" t="s">
        <v>91</v>
      </c>
      <c r="B74" s="101" t="n">
        <f aca="false">B73*B35</f>
        <v>0</v>
      </c>
      <c r="C74" s="103"/>
      <c r="D74" s="14" t="n">
        <f aca="false">B74+B72</f>
        <v>0</v>
      </c>
      <c r="E74" s="91"/>
      <c r="F74" s="91"/>
      <c r="G74" s="91"/>
      <c r="H74" s="12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4" t="s">
        <v>92</v>
      </c>
      <c r="B75" s="93" t="n">
        <v>0</v>
      </c>
      <c r="C75" s="103"/>
      <c r="D75" s="14" t="n">
        <f aca="false">B75</f>
        <v>0</v>
      </c>
      <c r="E75" s="91"/>
      <c r="F75" s="91"/>
      <c r="G75" s="91"/>
      <c r="H75" s="1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98" t="s">
        <v>93</v>
      </c>
      <c r="B76" s="106" t="n">
        <v>0</v>
      </c>
      <c r="C76" s="103"/>
      <c r="D76" s="14" t="n">
        <f aca="false">B76</f>
        <v>0</v>
      </c>
      <c r="E76" s="91"/>
      <c r="F76" s="14"/>
      <c r="G76" s="91"/>
      <c r="H76" s="1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7" t="s">
        <v>95</v>
      </c>
      <c r="B78" s="12" t="n">
        <f aca="false">B77/B35</f>
        <v>0</v>
      </c>
      <c r="C78" s="14"/>
      <c r="D78" s="14"/>
      <c r="E78" s="91"/>
      <c r="F78" s="91"/>
      <c r="G78" s="91"/>
      <c r="H78" s="1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96</v>
      </c>
      <c r="B79" s="110" t="n">
        <f aca="false">H46</f>
        <v>500.363636363636</v>
      </c>
      <c r="C79" s="14"/>
      <c r="D79" s="14"/>
      <c r="E79" s="91"/>
      <c r="F79" s="91"/>
      <c r="G79" s="91"/>
      <c r="H79" s="1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86" t="s">
        <v>97</v>
      </c>
      <c r="B81" s="89" t="n">
        <f aca="false">K36</f>
        <v>47877.5</v>
      </c>
      <c r="C81" s="14"/>
      <c r="D81" s="14"/>
      <c r="E81" s="91"/>
      <c r="F81" s="91"/>
      <c r="G81" s="91"/>
      <c r="H81" s="1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7" t="s">
        <v>98</v>
      </c>
      <c r="B82" s="12" t="n">
        <f aca="false">D41</f>
        <v>6000</v>
      </c>
      <c r="C82" s="14"/>
      <c r="D82" s="14"/>
      <c r="E82" s="91"/>
      <c r="F82" s="91"/>
      <c r="G82" s="91"/>
      <c r="H82" s="1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7" t="s">
        <v>99</v>
      </c>
      <c r="B83" s="111" t="n">
        <f aca="false">B62+B63+B64</f>
        <v>0.137</v>
      </c>
      <c r="C83" s="14"/>
      <c r="D83" s="14"/>
      <c r="E83" s="91"/>
      <c r="F83" s="91"/>
      <c r="G83" s="91"/>
      <c r="H83" s="12"/>
      <c r="J83" s="0"/>
      <c r="K83" s="96"/>
      <c r="L83" s="0"/>
      <c r="M83" s="0"/>
      <c r="N83" s="0"/>
      <c r="O83" s="0"/>
      <c r="P83" s="0"/>
      <c r="Q83" s="0"/>
      <c r="R83" s="0"/>
      <c r="S83" s="0"/>
      <c r="T83" s="96"/>
      <c r="U83" s="0"/>
      <c r="V83" s="0"/>
      <c r="W83" s="0"/>
      <c r="X83" s="0"/>
      <c r="Y83" s="0"/>
      <c r="Z83" s="0"/>
      <c r="AA83" s="0"/>
      <c r="AB83" s="0"/>
      <c r="AC83" s="96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0"/>
      <c r="K84" s="96"/>
      <c r="L84" s="0"/>
      <c r="M84" s="0"/>
      <c r="N84" s="0"/>
      <c r="O84" s="0"/>
      <c r="P84" s="0"/>
      <c r="Q84" s="0"/>
      <c r="R84" s="0"/>
      <c r="S84" s="0"/>
      <c r="T84" s="96"/>
      <c r="U84" s="0"/>
      <c r="V84" s="0"/>
      <c r="W84" s="0"/>
      <c r="X84" s="0"/>
      <c r="Y84" s="0"/>
      <c r="Z84" s="0"/>
      <c r="AA84" s="0"/>
      <c r="AB84" s="0"/>
      <c r="AC84" s="96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32</v>
      </c>
      <c r="C85" s="14"/>
      <c r="D85" s="14"/>
      <c r="E85" s="91"/>
      <c r="F85" s="91"/>
      <c r="G85" s="91"/>
      <c r="H85" s="1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4125.32107917265</v>
      </c>
      <c r="C86" s="14" t="n">
        <f aca="false">(B82/((1+B84)^(B85+1)))</f>
        <v>4125.32107917265</v>
      </c>
      <c r="D86" s="14"/>
      <c r="E86" s="91"/>
      <c r="F86" s="91"/>
      <c r="G86" s="91"/>
      <c r="H86" s="1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26.6800219733353</v>
      </c>
      <c r="C87" s="14" t="n">
        <f aca="false">((1-(1/((1+B84)^B85)))/B84)</f>
        <v>26.6800219733353</v>
      </c>
      <c r="D87" s="14"/>
      <c r="E87" s="91"/>
      <c r="F87" s="91"/>
      <c r="G87" s="91"/>
      <c r="H87" s="1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7" t="s">
        <v>104</v>
      </c>
      <c r="B88" s="12" t="n">
        <f aca="false">B81-B86</f>
        <v>43752.1789208274</v>
      </c>
      <c r="C88" s="14" t="n">
        <f aca="false">B81-B86</f>
        <v>43752.1789208274</v>
      </c>
      <c r="D88" s="14"/>
      <c r="E88" s="91"/>
      <c r="F88" s="91"/>
      <c r="G88" s="91"/>
      <c r="H88" s="12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7" t="s">
        <v>105</v>
      </c>
      <c r="B89" s="12" t="n">
        <f aca="false">(B88/B87)</f>
        <v>1639.88541555755</v>
      </c>
      <c r="C89" s="14" t="n">
        <f aca="false">(B88/B87)</f>
        <v>1639.88541555755</v>
      </c>
      <c r="D89" s="14"/>
      <c r="E89" s="91"/>
      <c r="F89" s="91"/>
      <c r="G89" s="91"/>
      <c r="H89" s="1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52476.3332978415</v>
      </c>
      <c r="C90" s="14"/>
      <c r="D90" s="14"/>
      <c r="E90" s="91"/>
      <c r="F90" s="91"/>
      <c r="G90" s="91"/>
      <c r="H90" s="12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00" t="s">
        <v>108</v>
      </c>
      <c r="B92" s="101" t="n">
        <f aca="false">(B90+B91)</f>
        <v>52476.3332978415</v>
      </c>
      <c r="C92" s="14"/>
      <c r="D92" s="14"/>
      <c r="E92" s="91"/>
      <c r="F92" s="91"/>
      <c r="G92" s="91"/>
      <c r="H92" s="1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109</v>
      </c>
      <c r="B94" s="112" t="str">
        <f aca="false">IF(B38="YES",((H36/B85)*(1+A108)),"0")</f>
        <v>0</v>
      </c>
      <c r="C94" s="14"/>
      <c r="D94" s="14"/>
      <c r="E94" s="91"/>
      <c r="F94" s="91"/>
      <c r="G94" s="91"/>
      <c r="H94" s="12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3" t="s">
        <v>110</v>
      </c>
      <c r="B95" s="114" t="n">
        <f aca="false">B92/(B85)</f>
        <v>1639.88541555755</v>
      </c>
      <c r="C95" s="14"/>
      <c r="D95" s="14"/>
      <c r="E95" s="91"/>
      <c r="F95" s="91"/>
      <c r="G95" s="91"/>
      <c r="H95" s="12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5" t="s">
        <v>62</v>
      </c>
      <c r="B96" s="116" t="n">
        <f aca="false">B94+B95</f>
        <v>1639.88541555755</v>
      </c>
      <c r="C96" s="14"/>
      <c r="D96" s="14"/>
      <c r="E96" s="91"/>
      <c r="F96" s="91"/>
      <c r="G96" s="91"/>
      <c r="H96" s="1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" t="s">
        <v>111</v>
      </c>
      <c r="B100" s="3"/>
      <c r="C100" s="3"/>
      <c r="D100" s="3"/>
      <c r="E100" s="3"/>
      <c r="F100" s="3"/>
      <c r="G100" s="3"/>
      <c r="H100" s="3"/>
      <c r="J100" s="65"/>
      <c r="K100" s="65"/>
      <c r="L100" s="65"/>
      <c r="M100" s="65"/>
      <c r="N100" s="65"/>
      <c r="O100" s="65"/>
      <c r="P100" s="65"/>
      <c r="Q100" s="65"/>
      <c r="R100" s="0"/>
      <c r="S100" s="65"/>
      <c r="T100" s="65"/>
      <c r="U100" s="65"/>
      <c r="V100" s="65"/>
      <c r="W100" s="65"/>
      <c r="X100" s="65"/>
      <c r="Y100" s="65"/>
      <c r="Z100" s="65"/>
      <c r="AA100" s="0"/>
      <c r="AB100" s="65"/>
      <c r="AC100" s="65"/>
      <c r="AD100" s="65"/>
      <c r="AE100" s="65"/>
      <c r="AF100" s="65"/>
      <c r="AG100" s="65"/>
      <c r="AH100" s="65"/>
      <c r="AI100" s="65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65"/>
      <c r="K102" s="65"/>
      <c r="L102" s="65"/>
      <c r="M102" s="65"/>
      <c r="N102" s="65"/>
      <c r="O102" s="65"/>
      <c r="P102" s="65"/>
      <c r="Q102" s="65"/>
      <c r="R102" s="0"/>
      <c r="S102" s="65"/>
      <c r="T102" s="65"/>
      <c r="U102" s="65"/>
      <c r="V102" s="65"/>
      <c r="W102" s="65"/>
      <c r="X102" s="65"/>
      <c r="Y102" s="65"/>
      <c r="Z102" s="65"/>
      <c r="AA102" s="0"/>
      <c r="AB102" s="65"/>
      <c r="AC102" s="65"/>
      <c r="AD102" s="65"/>
      <c r="AE102" s="65"/>
      <c r="AF102" s="65"/>
      <c r="AG102" s="65"/>
      <c r="AH102" s="65"/>
      <c r="AI102" s="65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34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34" t="s">
        <v>115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0"/>
      <c r="K105" s="65"/>
      <c r="L105" s="65"/>
      <c r="M105" s="65"/>
      <c r="N105" s="65"/>
      <c r="O105" s="65"/>
      <c r="P105" s="65"/>
      <c r="Q105" s="0"/>
      <c r="R105" s="0"/>
      <c r="S105" s="0"/>
      <c r="T105" s="65"/>
      <c r="U105" s="65"/>
      <c r="V105" s="65"/>
      <c r="W105" s="65"/>
      <c r="X105" s="65"/>
      <c r="Y105" s="65"/>
      <c r="Z105" s="34" t="s">
        <v>117</v>
      </c>
      <c r="AA105" s="0"/>
      <c r="AB105" s="0"/>
      <c r="AC105" s="65"/>
      <c r="AD105" s="65"/>
      <c r="AE105" s="65"/>
      <c r="AF105" s="65"/>
      <c r="AG105" s="65"/>
      <c r="AH105" s="65"/>
      <c r="AI105" s="0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34" t="s">
        <v>118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34" t="s">
        <v>122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123" t="n">
        <v>0.2</v>
      </c>
      <c r="B108" s="124" t="s">
        <v>123</v>
      </c>
      <c r="C108" s="124"/>
      <c r="D108" s="124"/>
      <c r="E108" s="125" t="n">
        <f aca="false">B83</f>
        <v>0.137</v>
      </c>
      <c r="F108" s="125"/>
      <c r="G108" s="125"/>
      <c r="H108" s="126"/>
      <c r="J108" s="96"/>
      <c r="K108" s="65"/>
      <c r="L108" s="65"/>
      <c r="M108" s="65"/>
      <c r="N108" s="96"/>
      <c r="O108" s="96"/>
      <c r="P108" s="96"/>
      <c r="Q108" s="0"/>
      <c r="R108" s="0"/>
      <c r="S108" s="96"/>
      <c r="T108" s="65"/>
      <c r="U108" s="65"/>
      <c r="V108" s="65"/>
      <c r="W108" s="96"/>
      <c r="X108" s="96"/>
      <c r="Y108" s="96"/>
      <c r="Z108" s="34" t="s">
        <v>124</v>
      </c>
      <c r="AA108" s="0"/>
      <c r="AB108" s="96"/>
      <c r="AC108" s="65"/>
      <c r="AD108" s="65"/>
      <c r="AE108" s="65"/>
      <c r="AF108" s="96"/>
      <c r="AG108" s="96"/>
      <c r="AH108" s="96"/>
      <c r="AI108" s="0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34" t="s">
        <v>126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34" t="s">
        <v>131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0"/>
      <c r="K111" s="65"/>
      <c r="L111" s="65"/>
      <c r="M111" s="65"/>
      <c r="N111" s="65"/>
      <c r="O111" s="65"/>
      <c r="P111" s="65"/>
      <c r="Q111" s="0"/>
      <c r="R111" s="0"/>
      <c r="S111" s="0"/>
      <c r="T111" s="65"/>
      <c r="U111" s="65"/>
      <c r="V111" s="65"/>
      <c r="W111" s="65"/>
      <c r="X111" s="65"/>
      <c r="Y111" s="65"/>
      <c r="Z111" s="34" t="s">
        <v>132</v>
      </c>
      <c r="AA111" s="0"/>
      <c r="AB111" s="0"/>
      <c r="AC111" s="65"/>
      <c r="AD111" s="65"/>
      <c r="AE111" s="65"/>
      <c r="AF111" s="65"/>
      <c r="AG111" s="65"/>
      <c r="AH111" s="65"/>
      <c r="AI111" s="0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0"/>
      <c r="K114" s="65"/>
      <c r="L114" s="65"/>
      <c r="M114" s="65"/>
      <c r="N114" s="65"/>
      <c r="O114" s="65"/>
      <c r="P114" s="65"/>
      <c r="Q114" s="0"/>
      <c r="R114" s="0"/>
      <c r="S114" s="0"/>
      <c r="T114" s="65"/>
      <c r="U114" s="65"/>
      <c r="V114" s="65"/>
      <c r="W114" s="65"/>
      <c r="X114" s="65"/>
      <c r="Y114" s="65"/>
      <c r="Z114" s="0"/>
      <c r="AA114" s="0"/>
      <c r="AB114" s="0"/>
      <c r="AC114" s="65"/>
      <c r="AD114" s="65"/>
      <c r="AE114" s="65"/>
      <c r="AF114" s="65"/>
      <c r="AG114" s="65"/>
      <c r="AH114" s="65"/>
      <c r="AI114" s="0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65"/>
      <c r="K117" s="65"/>
      <c r="L117" s="65"/>
      <c r="M117" s="65"/>
      <c r="N117" s="65"/>
      <c r="O117" s="65"/>
      <c r="P117" s="65"/>
      <c r="Q117" s="65"/>
      <c r="R117" s="0"/>
      <c r="S117" s="65"/>
      <c r="T117" s="65"/>
      <c r="U117" s="65"/>
      <c r="V117" s="65"/>
      <c r="W117" s="65"/>
      <c r="X117" s="65"/>
      <c r="Y117" s="65"/>
      <c r="Z117" s="65"/>
      <c r="AA117" s="0"/>
      <c r="AB117" s="65"/>
      <c r="AC117" s="65"/>
      <c r="AD117" s="65"/>
      <c r="AE117" s="65"/>
      <c r="AF117" s="65"/>
      <c r="AG117" s="65"/>
      <c r="AH117" s="65"/>
      <c r="AI117" s="65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0"/>
      <c r="K119" s="65"/>
      <c r="L119" s="65"/>
      <c r="M119" s="65"/>
      <c r="N119" s="65"/>
      <c r="O119" s="65"/>
      <c r="P119" s="65"/>
      <c r="Q119" s="0"/>
      <c r="R119" s="0"/>
      <c r="S119" s="0"/>
      <c r="T119" s="65"/>
      <c r="U119" s="65"/>
      <c r="V119" s="65"/>
      <c r="W119" s="65"/>
      <c r="X119" s="65"/>
      <c r="Y119" s="65"/>
      <c r="Z119" s="0"/>
      <c r="AA119" s="0"/>
      <c r="AB119" s="0"/>
      <c r="AC119" s="65"/>
      <c r="AD119" s="65"/>
      <c r="AE119" s="65"/>
      <c r="AF119" s="65"/>
      <c r="AG119" s="65"/>
      <c r="AH119" s="65"/>
      <c r="AI119" s="0"/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v>0</v>
      </c>
      <c r="H121" s="13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0"/>
      <c r="K122" s="96"/>
      <c r="L122" s="96"/>
      <c r="M122" s="96"/>
      <c r="N122" s="96"/>
      <c r="O122" s="96"/>
      <c r="P122" s="96"/>
      <c r="Q122" s="96"/>
      <c r="R122" s="0"/>
      <c r="S122" s="0"/>
      <c r="T122" s="96"/>
      <c r="U122" s="96"/>
      <c r="V122" s="96"/>
      <c r="W122" s="96"/>
      <c r="X122" s="96"/>
      <c r="Y122" s="96"/>
      <c r="Z122" s="96"/>
      <c r="AA122" s="0"/>
      <c r="AB122" s="0"/>
      <c r="AC122" s="96"/>
      <c r="AD122" s="96"/>
      <c r="AE122" s="96"/>
      <c r="AF122" s="96"/>
      <c r="AG122" s="96"/>
      <c r="AH122" s="96"/>
      <c r="AI122" s="96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0</v>
      </c>
      <c r="H125" s="10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0"/>
      <c r="K130" s="65"/>
      <c r="L130" s="65"/>
      <c r="M130" s="65"/>
      <c r="N130" s="65"/>
      <c r="O130" s="65"/>
      <c r="P130" s="65"/>
      <c r="Q130" s="0"/>
      <c r="R130" s="0"/>
      <c r="S130" s="0"/>
      <c r="T130" s="65"/>
      <c r="U130" s="65"/>
      <c r="V130" s="65"/>
      <c r="W130" s="65"/>
      <c r="X130" s="65"/>
      <c r="Y130" s="65"/>
      <c r="Z130" s="0"/>
      <c r="AA130" s="0"/>
      <c r="AB130" s="0"/>
      <c r="AC130" s="65"/>
      <c r="AD130" s="65"/>
      <c r="AE130" s="65"/>
      <c r="AF130" s="65"/>
      <c r="AG130" s="65"/>
      <c r="AH130" s="65"/>
      <c r="AI130" s="0"/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0"/>
      <c r="K131" s="65"/>
      <c r="L131" s="65"/>
      <c r="M131" s="96"/>
      <c r="N131" s="96"/>
      <c r="O131" s="65"/>
      <c r="P131" s="65"/>
      <c r="Q131" s="0"/>
      <c r="R131" s="0"/>
      <c r="S131" s="0"/>
      <c r="T131" s="65"/>
      <c r="U131" s="65"/>
      <c r="V131" s="96"/>
      <c r="W131" s="96"/>
      <c r="X131" s="65"/>
      <c r="Y131" s="65"/>
      <c r="Z131" s="0"/>
      <c r="AA131" s="0"/>
      <c r="AB131" s="0"/>
      <c r="AC131" s="65"/>
      <c r="AD131" s="65"/>
      <c r="AE131" s="96"/>
      <c r="AF131" s="96"/>
      <c r="AG131" s="65"/>
      <c r="AH131" s="65"/>
      <c r="AI131" s="0"/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0"/>
      <c r="K132" s="65"/>
      <c r="L132" s="65"/>
      <c r="M132" s="96"/>
      <c r="N132" s="96"/>
      <c r="O132" s="65"/>
      <c r="P132" s="65"/>
      <c r="Q132" s="0"/>
      <c r="R132" s="0"/>
      <c r="S132" s="0"/>
      <c r="T132" s="65"/>
      <c r="U132" s="65"/>
      <c r="V132" s="96"/>
      <c r="W132" s="96"/>
      <c r="X132" s="65"/>
      <c r="Y132" s="65"/>
      <c r="Z132" s="0"/>
      <c r="AA132" s="0"/>
      <c r="AB132" s="0"/>
      <c r="AC132" s="65"/>
      <c r="AD132" s="65"/>
      <c r="AE132" s="96"/>
      <c r="AF132" s="96"/>
      <c r="AG132" s="65"/>
      <c r="AH132" s="65"/>
      <c r="AI132" s="0"/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0"/>
      <c r="K133" s="65"/>
      <c r="L133" s="65"/>
      <c r="M133" s="96"/>
      <c r="N133" s="96"/>
      <c r="O133" s="65"/>
      <c r="P133" s="65"/>
      <c r="Q133" s="0"/>
      <c r="R133" s="0"/>
      <c r="S133" s="0"/>
      <c r="T133" s="65"/>
      <c r="U133" s="65"/>
      <c r="V133" s="96"/>
      <c r="W133" s="96"/>
      <c r="X133" s="65"/>
      <c r="Y133" s="65"/>
      <c r="Z133" s="0"/>
      <c r="AA133" s="0"/>
      <c r="AB133" s="0"/>
      <c r="AC133" s="65"/>
      <c r="AD133" s="65"/>
      <c r="AE133" s="96"/>
      <c r="AF133" s="96"/>
      <c r="AG133" s="65"/>
      <c r="AH133" s="65"/>
      <c r="AI133" s="0"/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46854.17</v>
      </c>
      <c r="J135" s="65"/>
      <c r="K135" s="65"/>
      <c r="L135" s="65"/>
      <c r="M135" s="65"/>
      <c r="N135" s="65"/>
      <c r="O135" s="65"/>
      <c r="P135" s="0"/>
      <c r="Q135" s="0"/>
      <c r="R135" s="0"/>
      <c r="S135" s="65"/>
      <c r="T135" s="65"/>
      <c r="U135" s="65"/>
      <c r="V135" s="65"/>
      <c r="W135" s="65"/>
      <c r="X135" s="65"/>
      <c r="Y135" s="0"/>
      <c r="Z135" s="0"/>
      <c r="AA135" s="0"/>
      <c r="AB135" s="65"/>
      <c r="AC135" s="65"/>
      <c r="AD135" s="65"/>
      <c r="AE135" s="65"/>
      <c r="AF135" s="65"/>
      <c r="AG135" s="65"/>
      <c r="AH135" s="0"/>
      <c r="AI135" s="0"/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65"/>
      <c r="K136" s="65"/>
      <c r="L136" s="65"/>
      <c r="M136" s="65"/>
      <c r="N136" s="65"/>
      <c r="O136" s="65"/>
      <c r="P136" s="0"/>
      <c r="Q136" s="0"/>
      <c r="R136" s="0"/>
      <c r="S136" s="65"/>
      <c r="T136" s="65"/>
      <c r="U136" s="65"/>
      <c r="V136" s="65"/>
      <c r="W136" s="65"/>
      <c r="X136" s="65"/>
      <c r="Y136" s="0"/>
      <c r="Z136" s="0"/>
      <c r="AA136" s="0"/>
      <c r="AB136" s="65"/>
      <c r="AC136" s="65"/>
      <c r="AD136" s="65"/>
      <c r="AE136" s="65"/>
      <c r="AF136" s="65"/>
      <c r="AG136" s="65"/>
      <c r="AH136" s="0"/>
      <c r="AI136" s="0"/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9480.834</v>
      </c>
      <c r="J137" s="65"/>
      <c r="K137" s="65"/>
      <c r="L137" s="65"/>
      <c r="M137" s="65"/>
      <c r="N137" s="65"/>
      <c r="O137" s="65"/>
      <c r="P137" s="0"/>
      <c r="Q137" s="0"/>
      <c r="R137" s="0"/>
      <c r="S137" s="65"/>
      <c r="T137" s="65"/>
      <c r="U137" s="65"/>
      <c r="V137" s="65"/>
      <c r="W137" s="65"/>
      <c r="X137" s="65"/>
      <c r="Y137" s="0"/>
      <c r="Z137" s="0"/>
      <c r="AA137" s="0"/>
      <c r="AB137" s="65"/>
      <c r="AC137" s="65"/>
      <c r="AD137" s="65"/>
      <c r="AE137" s="65"/>
      <c r="AF137" s="65"/>
      <c r="AG137" s="65"/>
      <c r="AH137" s="0"/>
      <c r="AI137" s="0"/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65"/>
      <c r="K138" s="65"/>
      <c r="L138" s="65"/>
      <c r="M138" s="65"/>
      <c r="N138" s="65"/>
      <c r="O138" s="65"/>
      <c r="P138" s="0"/>
      <c r="Q138" s="0"/>
      <c r="R138" s="0"/>
      <c r="S138" s="65"/>
      <c r="T138" s="65"/>
      <c r="U138" s="65"/>
      <c r="V138" s="65"/>
      <c r="W138" s="65"/>
      <c r="X138" s="65"/>
      <c r="Y138" s="0"/>
      <c r="Z138" s="0"/>
      <c r="AA138" s="0"/>
      <c r="AB138" s="65"/>
      <c r="AC138" s="65"/>
      <c r="AD138" s="65"/>
      <c r="AE138" s="65"/>
      <c r="AF138" s="65"/>
      <c r="AG138" s="65"/>
      <c r="AH138" s="0"/>
      <c r="AI138" s="0"/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65"/>
      <c r="K139" s="65"/>
      <c r="L139" s="65"/>
      <c r="M139" s="65"/>
      <c r="N139" s="65"/>
      <c r="O139" s="65"/>
      <c r="P139" s="0"/>
      <c r="Q139" s="0"/>
      <c r="R139" s="0"/>
      <c r="S139" s="65"/>
      <c r="T139" s="65"/>
      <c r="U139" s="65"/>
      <c r="V139" s="65"/>
      <c r="W139" s="65"/>
      <c r="X139" s="65"/>
      <c r="Y139" s="0"/>
      <c r="Z139" s="0"/>
      <c r="AA139" s="0"/>
      <c r="AB139" s="65"/>
      <c r="AC139" s="65"/>
      <c r="AD139" s="65"/>
      <c r="AE139" s="65"/>
      <c r="AF139" s="65"/>
      <c r="AG139" s="65"/>
      <c r="AH139" s="0"/>
      <c r="AI139" s="0"/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65"/>
      <c r="K140" s="65"/>
      <c r="L140" s="65"/>
      <c r="M140" s="65"/>
      <c r="N140" s="65"/>
      <c r="O140" s="65"/>
      <c r="P140" s="0"/>
      <c r="Q140" s="0"/>
      <c r="R140" s="0"/>
      <c r="S140" s="65"/>
      <c r="T140" s="65"/>
      <c r="U140" s="65"/>
      <c r="V140" s="65"/>
      <c r="W140" s="65"/>
      <c r="X140" s="65"/>
      <c r="Y140" s="0"/>
      <c r="Z140" s="0"/>
      <c r="AA140" s="0"/>
      <c r="AB140" s="65"/>
      <c r="AC140" s="65"/>
      <c r="AD140" s="65"/>
      <c r="AE140" s="65"/>
      <c r="AF140" s="65"/>
      <c r="AG140" s="65"/>
      <c r="AH140" s="0"/>
      <c r="AI140" s="0"/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57525.004</v>
      </c>
      <c r="J141" s="65"/>
      <c r="K141" s="65"/>
      <c r="L141" s="65"/>
      <c r="M141" s="65"/>
      <c r="N141" s="65"/>
      <c r="O141" s="65"/>
      <c r="P141" s="0"/>
      <c r="Q141" s="0"/>
      <c r="R141" s="0"/>
      <c r="S141" s="65"/>
      <c r="T141" s="65"/>
      <c r="U141" s="65"/>
      <c r="V141" s="65"/>
      <c r="W141" s="65"/>
      <c r="X141" s="65"/>
      <c r="Y141" s="0"/>
      <c r="Z141" s="0"/>
      <c r="AA141" s="0"/>
      <c r="AB141" s="65"/>
      <c r="AC141" s="65"/>
      <c r="AD141" s="65"/>
      <c r="AE141" s="65"/>
      <c r="AF141" s="65"/>
      <c r="AG141" s="65"/>
      <c r="AH141" s="0"/>
      <c r="AI141" s="0"/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65"/>
      <c r="K142" s="65"/>
      <c r="L142" s="65"/>
      <c r="M142" s="65"/>
      <c r="N142" s="65"/>
      <c r="O142" s="65"/>
      <c r="P142" s="0"/>
      <c r="Q142" s="0"/>
      <c r="R142" s="0"/>
      <c r="S142" s="65"/>
      <c r="T142" s="65"/>
      <c r="U142" s="65"/>
      <c r="V142" s="65"/>
      <c r="W142" s="65"/>
      <c r="X142" s="65"/>
      <c r="Y142" s="0"/>
      <c r="Z142" s="0"/>
      <c r="AA142" s="0"/>
      <c r="AB142" s="65"/>
      <c r="AC142" s="65"/>
      <c r="AD142" s="65"/>
      <c r="AE142" s="65"/>
      <c r="AF142" s="65"/>
      <c r="AG142" s="65"/>
      <c r="AH142" s="0"/>
      <c r="AI142" s="0"/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65"/>
      <c r="K143" s="65"/>
      <c r="L143" s="65"/>
      <c r="M143" s="65"/>
      <c r="N143" s="65"/>
      <c r="O143" s="65"/>
      <c r="P143" s="0"/>
      <c r="Q143" s="0"/>
      <c r="R143" s="0"/>
      <c r="S143" s="65"/>
      <c r="T143" s="65"/>
      <c r="U143" s="65"/>
      <c r="V143" s="65"/>
      <c r="W143" s="65"/>
      <c r="X143" s="65"/>
      <c r="Y143" s="0"/>
      <c r="Z143" s="0"/>
      <c r="AA143" s="0"/>
      <c r="AB143" s="65"/>
      <c r="AC143" s="65"/>
      <c r="AD143" s="65"/>
      <c r="AE143" s="65"/>
      <c r="AF143" s="65"/>
      <c r="AG143" s="65"/>
      <c r="AH143" s="0"/>
      <c r="AI143" s="0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0"/>
      <c r="K144" s="65"/>
      <c r="L144" s="65"/>
      <c r="M144" s="65"/>
      <c r="N144" s="65"/>
      <c r="O144" s="65"/>
      <c r="P144" s="0"/>
      <c r="Q144" s="0"/>
      <c r="R144" s="0"/>
      <c r="S144" s="0"/>
      <c r="T144" s="65"/>
      <c r="U144" s="65"/>
      <c r="V144" s="65"/>
      <c r="W144" s="65"/>
      <c r="X144" s="65"/>
      <c r="Y144" s="0"/>
      <c r="Z144" s="0"/>
      <c r="AA144" s="0"/>
      <c r="AB144" s="0"/>
      <c r="AC144" s="65"/>
      <c r="AD144" s="65"/>
      <c r="AE144" s="65"/>
      <c r="AF144" s="65"/>
      <c r="AG144" s="65"/>
      <c r="AH144" s="0"/>
      <c r="AI144" s="0"/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0"/>
      <c r="K145" s="65"/>
      <c r="L145" s="65"/>
      <c r="M145" s="65"/>
      <c r="N145" s="65"/>
      <c r="O145" s="65"/>
      <c r="P145" s="0"/>
      <c r="Q145" s="0"/>
      <c r="R145" s="0"/>
      <c r="S145" s="0"/>
      <c r="T145" s="65"/>
      <c r="U145" s="65"/>
      <c r="V145" s="65"/>
      <c r="W145" s="65"/>
      <c r="X145" s="65"/>
      <c r="Y145" s="0"/>
      <c r="Z145" s="0"/>
      <c r="AA145" s="0"/>
      <c r="AB145" s="0"/>
      <c r="AC145" s="65"/>
      <c r="AD145" s="65"/>
      <c r="AE145" s="65"/>
      <c r="AF145" s="65"/>
      <c r="AG145" s="65"/>
      <c r="AH145" s="0"/>
      <c r="AI145" s="0"/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0"/>
      <c r="K146" s="65"/>
      <c r="L146" s="65"/>
      <c r="M146" s="65"/>
      <c r="N146" s="65"/>
      <c r="O146" s="65"/>
      <c r="P146" s="0"/>
      <c r="Q146" s="0"/>
      <c r="R146" s="0"/>
      <c r="S146" s="0"/>
      <c r="T146" s="65"/>
      <c r="U146" s="65"/>
      <c r="V146" s="65"/>
      <c r="W146" s="65"/>
      <c r="X146" s="65"/>
      <c r="Y146" s="0"/>
      <c r="Z146" s="0"/>
      <c r="AA146" s="0"/>
      <c r="AB146" s="0"/>
      <c r="AC146" s="65"/>
      <c r="AD146" s="65"/>
      <c r="AE146" s="65"/>
      <c r="AF146" s="65"/>
      <c r="AG146" s="65"/>
      <c r="AH146" s="0"/>
      <c r="AI146" s="0"/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57525.004</v>
      </c>
      <c r="J147" s="65"/>
      <c r="K147" s="65"/>
      <c r="L147" s="65"/>
      <c r="M147" s="65"/>
      <c r="N147" s="65"/>
      <c r="O147" s="65"/>
      <c r="P147" s="0"/>
      <c r="Q147" s="0"/>
      <c r="R147" s="0"/>
      <c r="S147" s="65"/>
      <c r="T147" s="65"/>
      <c r="U147" s="65"/>
      <c r="V147" s="65"/>
      <c r="W147" s="65"/>
      <c r="X147" s="65"/>
      <c r="Y147" s="0"/>
      <c r="Z147" s="0"/>
      <c r="AA147" s="0"/>
      <c r="AB147" s="65"/>
      <c r="AC147" s="65"/>
      <c r="AD147" s="65"/>
      <c r="AE147" s="65"/>
      <c r="AF147" s="65"/>
      <c r="AG147" s="65"/>
      <c r="AH147" s="0"/>
      <c r="AI147" s="0"/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-833.33</v>
      </c>
      <c r="I148" s="1" t="n">
        <f aca="false">(H148-G81)/1.2</f>
        <v>-694.441666666667</v>
      </c>
      <c r="J148" s="65"/>
      <c r="K148" s="65"/>
      <c r="L148" s="65"/>
      <c r="M148" s="65"/>
      <c r="N148" s="65"/>
      <c r="O148" s="65"/>
      <c r="P148" s="0"/>
      <c r="Q148" s="0"/>
      <c r="R148" s="0"/>
      <c r="S148" s="65"/>
      <c r="T148" s="65"/>
      <c r="U148" s="65"/>
      <c r="V148" s="65"/>
      <c r="W148" s="65"/>
      <c r="X148" s="65"/>
      <c r="Y148" s="0"/>
      <c r="Z148" s="0"/>
      <c r="AA148" s="0"/>
      <c r="AB148" s="65"/>
      <c r="AC148" s="65"/>
      <c r="AD148" s="65"/>
      <c r="AE148" s="65"/>
      <c r="AF148" s="65"/>
      <c r="AG148" s="65"/>
      <c r="AH148" s="0"/>
      <c r="AI148" s="0"/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65"/>
      <c r="K150" s="65"/>
      <c r="L150" s="65"/>
      <c r="M150" s="65"/>
      <c r="N150" s="65"/>
      <c r="O150" s="65"/>
      <c r="P150" s="65"/>
      <c r="Q150" s="65"/>
      <c r="R150" s="0"/>
      <c r="S150" s="65"/>
      <c r="T150" s="65"/>
      <c r="U150" s="65"/>
      <c r="V150" s="65"/>
      <c r="W150" s="65"/>
      <c r="X150" s="65"/>
      <c r="Y150" s="65"/>
      <c r="Z150" s="65"/>
      <c r="AA150" s="0"/>
      <c r="AB150" s="65"/>
      <c r="AC150" s="65"/>
      <c r="AD150" s="65"/>
      <c r="AE150" s="65"/>
      <c r="AF150" s="65"/>
      <c r="AG150" s="65"/>
      <c r="AH150" s="65"/>
      <c r="AI150" s="65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0"/>
      <c r="K152" s="0"/>
      <c r="L152" s="0"/>
      <c r="M152" s="0"/>
      <c r="N152" s="65"/>
      <c r="O152" s="65"/>
      <c r="P152" s="65"/>
      <c r="Q152" s="65"/>
      <c r="R152" s="0"/>
      <c r="S152" s="0"/>
      <c r="T152" s="0"/>
      <c r="U152" s="0"/>
      <c r="V152" s="0"/>
      <c r="W152" s="65"/>
      <c r="X152" s="65"/>
      <c r="Y152" s="65"/>
      <c r="Z152" s="65"/>
      <c r="AA152" s="0"/>
      <c r="AB152" s="0"/>
      <c r="AC152" s="0"/>
      <c r="AD152" s="0"/>
      <c r="AE152" s="0"/>
      <c r="AF152" s="65"/>
      <c r="AG152" s="65"/>
      <c r="AH152" s="65"/>
      <c r="AI152" s="65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0"/>
      <c r="K153" s="0"/>
      <c r="L153" s="0"/>
      <c r="M153" s="0"/>
      <c r="N153" s="65"/>
      <c r="O153" s="65"/>
      <c r="P153" s="65"/>
      <c r="Q153" s="65"/>
      <c r="R153" s="0"/>
      <c r="S153" s="0"/>
      <c r="T153" s="0"/>
      <c r="U153" s="0"/>
      <c r="V153" s="0"/>
      <c r="W153" s="65"/>
      <c r="X153" s="65"/>
      <c r="Y153" s="65"/>
      <c r="Z153" s="65"/>
      <c r="AA153" s="0"/>
      <c r="AB153" s="0"/>
      <c r="AC153" s="0"/>
      <c r="AD153" s="0"/>
      <c r="AE153" s="0"/>
      <c r="AF153" s="65"/>
      <c r="AG153" s="65"/>
      <c r="AH153" s="65"/>
      <c r="AI153" s="65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0"/>
      <c r="K154" s="0"/>
      <c r="L154" s="0"/>
      <c r="M154" s="0"/>
      <c r="N154" s="65"/>
      <c r="O154" s="65"/>
      <c r="P154" s="65"/>
      <c r="Q154" s="65"/>
      <c r="R154" s="0"/>
      <c r="S154" s="0"/>
      <c r="T154" s="0"/>
      <c r="U154" s="0"/>
      <c r="V154" s="0"/>
      <c r="W154" s="65"/>
      <c r="X154" s="65"/>
      <c r="Y154" s="65"/>
      <c r="Z154" s="65"/>
      <c r="AA154" s="0"/>
      <c r="AB154" s="0"/>
      <c r="AC154" s="0"/>
      <c r="AD154" s="0"/>
      <c r="AE154" s="0"/>
      <c r="AF154" s="65"/>
      <c r="AG154" s="65"/>
      <c r="AH154" s="65"/>
      <c r="AI154" s="65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0"/>
      <c r="K155" s="0"/>
      <c r="L155" s="0"/>
      <c r="M155" s="0"/>
      <c r="N155" s="65"/>
      <c r="O155" s="65"/>
      <c r="P155" s="0"/>
      <c r="Q155" s="0"/>
      <c r="R155" s="0"/>
      <c r="S155" s="0"/>
      <c r="T155" s="0"/>
      <c r="U155" s="0"/>
      <c r="V155" s="0"/>
      <c r="W155" s="65"/>
      <c r="X155" s="65"/>
      <c r="Y155" s="0"/>
      <c r="Z155" s="0"/>
      <c r="AA155" s="0"/>
      <c r="AB155" s="0"/>
      <c r="AC155" s="0"/>
      <c r="AD155" s="0"/>
      <c r="AE155" s="0"/>
      <c r="AF155" s="65"/>
      <c r="AG155" s="65"/>
      <c r="AH155" s="0"/>
      <c r="AI155" s="0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0"/>
      <c r="K157" s="0"/>
      <c r="L157" s="0"/>
      <c r="M157" s="0"/>
      <c r="N157" s="0"/>
      <c r="O157" s="0"/>
      <c r="P157" s="65"/>
      <c r="Q157" s="65"/>
      <c r="R157" s="0"/>
      <c r="S157" s="0"/>
      <c r="T157" s="0"/>
      <c r="U157" s="0"/>
      <c r="V157" s="0"/>
      <c r="W157" s="0"/>
      <c r="X157" s="0"/>
      <c r="Y157" s="65"/>
      <c r="Z157" s="65"/>
      <c r="AA157" s="0"/>
      <c r="AB157" s="0"/>
      <c r="AC157" s="0"/>
      <c r="AD157" s="0"/>
      <c r="AE157" s="0"/>
      <c r="AF157" s="0"/>
      <c r="AG157" s="0"/>
      <c r="AH157" s="65"/>
      <c r="AI157" s="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57525.004</v>
      </c>
      <c r="H158" s="167"/>
      <c r="J158" s="0"/>
      <c r="K158" s="0"/>
      <c r="L158" s="0"/>
      <c r="M158" s="0"/>
      <c r="N158" s="0"/>
      <c r="O158" s="0"/>
      <c r="P158" s="65"/>
      <c r="Q158" s="65"/>
      <c r="R158" s="0"/>
      <c r="S158" s="0"/>
      <c r="T158" s="0"/>
      <c r="U158" s="0"/>
      <c r="V158" s="0"/>
      <c r="W158" s="0"/>
      <c r="X158" s="0"/>
      <c r="Y158" s="65"/>
      <c r="Z158" s="65"/>
      <c r="AA158" s="0"/>
      <c r="AB158" s="0"/>
      <c r="AC158" s="0"/>
      <c r="AD158" s="0"/>
      <c r="AE158" s="0"/>
      <c r="AF158" s="0"/>
      <c r="AG158" s="0"/>
      <c r="AH158" s="65"/>
      <c r="AI158" s="65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0"/>
      <c r="K159" s="0"/>
      <c r="L159" s="0"/>
      <c r="M159" s="0"/>
      <c r="N159" s="0"/>
      <c r="O159" s="0"/>
      <c r="P159" s="65"/>
      <c r="Q159" s="65"/>
      <c r="R159" s="0"/>
      <c r="S159" s="0"/>
      <c r="T159" s="0"/>
      <c r="U159" s="0"/>
      <c r="V159" s="0"/>
      <c r="W159" s="0"/>
      <c r="X159" s="0"/>
      <c r="Y159" s="65"/>
      <c r="Z159" s="65"/>
      <c r="AA159" s="0"/>
      <c r="AB159" s="0"/>
      <c r="AC159" s="0"/>
      <c r="AD159" s="0"/>
      <c r="AE159" s="0"/>
      <c r="AF159" s="0"/>
      <c r="AG159" s="0"/>
      <c r="AH159" s="65"/>
      <c r="AI159" s="65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65"/>
      <c r="K162" s="65"/>
      <c r="L162" s="65"/>
      <c r="M162" s="65"/>
      <c r="N162" s="65"/>
      <c r="O162" s="65"/>
      <c r="P162" s="65"/>
      <c r="Q162" s="65"/>
      <c r="R162" s="0"/>
      <c r="S162" s="65"/>
      <c r="T162" s="65"/>
      <c r="U162" s="65"/>
      <c r="V162" s="65"/>
      <c r="W162" s="65"/>
      <c r="X162" s="65"/>
      <c r="Y162" s="65"/>
      <c r="Z162" s="65"/>
      <c r="AA162" s="0"/>
      <c r="AB162" s="65"/>
      <c r="AC162" s="65"/>
      <c r="AD162" s="65"/>
      <c r="AE162" s="65"/>
      <c r="AF162" s="65"/>
      <c r="AG162" s="65"/>
      <c r="AH162" s="65"/>
      <c r="AI162" s="65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0"/>
      <c r="K164" s="65"/>
      <c r="L164" s="65"/>
      <c r="M164" s="0"/>
      <c r="N164" s="0"/>
      <c r="O164" s="0"/>
      <c r="P164" s="0"/>
      <c r="Q164" s="0"/>
      <c r="R164" s="0"/>
      <c r="S164" s="0"/>
      <c r="T164" s="65"/>
      <c r="U164" s="65"/>
      <c r="V164" s="0"/>
      <c r="W164" s="0"/>
      <c r="X164" s="0"/>
      <c r="Y164" s="0"/>
      <c r="Z164" s="0"/>
      <c r="AA164" s="0"/>
      <c r="AB164" s="0"/>
      <c r="AC164" s="65"/>
      <c r="AD164" s="6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2" t="n">
        <f aca="false">B95</f>
        <v>1639.88541555755</v>
      </c>
      <c r="B167" s="173" t="str">
        <f aca="false">B94</f>
        <v>0</v>
      </c>
      <c r="C167" s="171"/>
      <c r="D167" s="171"/>
      <c r="E167" s="173" t="n">
        <f aca="false">B96</f>
        <v>1639.88541555755</v>
      </c>
      <c r="F167" s="31"/>
      <c r="G167" s="31"/>
      <c r="H167" s="1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174" t="n">
        <f aca="false">K29</f>
        <v>0</v>
      </c>
      <c r="B170" s="175" t="n">
        <f aca="false">K30</f>
        <v>0</v>
      </c>
      <c r="C170" s="176"/>
      <c r="D170" s="31"/>
      <c r="E170" s="177" t="str">
        <f aca="false">IF(A111="YES", A40, 0)</f>
        <v>Monthly maintenance rental (Ex. VAT)</v>
      </c>
      <c r="F170" s="31"/>
      <c r="G170" s="31"/>
      <c r="H170" s="1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78" t="n">
        <f aca="false">H141-H137-H139-H140</f>
        <v>47404.17</v>
      </c>
      <c r="B173" s="23" t="n">
        <f aca="false">H137</f>
        <v>9480.834</v>
      </c>
      <c r="C173" s="179"/>
      <c r="D173" s="31"/>
      <c r="E173" s="177" t="n">
        <f aca="false">H139+H140</f>
        <v>640</v>
      </c>
      <c r="F173" s="31"/>
      <c r="G173" s="31"/>
      <c r="H173" s="12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78" t="n">
        <f aca="false">H147</f>
        <v>57525.004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57525.004</v>
      </c>
      <c r="F179" s="31"/>
      <c r="G179" s="31"/>
      <c r="H179" s="18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22" t="n">
        <v>500</v>
      </c>
      <c r="B182" s="23" t="str">
        <f aca="false">B114</f>
        <v>199.99</v>
      </c>
      <c r="C182" s="23"/>
      <c r="D182" s="31"/>
      <c r="E182" s="23" t="n">
        <f aca="false">E179+A182+B182+A185</f>
        <v>58234.994</v>
      </c>
      <c r="F182" s="31"/>
      <c r="G182" s="31"/>
      <c r="H182" s="18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7" t="n">
        <v>3</v>
      </c>
      <c r="B183" s="14"/>
      <c r="C183" s="14"/>
      <c r="D183" s="31"/>
      <c r="E183" s="14"/>
      <c r="F183" s="31"/>
      <c r="G183" s="31"/>
      <c r="H183" s="12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e">
        <f aca="false">E170+A185</f>
        <v>#VALUE!</v>
      </c>
      <c r="F185" s="31"/>
      <c r="G185" s="31"/>
      <c r="H185" s="18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143.81251</v>
      </c>
      <c r="C188" s="14"/>
      <c r="D188" s="14"/>
      <c r="E188" s="23" t="n">
        <f aca="false">(E40*A108)*0.1</f>
        <v>0</v>
      </c>
      <c r="F188" s="31"/>
      <c r="G188" s="31"/>
      <c r="H188" s="12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243.80251</v>
      </c>
      <c r="C191" s="14"/>
      <c r="D191" s="14"/>
      <c r="E191" s="23" t="n">
        <f aca="false">H148</f>
        <v>-833.33</v>
      </c>
      <c r="F191" s="31"/>
      <c r="G191" s="31"/>
      <c r="H191" s="12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65"/>
      <c r="K195" s="65"/>
      <c r="L195" s="65"/>
      <c r="M195" s="65"/>
      <c r="N195" s="0"/>
      <c r="O195" s="0"/>
      <c r="P195" s="0"/>
      <c r="Q195" s="0"/>
      <c r="R195" s="0"/>
      <c r="S195" s="65"/>
      <c r="T195" s="65"/>
      <c r="U195" s="65"/>
      <c r="V195" s="65"/>
      <c r="W195" s="0"/>
      <c r="X195" s="0"/>
      <c r="Y195" s="0"/>
      <c r="Z195" s="0"/>
      <c r="AA195" s="0"/>
      <c r="AB195" s="65"/>
      <c r="AC195" s="65"/>
      <c r="AD195" s="65"/>
      <c r="AE195" s="65"/>
      <c r="AF195" s="0"/>
      <c r="AG195" s="0"/>
      <c r="AH195" s="0"/>
      <c r="AI195" s="0"/>
    </row>
    <row r="196" customFormat="false" ht="19.5" hidden="false" customHeight="true" outlineLevel="0" collapsed="false">
      <c r="A196" s="186"/>
      <c r="B196" s="188" t="n">
        <f aca="false">K30</f>
        <v>0</v>
      </c>
      <c r="C196" s="188"/>
      <c r="D196" s="188"/>
      <c r="E196" s="31"/>
      <c r="F196" s="31"/>
      <c r="G196" s="31"/>
      <c r="H196" s="12"/>
      <c r="J196" s="65"/>
      <c r="K196" s="65"/>
      <c r="L196" s="65"/>
      <c r="M196" s="65"/>
      <c r="N196" s="0"/>
      <c r="O196" s="0"/>
      <c r="P196" s="0"/>
      <c r="Q196" s="0"/>
      <c r="R196" s="0"/>
      <c r="S196" s="65"/>
      <c r="T196" s="65"/>
      <c r="U196" s="65"/>
      <c r="V196" s="65"/>
      <c r="W196" s="0"/>
      <c r="X196" s="0"/>
      <c r="Y196" s="0"/>
      <c r="Z196" s="0"/>
      <c r="AA196" s="0"/>
      <c r="AB196" s="65"/>
      <c r="AC196" s="65"/>
      <c r="AD196" s="65"/>
      <c r="AE196" s="65"/>
      <c r="AF196" s="0"/>
      <c r="AG196" s="0"/>
      <c r="AH196" s="0"/>
      <c r="AI196" s="0"/>
    </row>
    <row r="197" customFormat="false" ht="17.35" hidden="false" customHeight="false" outlineLevel="0" collapsed="false">
      <c r="A197" s="189" t="n">
        <f aca="false">K29</f>
        <v>0</v>
      </c>
      <c r="B197" s="85" t="n">
        <f aca="false">B96</f>
        <v>1639.88541555755</v>
      </c>
      <c r="C197" s="85"/>
      <c r="D197" s="85"/>
      <c r="E197" s="31"/>
      <c r="F197" s="31"/>
      <c r="G197" s="31"/>
      <c r="H197" s="12"/>
      <c r="J197" s="0"/>
      <c r="K197" s="65"/>
      <c r="L197" s="65"/>
      <c r="M197" s="65"/>
      <c r="N197" s="0"/>
      <c r="O197" s="0"/>
      <c r="P197" s="0"/>
      <c r="Q197" s="0"/>
      <c r="R197" s="0"/>
      <c r="S197" s="0"/>
      <c r="T197" s="65"/>
      <c r="U197" s="65"/>
      <c r="V197" s="65"/>
      <c r="W197" s="0"/>
      <c r="X197" s="0"/>
      <c r="Y197" s="0"/>
      <c r="Z197" s="0"/>
      <c r="AA197" s="0"/>
      <c r="AB197" s="0"/>
      <c r="AC197" s="65"/>
      <c r="AD197" s="65"/>
      <c r="AE197" s="65"/>
      <c r="AF197" s="0"/>
      <c r="AG197" s="0"/>
      <c r="AH197" s="0"/>
      <c r="AI197" s="0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6" activeCellId="0" sqref="I16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0"/>
      <c r="J24" s="0"/>
      <c r="K24" s="0"/>
      <c r="P24" s="32"/>
    </row>
    <row r="25" customFormat="false" ht="17.35" hidden="false" customHeight="false" outlineLevel="0" collapsed="false">
      <c r="A25" s="35"/>
      <c r="B25" s="36"/>
      <c r="C25" s="36"/>
      <c r="D25" s="36"/>
      <c r="E25" s="37"/>
      <c r="F25" s="34"/>
      <c r="G25" s="34"/>
      <c r="H25" s="34"/>
      <c r="I25" s="0"/>
      <c r="J25" s="0"/>
      <c r="K25" s="0"/>
      <c r="P25" s="32"/>
    </row>
    <row r="26" customFormat="false" ht="22.05" hidden="false" customHeight="fals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0"/>
      <c r="J26" s="0"/>
      <c r="K26" s="0"/>
      <c r="P26" s="32"/>
    </row>
    <row r="27" customFormat="false" ht="17.35" hidden="false" customHeight="fals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2"/>
    </row>
    <row r="28" customFormat="false" ht="31.8" hidden="false" customHeight="fals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2"/>
    </row>
    <row r="29" customFormat="false" ht="17.35" hidden="false" customHeight="fals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33</v>
      </c>
      <c r="I29" s="0"/>
      <c r="J29" s="0"/>
      <c r="K29" s="0"/>
      <c r="P29" s="32"/>
    </row>
    <row r="30" customFormat="false" ht="17.35" hidden="false" customHeight="fals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0"/>
      <c r="J30" s="0"/>
      <c r="K30" s="0"/>
      <c r="P30" s="32"/>
    </row>
    <row r="31" customFormat="false" ht="31.8" hidden="false" customHeight="fals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0"/>
      <c r="J31" s="0"/>
      <c r="K31" s="0"/>
      <c r="P31" s="32"/>
    </row>
    <row r="32" customFormat="false" ht="17.35" hidden="false" customHeight="fals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0"/>
      <c r="J32" s="49" t="s">
        <v>44</v>
      </c>
      <c r="K32" s="50" t="s">
        <v>45</v>
      </c>
      <c r="P32" s="32"/>
    </row>
    <row r="33" customFormat="false" ht="17.35" hidden="false" customHeight="fals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0"/>
      <c r="J33" s="49"/>
      <c r="K33" s="55"/>
      <c r="P33" s="32"/>
    </row>
    <row r="34" customFormat="false" ht="17.35" hidden="false" customHeight="fals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0"/>
      <c r="J34" s="49" t="s">
        <v>51</v>
      </c>
      <c r="K34" s="58" t="s">
        <v>52</v>
      </c>
      <c r="P34" s="32"/>
    </row>
    <row r="35" customFormat="false" ht="17.35" hidden="false" customHeight="false" outlineLevel="0" collapsed="false">
      <c r="A35" s="47" t="n">
        <f aca="false">B32+D32</f>
        <v>500</v>
      </c>
      <c r="B35" s="44" t="s">
        <v>53</v>
      </c>
      <c r="C35" s="44"/>
      <c r="D35" s="44" t="s">
        <v>54</v>
      </c>
      <c r="E35" s="44"/>
      <c r="F35" s="34"/>
      <c r="G35" s="59"/>
      <c r="H35" s="60"/>
      <c r="I35" s="0"/>
      <c r="J35" s="49"/>
      <c r="K35" s="55"/>
      <c r="P35" s="32"/>
    </row>
    <row r="36" customFormat="false" ht="17.35" hidden="false" customHeight="false" outlineLevel="0" collapsed="false">
      <c r="A36" s="35"/>
      <c r="B36" s="36"/>
      <c r="C36" s="36"/>
      <c r="D36" s="36"/>
      <c r="E36" s="37"/>
      <c r="F36" s="34"/>
      <c r="G36" s="34" t="s">
        <v>55</v>
      </c>
      <c r="H36" s="61" t="n">
        <v>0</v>
      </c>
      <c r="I36" s="0"/>
      <c r="J36" s="49" t="s">
        <v>56</v>
      </c>
      <c r="K36" s="62" t="n">
        <f aca="false">K32-K34</f>
        <v>47877.5</v>
      </c>
      <c r="P36" s="32"/>
    </row>
    <row r="37" customFormat="false" ht="17.35" hidden="false" customHeight="fals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0"/>
      <c r="J37" s="0"/>
      <c r="K37" s="0"/>
      <c r="P37" s="32"/>
    </row>
    <row r="38" customFormat="false" ht="17.35" hidden="false" customHeight="false" outlineLevel="0" collapsed="false">
      <c r="A38" s="63" t="n">
        <f aca="false">(B35/12)*D35</f>
        <v>13750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0"/>
      <c r="J38" s="65"/>
      <c r="K38" s="65"/>
      <c r="L38" s="2"/>
      <c r="N38" s="1" t="n">
        <f aca="false">80.88*36</f>
        <v>2911.68</v>
      </c>
      <c r="P38" s="32"/>
    </row>
    <row r="39" customFormat="false" ht="17.35" hidden="false" customHeight="false" outlineLevel="0" collapsed="false">
      <c r="A39" s="66"/>
      <c r="B39" s="53"/>
      <c r="C39" s="53"/>
      <c r="D39" s="36"/>
      <c r="E39" s="37"/>
      <c r="F39" s="34"/>
      <c r="G39" s="34"/>
      <c r="H39" s="67"/>
      <c r="I39" s="0"/>
      <c r="J39" s="0"/>
      <c r="K39" s="0"/>
      <c r="L39" s="2"/>
      <c r="N39" s="1" t="n">
        <f aca="false">K39-L39</f>
        <v>0</v>
      </c>
      <c r="P39" s="32"/>
    </row>
    <row r="40" customFormat="false" ht="17.35" hidden="false" customHeight="fals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0"/>
      <c r="J40" s="0"/>
      <c r="K40" s="0"/>
      <c r="L40" s="2"/>
      <c r="N40" s="1" t="n">
        <f aca="false">N38-N39</f>
        <v>2911.68</v>
      </c>
      <c r="P40" s="32"/>
    </row>
    <row r="41" customFormat="false" ht="17.35" hidden="false" customHeight="false" outlineLevel="0" collapsed="false">
      <c r="A41" s="64" t="n">
        <f aca="false">H36/B35</f>
        <v>0</v>
      </c>
      <c r="B41" s="71" t="str">
        <f aca="false">IF(B38="YES", D38+A41, D38)</f>
        <v>500</v>
      </c>
      <c r="C41" s="71"/>
      <c r="D41" s="64" t="n">
        <v>6000</v>
      </c>
      <c r="E41" s="64"/>
      <c r="F41" s="34"/>
      <c r="G41" s="34"/>
      <c r="H41" s="72"/>
      <c r="J41" s="2"/>
      <c r="K41" s="2"/>
      <c r="L41" s="2"/>
      <c r="P41" s="32"/>
    </row>
    <row r="42" customFormat="false" ht="17.35" hidden="false" customHeight="fals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J42" s="2"/>
      <c r="K42" s="2"/>
      <c r="L42" s="2"/>
      <c r="P42" s="32"/>
    </row>
    <row r="43" customFormat="false" ht="17.35" hidden="false" customHeight="fals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500.363636363636</v>
      </c>
      <c r="J43" s="2"/>
      <c r="K43" s="2"/>
      <c r="L43" s="2"/>
      <c r="P43" s="32"/>
    </row>
    <row r="44" customFormat="false" ht="17.35" hidden="false" customHeight="fals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J44" s="2"/>
      <c r="K44" s="2"/>
      <c r="L44" s="2"/>
      <c r="P44" s="32"/>
    </row>
    <row r="45" customFormat="false" ht="17.35" hidden="false" customHeight="fals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500.363636363636</v>
      </c>
      <c r="J45" s="2"/>
      <c r="K45" s="2"/>
      <c r="L45" s="2"/>
      <c r="P45" s="32"/>
    </row>
    <row r="46" customFormat="false" ht="17.35" hidden="false" customHeight="fals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500.363636363636</v>
      </c>
      <c r="J46" s="2"/>
      <c r="K46" s="2"/>
      <c r="L46" s="2"/>
      <c r="P46" s="32"/>
    </row>
    <row r="47" customFormat="false" ht="17.35" hidden="false" customHeight="fals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J47" s="2"/>
      <c r="K47" s="2"/>
      <c r="L47" s="2"/>
      <c r="P47" s="32"/>
    </row>
    <row r="48" customFormat="false" ht="17.35" hidden="false" customHeight="false" outlineLevel="0" collapsed="false">
      <c r="A48" s="0"/>
      <c r="B48" s="53"/>
      <c r="C48" s="53"/>
      <c r="D48" s="53"/>
      <c r="E48" s="73"/>
      <c r="F48" s="34"/>
      <c r="G48" s="34"/>
      <c r="H48" s="67"/>
      <c r="J48" s="79"/>
      <c r="K48" s="2"/>
      <c r="L48" s="2"/>
      <c r="P48" s="32"/>
    </row>
    <row r="49" customFormat="false" ht="17.35" hidden="false" customHeight="false" outlineLevel="0" collapsed="false">
      <c r="A49" s="66"/>
      <c r="B49" s="53"/>
      <c r="C49" s="53"/>
      <c r="D49" s="53"/>
      <c r="E49" s="73"/>
      <c r="F49" s="34"/>
      <c r="G49" s="34"/>
      <c r="H49" s="67"/>
      <c r="J49" s="2"/>
      <c r="K49" s="2"/>
      <c r="L49" s="2"/>
      <c r="P49" s="32"/>
    </row>
    <row r="50" customFormat="false" ht="17.35" hidden="false" customHeight="false" outlineLevel="0" collapsed="false">
      <c r="A50" s="35"/>
      <c r="B50" s="80"/>
      <c r="C50" s="80"/>
      <c r="D50" s="36"/>
      <c r="E50" s="37"/>
      <c r="F50" s="0"/>
      <c r="G50" s="0"/>
      <c r="H50" s="0"/>
      <c r="I50" s="2"/>
      <c r="J50" s="2"/>
      <c r="K50" s="2"/>
      <c r="P50" s="32"/>
    </row>
    <row r="51" customFormat="false" ht="19.5" hidden="false" customHeight="true" outlineLevel="0" collapsed="false">
      <c r="A51" s="81" t="s">
        <v>76</v>
      </c>
      <c r="B51" s="82" t="s">
        <v>77</v>
      </c>
      <c r="C51" s="82"/>
      <c r="D51" s="36"/>
      <c r="E51" s="37"/>
      <c r="F51" s="0"/>
      <c r="G51" s="0"/>
      <c r="H51" s="0"/>
      <c r="I51" s="2"/>
      <c r="J51" s="2"/>
      <c r="K51" s="2"/>
      <c r="P51" s="32"/>
    </row>
    <row r="52" customFormat="false" ht="17.35" hidden="false" customHeight="false" outlineLevel="0" collapsed="false">
      <c r="A52" s="81"/>
      <c r="B52" s="83" t="str">
        <f aca="false">H30</f>
        <v>5000</v>
      </c>
      <c r="C52" s="83"/>
      <c r="D52" s="36"/>
      <c r="E52" s="37"/>
      <c r="F52" s="0"/>
      <c r="G52" s="0"/>
      <c r="H52" s="0"/>
      <c r="I52" s="2"/>
      <c r="J52" s="2"/>
      <c r="K52" s="2"/>
      <c r="P52" s="32"/>
    </row>
    <row r="53" customFormat="false" ht="17.35" hidden="false" customHeight="false" outlineLevel="0" collapsed="false">
      <c r="A53" s="84" t="str">
        <f aca="false">H29</f>
        <v>33</v>
      </c>
      <c r="B53" s="85" t="n">
        <f aca="false">H45</f>
        <v>500.363636363636</v>
      </c>
      <c r="C53" s="85"/>
      <c r="D53" s="36"/>
      <c r="E53" s="37"/>
      <c r="F53" s="0"/>
      <c r="G53" s="0"/>
      <c r="H53" s="0"/>
      <c r="I53" s="2"/>
      <c r="J53" s="2"/>
      <c r="K53" s="2"/>
      <c r="P53" s="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7" t="s">
        <v>30</v>
      </c>
      <c r="B58" s="14" t="n">
        <v>1</v>
      </c>
      <c r="C58" s="90"/>
      <c r="D58" s="14"/>
      <c r="E58" s="91"/>
      <c r="F58" s="91"/>
      <c r="G58" s="91"/>
      <c r="H58" s="1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7" t="s">
        <v>34</v>
      </c>
      <c r="B59" s="14" t="n">
        <f aca="false">B35-B58</f>
        <v>32</v>
      </c>
      <c r="C59" s="90"/>
      <c r="D59" s="14"/>
      <c r="E59" s="91"/>
      <c r="F59" s="91"/>
      <c r="G59" s="91"/>
      <c r="H59" s="1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2" t="s">
        <v>78</v>
      </c>
      <c r="B60" s="93" t="n">
        <v>10</v>
      </c>
      <c r="C60" s="90"/>
      <c r="D60" s="14"/>
      <c r="E60" s="91"/>
      <c r="F60" s="91"/>
      <c r="G60" s="91"/>
      <c r="H60" s="1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90"/>
      <c r="D61" s="14"/>
      <c r="E61" s="91"/>
      <c r="F61" s="91"/>
      <c r="G61" s="91"/>
      <c r="H61" s="1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4" t="s">
        <v>79</v>
      </c>
      <c r="B62" s="95" t="n">
        <v>0</v>
      </c>
      <c r="C62" s="90"/>
      <c r="D62" s="14"/>
      <c r="E62" s="91"/>
      <c r="F62" s="91"/>
      <c r="G62" s="91"/>
      <c r="H62" s="12"/>
      <c r="J62" s="0"/>
      <c r="K62" s="96"/>
      <c r="L62" s="0"/>
      <c r="M62" s="0"/>
      <c r="N62" s="0"/>
      <c r="O62" s="0"/>
      <c r="P62" s="0"/>
      <c r="Q62" s="0"/>
      <c r="R62" s="0"/>
      <c r="S62" s="0"/>
      <c r="T62" s="96"/>
      <c r="U62" s="0"/>
      <c r="V62" s="0"/>
      <c r="W62" s="0"/>
      <c r="X62" s="0"/>
      <c r="Y62" s="0"/>
      <c r="Z62" s="0"/>
      <c r="AA62" s="0"/>
      <c r="AB62" s="0"/>
      <c r="AC62" s="96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4" t="s">
        <v>80</v>
      </c>
      <c r="B63" s="97" t="n">
        <v>0.065</v>
      </c>
      <c r="C63" s="90"/>
      <c r="D63" s="14"/>
      <c r="E63" s="91"/>
      <c r="F63" s="91"/>
      <c r="G63" s="91"/>
      <c r="H63" s="12"/>
      <c r="J63" s="0"/>
      <c r="K63" s="96"/>
      <c r="L63" s="0"/>
      <c r="M63" s="0"/>
      <c r="N63" s="0"/>
      <c r="O63" s="0"/>
      <c r="P63" s="0"/>
      <c r="Q63" s="0"/>
      <c r="R63" s="0"/>
      <c r="S63" s="0"/>
      <c r="T63" s="96"/>
      <c r="U63" s="0"/>
      <c r="V63" s="0"/>
      <c r="W63" s="0"/>
      <c r="X63" s="0"/>
      <c r="Y63" s="0"/>
      <c r="Z63" s="0"/>
      <c r="AA63" s="0"/>
      <c r="AB63" s="0"/>
      <c r="AC63" s="96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0"/>
      <c r="K64" s="96"/>
      <c r="L64" s="0"/>
      <c r="M64" s="0"/>
      <c r="N64" s="0"/>
      <c r="O64" s="0"/>
      <c r="P64" s="0"/>
      <c r="Q64" s="0"/>
      <c r="R64" s="0"/>
      <c r="S64" s="0"/>
      <c r="T64" s="96"/>
      <c r="U64" s="0"/>
      <c r="V64" s="0"/>
      <c r="W64" s="0"/>
      <c r="X64" s="0"/>
      <c r="Y64" s="0"/>
      <c r="Z64" s="0"/>
      <c r="AA64" s="0"/>
      <c r="AB64" s="0"/>
      <c r="AC64" s="96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00" t="s">
        <v>82</v>
      </c>
      <c r="B65" s="101" t="n">
        <f aca="false">(B89*B59)-B53</f>
        <v>51975.9696614779</v>
      </c>
      <c r="C65" s="14"/>
      <c r="D65" s="14"/>
      <c r="E65" s="91"/>
      <c r="F65" s="91"/>
      <c r="G65" s="91"/>
      <c r="H65" s="1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0"/>
      <c r="K66" s="96"/>
      <c r="L66" s="0"/>
      <c r="M66" s="0"/>
      <c r="N66" s="0"/>
      <c r="O66" s="0"/>
      <c r="P66" s="0"/>
      <c r="Q66" s="0"/>
      <c r="R66" s="0"/>
      <c r="S66" s="0"/>
      <c r="T66" s="96"/>
      <c r="U66" s="0"/>
      <c r="V66" s="0"/>
      <c r="W66" s="0"/>
      <c r="X66" s="0"/>
      <c r="Y66" s="0"/>
      <c r="Z66" s="0"/>
      <c r="AA66" s="0"/>
      <c r="AB66" s="0"/>
      <c r="AC66" s="96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0.0025</v>
      </c>
      <c r="C67" s="14"/>
      <c r="D67" s="14"/>
      <c r="E67" s="91"/>
      <c r="F67" s="91"/>
      <c r="G67" s="91"/>
      <c r="H67" s="12"/>
      <c r="J67" s="0"/>
      <c r="K67" s="96"/>
      <c r="L67" s="0"/>
      <c r="M67" s="0"/>
      <c r="N67" s="0"/>
      <c r="O67" s="0"/>
      <c r="P67" s="0"/>
      <c r="Q67" s="0"/>
      <c r="R67" s="0"/>
      <c r="S67" s="0"/>
      <c r="T67" s="96"/>
      <c r="U67" s="0"/>
      <c r="V67" s="0"/>
      <c r="W67" s="0"/>
      <c r="X67" s="0"/>
      <c r="Y67" s="0"/>
      <c r="Z67" s="0"/>
      <c r="AA67" s="0"/>
      <c r="AB67" s="0"/>
      <c r="AC67" s="96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00" t="s">
        <v>85</v>
      </c>
      <c r="B68" s="101" t="n">
        <f aca="false">(G158*B67)</f>
        <v>143.81251</v>
      </c>
      <c r="C68" s="14"/>
      <c r="D68" s="14"/>
      <c r="E68" s="91"/>
      <c r="F68" s="91"/>
      <c r="G68" s="91"/>
      <c r="H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4" t="s">
        <v>86</v>
      </c>
      <c r="B69" s="95" t="n">
        <v>0</v>
      </c>
      <c r="C69" s="103"/>
      <c r="D69" s="14"/>
      <c r="E69" s="91"/>
      <c r="F69" s="91"/>
      <c r="G69" s="91"/>
      <c r="H69" s="12"/>
      <c r="J69" s="0"/>
      <c r="K69" s="96"/>
      <c r="L69" s="0"/>
      <c r="M69" s="0"/>
      <c r="N69" s="0"/>
      <c r="O69" s="0"/>
      <c r="P69" s="0"/>
      <c r="Q69" s="0"/>
      <c r="R69" s="0"/>
      <c r="S69" s="0"/>
      <c r="T69" s="96"/>
      <c r="U69" s="0"/>
      <c r="V69" s="0"/>
      <c r="W69" s="0"/>
      <c r="X69" s="0"/>
      <c r="Y69" s="0"/>
      <c r="Z69" s="0"/>
      <c r="AA69" s="0"/>
      <c r="AB69" s="0"/>
      <c r="AC69" s="96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4" t="s">
        <v>87</v>
      </c>
      <c r="B70" s="97" t="n">
        <v>0</v>
      </c>
      <c r="C70" s="103"/>
      <c r="D70" s="14"/>
      <c r="E70" s="91"/>
      <c r="F70" s="91"/>
      <c r="G70" s="91"/>
      <c r="H70" s="12"/>
      <c r="J70" s="0"/>
      <c r="K70" s="96"/>
      <c r="L70" s="0"/>
      <c r="M70" s="0"/>
      <c r="N70" s="0"/>
      <c r="O70" s="0"/>
      <c r="P70" s="0"/>
      <c r="Q70" s="0"/>
      <c r="R70" s="0"/>
      <c r="S70" s="0"/>
      <c r="T70" s="96"/>
      <c r="U70" s="0"/>
      <c r="V70" s="0"/>
      <c r="W70" s="0"/>
      <c r="X70" s="0"/>
      <c r="Y70" s="0"/>
      <c r="Z70" s="0"/>
      <c r="AA70" s="0"/>
      <c r="AB70" s="0"/>
      <c r="AC70" s="96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03"/>
      <c r="D71" s="14"/>
      <c r="E71" s="91"/>
      <c r="F71" s="91"/>
      <c r="G71" s="91"/>
      <c r="H71" s="12"/>
      <c r="J71" s="0"/>
      <c r="K71" s="96"/>
      <c r="L71" s="0"/>
      <c r="M71" s="0"/>
      <c r="N71" s="0"/>
      <c r="O71" s="0"/>
      <c r="P71" s="0"/>
      <c r="Q71" s="0"/>
      <c r="R71" s="0"/>
      <c r="S71" s="0"/>
      <c r="T71" s="96"/>
      <c r="U71" s="0"/>
      <c r="V71" s="0"/>
      <c r="W71" s="0"/>
      <c r="X71" s="0"/>
      <c r="Y71" s="0"/>
      <c r="Z71" s="0"/>
      <c r="AA71" s="0"/>
      <c r="AB71" s="0"/>
      <c r="AC71" s="96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4" t="s">
        <v>89</v>
      </c>
      <c r="B72" s="105" t="n">
        <v>0</v>
      </c>
      <c r="C72" s="103"/>
      <c r="D72" s="14"/>
      <c r="E72" s="91"/>
      <c r="F72" s="91"/>
      <c r="G72" s="91"/>
      <c r="H72" s="1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4" t="s">
        <v>90</v>
      </c>
      <c r="B73" s="93" t="n">
        <v>0</v>
      </c>
      <c r="C73" s="103"/>
      <c r="D73" s="14"/>
      <c r="E73" s="91"/>
      <c r="F73" s="91"/>
      <c r="G73" s="91"/>
      <c r="H73" s="1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00" t="s">
        <v>91</v>
      </c>
      <c r="B74" s="101" t="n">
        <f aca="false">B73*B35</f>
        <v>0</v>
      </c>
      <c r="C74" s="103"/>
      <c r="D74" s="14" t="n">
        <f aca="false">B74+B72</f>
        <v>0</v>
      </c>
      <c r="E74" s="91"/>
      <c r="F74" s="91"/>
      <c r="G74" s="91"/>
      <c r="H74" s="12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4" t="s">
        <v>92</v>
      </c>
      <c r="B75" s="93" t="n">
        <v>0</v>
      </c>
      <c r="C75" s="103"/>
      <c r="D75" s="14" t="n">
        <f aca="false">B75</f>
        <v>0</v>
      </c>
      <c r="E75" s="91"/>
      <c r="F75" s="91"/>
      <c r="G75" s="91"/>
      <c r="H75" s="1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98" t="s">
        <v>93</v>
      </c>
      <c r="B76" s="106" t="n">
        <v>0</v>
      </c>
      <c r="C76" s="103"/>
      <c r="D76" s="14" t="n">
        <f aca="false">B76</f>
        <v>0</v>
      </c>
      <c r="E76" s="91"/>
      <c r="F76" s="14"/>
      <c r="G76" s="91"/>
      <c r="H76" s="1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7" t="s">
        <v>95</v>
      </c>
      <c r="B78" s="12" t="n">
        <f aca="false">B77/B35</f>
        <v>0</v>
      </c>
      <c r="C78" s="14"/>
      <c r="D78" s="14"/>
      <c r="E78" s="91"/>
      <c r="F78" s="91"/>
      <c r="G78" s="91"/>
      <c r="H78" s="1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96</v>
      </c>
      <c r="B79" s="110" t="n">
        <f aca="false">H46</f>
        <v>500.363636363636</v>
      </c>
      <c r="C79" s="14"/>
      <c r="D79" s="14"/>
      <c r="E79" s="91"/>
      <c r="F79" s="91"/>
      <c r="G79" s="91"/>
      <c r="H79" s="1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86" t="s">
        <v>97</v>
      </c>
      <c r="B81" s="89" t="n">
        <f aca="false">K36</f>
        <v>47877.5</v>
      </c>
      <c r="C81" s="14"/>
      <c r="D81" s="14"/>
      <c r="E81" s="91"/>
      <c r="F81" s="91"/>
      <c r="G81" s="91"/>
      <c r="H81" s="1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7" t="s">
        <v>98</v>
      </c>
      <c r="B82" s="12" t="n">
        <f aca="false">D41</f>
        <v>6000</v>
      </c>
      <c r="C82" s="14"/>
      <c r="D82" s="14"/>
      <c r="E82" s="91"/>
      <c r="F82" s="91"/>
      <c r="G82" s="91"/>
      <c r="H82" s="1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7" t="s">
        <v>99</v>
      </c>
      <c r="B83" s="111" t="n">
        <f aca="false">B62+B63+B64</f>
        <v>0.137</v>
      </c>
      <c r="C83" s="14"/>
      <c r="D83" s="14"/>
      <c r="E83" s="91"/>
      <c r="F83" s="91"/>
      <c r="G83" s="91"/>
      <c r="H83" s="12"/>
      <c r="J83" s="0"/>
      <c r="K83" s="96"/>
      <c r="L83" s="0"/>
      <c r="M83" s="0"/>
      <c r="N83" s="0"/>
      <c r="O83" s="0"/>
      <c r="P83" s="0"/>
      <c r="Q83" s="0"/>
      <c r="R83" s="0"/>
      <c r="S83" s="0"/>
      <c r="T83" s="96"/>
      <c r="U83" s="0"/>
      <c r="V83" s="0"/>
      <c r="W83" s="0"/>
      <c r="X83" s="0"/>
      <c r="Y83" s="0"/>
      <c r="Z83" s="0"/>
      <c r="AA83" s="0"/>
      <c r="AB83" s="0"/>
      <c r="AC83" s="96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0"/>
      <c r="K84" s="96"/>
      <c r="L84" s="0"/>
      <c r="M84" s="0"/>
      <c r="N84" s="0"/>
      <c r="O84" s="0"/>
      <c r="P84" s="0"/>
      <c r="Q84" s="0"/>
      <c r="R84" s="0"/>
      <c r="S84" s="0"/>
      <c r="T84" s="96"/>
      <c r="U84" s="0"/>
      <c r="V84" s="0"/>
      <c r="W84" s="0"/>
      <c r="X84" s="0"/>
      <c r="Y84" s="0"/>
      <c r="Z84" s="0"/>
      <c r="AA84" s="0"/>
      <c r="AB84" s="0"/>
      <c r="AC84" s="96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32</v>
      </c>
      <c r="C85" s="14"/>
      <c r="D85" s="14"/>
      <c r="E85" s="91"/>
      <c r="F85" s="91"/>
      <c r="G85" s="91"/>
      <c r="H85" s="1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4125.32107917265</v>
      </c>
      <c r="C86" s="14" t="n">
        <f aca="false">(B82/((1+B84)^(B85+1)))</f>
        <v>4125.32107917265</v>
      </c>
      <c r="D86" s="14"/>
      <c r="E86" s="91"/>
      <c r="F86" s="91"/>
      <c r="G86" s="91"/>
      <c r="H86" s="1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26.6800219733353</v>
      </c>
      <c r="C87" s="14" t="n">
        <f aca="false">((1-(1/((1+B84)^B85)))/B84)</f>
        <v>26.6800219733353</v>
      </c>
      <c r="D87" s="14"/>
      <c r="E87" s="91"/>
      <c r="F87" s="91"/>
      <c r="G87" s="91"/>
      <c r="H87" s="1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7" t="s">
        <v>104</v>
      </c>
      <c r="B88" s="12" t="n">
        <f aca="false">B81-B86</f>
        <v>43752.1789208274</v>
      </c>
      <c r="C88" s="14" t="n">
        <f aca="false">B81-B86</f>
        <v>43752.1789208274</v>
      </c>
      <c r="D88" s="14"/>
      <c r="E88" s="91"/>
      <c r="F88" s="91"/>
      <c r="G88" s="91"/>
      <c r="H88" s="12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7" t="s">
        <v>105</v>
      </c>
      <c r="B89" s="12" t="n">
        <f aca="false">(B88/B87)</f>
        <v>1639.88541555755</v>
      </c>
      <c r="C89" s="14" t="n">
        <f aca="false">(B88/B87)</f>
        <v>1639.88541555755</v>
      </c>
      <c r="D89" s="14"/>
      <c r="E89" s="91"/>
      <c r="F89" s="91"/>
      <c r="G89" s="91"/>
      <c r="H89" s="1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52476.3332978415</v>
      </c>
      <c r="C90" s="14"/>
      <c r="D90" s="14"/>
      <c r="E90" s="91"/>
      <c r="F90" s="91"/>
      <c r="G90" s="91"/>
      <c r="H90" s="12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00" t="s">
        <v>108</v>
      </c>
      <c r="B92" s="101" t="n">
        <f aca="false">(B90+B91)</f>
        <v>52476.3332978415</v>
      </c>
      <c r="C92" s="14"/>
      <c r="D92" s="14"/>
      <c r="E92" s="91"/>
      <c r="F92" s="91"/>
      <c r="G92" s="91"/>
      <c r="H92" s="1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109</v>
      </c>
      <c r="B94" s="112" t="str">
        <f aca="false">IF(B38="YES",((H36/B85)*(1+A108)),"0")</f>
        <v>0</v>
      </c>
      <c r="C94" s="14"/>
      <c r="D94" s="14"/>
      <c r="E94" s="91"/>
      <c r="F94" s="91"/>
      <c r="G94" s="91"/>
      <c r="H94" s="12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3" t="s">
        <v>110</v>
      </c>
      <c r="B95" s="114" t="n">
        <f aca="false">B92/(B85)</f>
        <v>1639.88541555755</v>
      </c>
      <c r="C95" s="14"/>
      <c r="D95" s="14"/>
      <c r="E95" s="91"/>
      <c r="F95" s="91"/>
      <c r="G95" s="91"/>
      <c r="H95" s="12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5" t="s">
        <v>62</v>
      </c>
      <c r="B96" s="116" t="n">
        <f aca="false">B94+B95</f>
        <v>1639.88541555755</v>
      </c>
      <c r="C96" s="14"/>
      <c r="D96" s="14"/>
      <c r="E96" s="91"/>
      <c r="F96" s="91"/>
      <c r="G96" s="91"/>
      <c r="H96" s="1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" t="s">
        <v>111</v>
      </c>
      <c r="B100" s="3"/>
      <c r="C100" s="3"/>
      <c r="D100" s="3"/>
      <c r="E100" s="3"/>
      <c r="F100" s="3"/>
      <c r="G100" s="3"/>
      <c r="H100" s="3"/>
      <c r="J100" s="65"/>
      <c r="K100" s="65"/>
      <c r="L100" s="65"/>
      <c r="M100" s="65"/>
      <c r="N100" s="65"/>
      <c r="O100" s="65"/>
      <c r="P100" s="65"/>
      <c r="Q100" s="65"/>
      <c r="R100" s="0"/>
      <c r="S100" s="65"/>
      <c r="T100" s="65"/>
      <c r="U100" s="65"/>
      <c r="V100" s="65"/>
      <c r="W100" s="65"/>
      <c r="X100" s="65"/>
      <c r="Y100" s="65"/>
      <c r="Z100" s="65"/>
      <c r="AA100" s="0"/>
      <c r="AB100" s="65"/>
      <c r="AC100" s="65"/>
      <c r="AD100" s="65"/>
      <c r="AE100" s="65"/>
      <c r="AF100" s="65"/>
      <c r="AG100" s="65"/>
      <c r="AH100" s="65"/>
      <c r="AI100" s="65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65"/>
      <c r="K102" s="65"/>
      <c r="L102" s="65"/>
      <c r="M102" s="65"/>
      <c r="N102" s="65"/>
      <c r="O102" s="65"/>
      <c r="P102" s="65"/>
      <c r="Q102" s="65"/>
      <c r="R102" s="0"/>
      <c r="S102" s="65"/>
      <c r="T102" s="65"/>
      <c r="U102" s="65"/>
      <c r="V102" s="65"/>
      <c r="W102" s="65"/>
      <c r="X102" s="65"/>
      <c r="Y102" s="65"/>
      <c r="Z102" s="65"/>
      <c r="AA102" s="0"/>
      <c r="AB102" s="65"/>
      <c r="AC102" s="65"/>
      <c r="AD102" s="65"/>
      <c r="AE102" s="65"/>
      <c r="AF102" s="65"/>
      <c r="AG102" s="65"/>
      <c r="AH102" s="65"/>
      <c r="AI102" s="65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34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34" t="s">
        <v>115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0"/>
      <c r="K105" s="65"/>
      <c r="L105" s="65"/>
      <c r="M105" s="65"/>
      <c r="N105" s="65"/>
      <c r="O105" s="65"/>
      <c r="P105" s="65"/>
      <c r="Q105" s="0"/>
      <c r="R105" s="0"/>
      <c r="S105" s="0"/>
      <c r="T105" s="65"/>
      <c r="U105" s="65"/>
      <c r="V105" s="65"/>
      <c r="W105" s="65"/>
      <c r="X105" s="65"/>
      <c r="Y105" s="65"/>
      <c r="Z105" s="34" t="s">
        <v>117</v>
      </c>
      <c r="AA105" s="0"/>
      <c r="AB105" s="0"/>
      <c r="AC105" s="65"/>
      <c r="AD105" s="65"/>
      <c r="AE105" s="65"/>
      <c r="AF105" s="65"/>
      <c r="AG105" s="65"/>
      <c r="AH105" s="65"/>
      <c r="AI105" s="0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34" t="s">
        <v>118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34" t="s">
        <v>122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123" t="n">
        <v>0.2</v>
      </c>
      <c r="B108" s="124" t="s">
        <v>123</v>
      </c>
      <c r="C108" s="124"/>
      <c r="D108" s="124"/>
      <c r="E108" s="125" t="n">
        <f aca="false">B83</f>
        <v>0.137</v>
      </c>
      <c r="F108" s="125"/>
      <c r="G108" s="125"/>
      <c r="H108" s="126"/>
      <c r="J108" s="96"/>
      <c r="K108" s="65"/>
      <c r="L108" s="65"/>
      <c r="M108" s="65"/>
      <c r="N108" s="96"/>
      <c r="O108" s="96"/>
      <c r="P108" s="96"/>
      <c r="Q108" s="0"/>
      <c r="R108" s="0"/>
      <c r="S108" s="96"/>
      <c r="T108" s="65"/>
      <c r="U108" s="65"/>
      <c r="V108" s="65"/>
      <c r="W108" s="96"/>
      <c r="X108" s="96"/>
      <c r="Y108" s="96"/>
      <c r="Z108" s="34" t="s">
        <v>124</v>
      </c>
      <c r="AA108" s="0"/>
      <c r="AB108" s="96"/>
      <c r="AC108" s="65"/>
      <c r="AD108" s="65"/>
      <c r="AE108" s="65"/>
      <c r="AF108" s="96"/>
      <c r="AG108" s="96"/>
      <c r="AH108" s="96"/>
      <c r="AI108" s="0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34" t="s">
        <v>126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34" t="s">
        <v>131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0"/>
      <c r="K111" s="65"/>
      <c r="L111" s="65"/>
      <c r="M111" s="65"/>
      <c r="N111" s="65"/>
      <c r="O111" s="65"/>
      <c r="P111" s="65"/>
      <c r="Q111" s="0"/>
      <c r="R111" s="0"/>
      <c r="S111" s="0"/>
      <c r="T111" s="65"/>
      <c r="U111" s="65"/>
      <c r="V111" s="65"/>
      <c r="W111" s="65"/>
      <c r="X111" s="65"/>
      <c r="Y111" s="65"/>
      <c r="Z111" s="34" t="s">
        <v>132</v>
      </c>
      <c r="AA111" s="0"/>
      <c r="AB111" s="0"/>
      <c r="AC111" s="65"/>
      <c r="AD111" s="65"/>
      <c r="AE111" s="65"/>
      <c r="AF111" s="65"/>
      <c r="AG111" s="65"/>
      <c r="AH111" s="65"/>
      <c r="AI111" s="0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0"/>
      <c r="K114" s="65"/>
      <c r="L114" s="65"/>
      <c r="M114" s="65"/>
      <c r="N114" s="65"/>
      <c r="O114" s="65"/>
      <c r="P114" s="65"/>
      <c r="Q114" s="0"/>
      <c r="R114" s="0"/>
      <c r="S114" s="0"/>
      <c r="T114" s="65"/>
      <c r="U114" s="65"/>
      <c r="V114" s="65"/>
      <c r="W114" s="65"/>
      <c r="X114" s="65"/>
      <c r="Y114" s="65"/>
      <c r="Z114" s="0"/>
      <c r="AA114" s="0"/>
      <c r="AB114" s="0"/>
      <c r="AC114" s="65"/>
      <c r="AD114" s="65"/>
      <c r="AE114" s="65"/>
      <c r="AF114" s="65"/>
      <c r="AG114" s="65"/>
      <c r="AH114" s="65"/>
      <c r="AI114" s="0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65"/>
      <c r="K117" s="65"/>
      <c r="L117" s="65"/>
      <c r="M117" s="65"/>
      <c r="N117" s="65"/>
      <c r="O117" s="65"/>
      <c r="P117" s="65"/>
      <c r="Q117" s="65"/>
      <c r="R117" s="0"/>
      <c r="S117" s="65"/>
      <c r="T117" s="65"/>
      <c r="U117" s="65"/>
      <c r="V117" s="65"/>
      <c r="W117" s="65"/>
      <c r="X117" s="65"/>
      <c r="Y117" s="65"/>
      <c r="Z117" s="65"/>
      <c r="AA117" s="0"/>
      <c r="AB117" s="65"/>
      <c r="AC117" s="65"/>
      <c r="AD117" s="65"/>
      <c r="AE117" s="65"/>
      <c r="AF117" s="65"/>
      <c r="AG117" s="65"/>
      <c r="AH117" s="65"/>
      <c r="AI117" s="65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0"/>
      <c r="K119" s="65"/>
      <c r="L119" s="65"/>
      <c r="M119" s="65"/>
      <c r="N119" s="65"/>
      <c r="O119" s="65"/>
      <c r="P119" s="65"/>
      <c r="Q119" s="0"/>
      <c r="R119" s="0"/>
      <c r="S119" s="0"/>
      <c r="T119" s="65"/>
      <c r="U119" s="65"/>
      <c r="V119" s="65"/>
      <c r="W119" s="65"/>
      <c r="X119" s="65"/>
      <c r="Y119" s="65"/>
      <c r="Z119" s="0"/>
      <c r="AA119" s="0"/>
      <c r="AB119" s="0"/>
      <c r="AC119" s="65"/>
      <c r="AD119" s="65"/>
      <c r="AE119" s="65"/>
      <c r="AF119" s="65"/>
      <c r="AG119" s="65"/>
      <c r="AH119" s="65"/>
      <c r="AI119" s="0"/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v>0</v>
      </c>
      <c r="H121" s="13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0"/>
      <c r="K122" s="96"/>
      <c r="L122" s="96"/>
      <c r="M122" s="96"/>
      <c r="N122" s="96"/>
      <c r="O122" s="96"/>
      <c r="P122" s="96"/>
      <c r="Q122" s="96"/>
      <c r="R122" s="0"/>
      <c r="S122" s="0"/>
      <c r="T122" s="96"/>
      <c r="U122" s="96"/>
      <c r="V122" s="96"/>
      <c r="W122" s="96"/>
      <c r="X122" s="96"/>
      <c r="Y122" s="96"/>
      <c r="Z122" s="96"/>
      <c r="AA122" s="0"/>
      <c r="AB122" s="0"/>
      <c r="AC122" s="96"/>
      <c r="AD122" s="96"/>
      <c r="AE122" s="96"/>
      <c r="AF122" s="96"/>
      <c r="AG122" s="96"/>
      <c r="AH122" s="96"/>
      <c r="AI122" s="96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0</v>
      </c>
      <c r="H125" s="10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0"/>
      <c r="K130" s="65"/>
      <c r="L130" s="65"/>
      <c r="M130" s="65"/>
      <c r="N130" s="65"/>
      <c r="O130" s="65"/>
      <c r="P130" s="65"/>
      <c r="Q130" s="0"/>
      <c r="R130" s="0"/>
      <c r="S130" s="0"/>
      <c r="T130" s="65"/>
      <c r="U130" s="65"/>
      <c r="V130" s="65"/>
      <c r="W130" s="65"/>
      <c r="X130" s="65"/>
      <c r="Y130" s="65"/>
      <c r="Z130" s="0"/>
      <c r="AA130" s="0"/>
      <c r="AB130" s="0"/>
      <c r="AC130" s="65"/>
      <c r="AD130" s="65"/>
      <c r="AE130" s="65"/>
      <c r="AF130" s="65"/>
      <c r="AG130" s="65"/>
      <c r="AH130" s="65"/>
      <c r="AI130" s="0"/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0"/>
      <c r="K131" s="65"/>
      <c r="L131" s="65"/>
      <c r="M131" s="96"/>
      <c r="N131" s="96"/>
      <c r="O131" s="65"/>
      <c r="P131" s="65"/>
      <c r="Q131" s="0"/>
      <c r="R131" s="0"/>
      <c r="S131" s="0"/>
      <c r="T131" s="65"/>
      <c r="U131" s="65"/>
      <c r="V131" s="96"/>
      <c r="W131" s="96"/>
      <c r="X131" s="65"/>
      <c r="Y131" s="65"/>
      <c r="Z131" s="0"/>
      <c r="AA131" s="0"/>
      <c r="AB131" s="0"/>
      <c r="AC131" s="65"/>
      <c r="AD131" s="65"/>
      <c r="AE131" s="96"/>
      <c r="AF131" s="96"/>
      <c r="AG131" s="65"/>
      <c r="AH131" s="65"/>
      <c r="AI131" s="0"/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0"/>
      <c r="K132" s="65"/>
      <c r="L132" s="65"/>
      <c r="M132" s="96"/>
      <c r="N132" s="96"/>
      <c r="O132" s="65"/>
      <c r="P132" s="65"/>
      <c r="Q132" s="0"/>
      <c r="R132" s="0"/>
      <c r="S132" s="0"/>
      <c r="T132" s="65"/>
      <c r="U132" s="65"/>
      <c r="V132" s="96"/>
      <c r="W132" s="96"/>
      <c r="X132" s="65"/>
      <c r="Y132" s="65"/>
      <c r="Z132" s="0"/>
      <c r="AA132" s="0"/>
      <c r="AB132" s="0"/>
      <c r="AC132" s="65"/>
      <c r="AD132" s="65"/>
      <c r="AE132" s="96"/>
      <c r="AF132" s="96"/>
      <c r="AG132" s="65"/>
      <c r="AH132" s="65"/>
      <c r="AI132" s="0"/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0"/>
      <c r="K133" s="65"/>
      <c r="L133" s="65"/>
      <c r="M133" s="96"/>
      <c r="N133" s="96"/>
      <c r="O133" s="65"/>
      <c r="P133" s="65"/>
      <c r="Q133" s="0"/>
      <c r="R133" s="0"/>
      <c r="S133" s="0"/>
      <c r="T133" s="65"/>
      <c r="U133" s="65"/>
      <c r="V133" s="96"/>
      <c r="W133" s="96"/>
      <c r="X133" s="65"/>
      <c r="Y133" s="65"/>
      <c r="Z133" s="0"/>
      <c r="AA133" s="0"/>
      <c r="AB133" s="0"/>
      <c r="AC133" s="65"/>
      <c r="AD133" s="65"/>
      <c r="AE133" s="96"/>
      <c r="AF133" s="96"/>
      <c r="AG133" s="65"/>
      <c r="AH133" s="65"/>
      <c r="AI133" s="0"/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46854.17</v>
      </c>
      <c r="J135" s="65"/>
      <c r="K135" s="65"/>
      <c r="L135" s="65"/>
      <c r="M135" s="65"/>
      <c r="N135" s="65"/>
      <c r="O135" s="65"/>
      <c r="P135" s="0"/>
      <c r="Q135" s="0"/>
      <c r="R135" s="0"/>
      <c r="S135" s="65"/>
      <c r="T135" s="65"/>
      <c r="U135" s="65"/>
      <c r="V135" s="65"/>
      <c r="W135" s="65"/>
      <c r="X135" s="65"/>
      <c r="Y135" s="0"/>
      <c r="Z135" s="0"/>
      <c r="AA135" s="0"/>
      <c r="AB135" s="65"/>
      <c r="AC135" s="65"/>
      <c r="AD135" s="65"/>
      <c r="AE135" s="65"/>
      <c r="AF135" s="65"/>
      <c r="AG135" s="65"/>
      <c r="AH135" s="0"/>
      <c r="AI135" s="0"/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65"/>
      <c r="K136" s="65"/>
      <c r="L136" s="65"/>
      <c r="M136" s="65"/>
      <c r="N136" s="65"/>
      <c r="O136" s="65"/>
      <c r="P136" s="0"/>
      <c r="Q136" s="0"/>
      <c r="R136" s="0"/>
      <c r="S136" s="65"/>
      <c r="T136" s="65"/>
      <c r="U136" s="65"/>
      <c r="V136" s="65"/>
      <c r="W136" s="65"/>
      <c r="X136" s="65"/>
      <c r="Y136" s="0"/>
      <c r="Z136" s="0"/>
      <c r="AA136" s="0"/>
      <c r="AB136" s="65"/>
      <c r="AC136" s="65"/>
      <c r="AD136" s="65"/>
      <c r="AE136" s="65"/>
      <c r="AF136" s="65"/>
      <c r="AG136" s="65"/>
      <c r="AH136" s="0"/>
      <c r="AI136" s="0"/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9480.834</v>
      </c>
      <c r="J137" s="65"/>
      <c r="K137" s="65"/>
      <c r="L137" s="65"/>
      <c r="M137" s="65"/>
      <c r="N137" s="65"/>
      <c r="O137" s="65"/>
      <c r="P137" s="0"/>
      <c r="Q137" s="0"/>
      <c r="R137" s="0"/>
      <c r="S137" s="65"/>
      <c r="T137" s="65"/>
      <c r="U137" s="65"/>
      <c r="V137" s="65"/>
      <c r="W137" s="65"/>
      <c r="X137" s="65"/>
      <c r="Y137" s="0"/>
      <c r="Z137" s="0"/>
      <c r="AA137" s="0"/>
      <c r="AB137" s="65"/>
      <c r="AC137" s="65"/>
      <c r="AD137" s="65"/>
      <c r="AE137" s="65"/>
      <c r="AF137" s="65"/>
      <c r="AG137" s="65"/>
      <c r="AH137" s="0"/>
      <c r="AI137" s="0"/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65"/>
      <c r="K138" s="65"/>
      <c r="L138" s="65"/>
      <c r="M138" s="65"/>
      <c r="N138" s="65"/>
      <c r="O138" s="65"/>
      <c r="P138" s="0"/>
      <c r="Q138" s="0"/>
      <c r="R138" s="0"/>
      <c r="S138" s="65"/>
      <c r="T138" s="65"/>
      <c r="U138" s="65"/>
      <c r="V138" s="65"/>
      <c r="W138" s="65"/>
      <c r="X138" s="65"/>
      <c r="Y138" s="0"/>
      <c r="Z138" s="0"/>
      <c r="AA138" s="0"/>
      <c r="AB138" s="65"/>
      <c r="AC138" s="65"/>
      <c r="AD138" s="65"/>
      <c r="AE138" s="65"/>
      <c r="AF138" s="65"/>
      <c r="AG138" s="65"/>
      <c r="AH138" s="0"/>
      <c r="AI138" s="0"/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65"/>
      <c r="K139" s="65"/>
      <c r="L139" s="65"/>
      <c r="M139" s="65"/>
      <c r="N139" s="65"/>
      <c r="O139" s="65"/>
      <c r="P139" s="0"/>
      <c r="Q139" s="0"/>
      <c r="R139" s="0"/>
      <c r="S139" s="65"/>
      <c r="T139" s="65"/>
      <c r="U139" s="65"/>
      <c r="V139" s="65"/>
      <c r="W139" s="65"/>
      <c r="X139" s="65"/>
      <c r="Y139" s="0"/>
      <c r="Z139" s="0"/>
      <c r="AA139" s="0"/>
      <c r="AB139" s="65"/>
      <c r="AC139" s="65"/>
      <c r="AD139" s="65"/>
      <c r="AE139" s="65"/>
      <c r="AF139" s="65"/>
      <c r="AG139" s="65"/>
      <c r="AH139" s="0"/>
      <c r="AI139" s="0"/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65"/>
      <c r="K140" s="65"/>
      <c r="L140" s="65"/>
      <c r="M140" s="65"/>
      <c r="N140" s="65"/>
      <c r="O140" s="65"/>
      <c r="P140" s="0"/>
      <c r="Q140" s="0"/>
      <c r="R140" s="0"/>
      <c r="S140" s="65"/>
      <c r="T140" s="65"/>
      <c r="U140" s="65"/>
      <c r="V140" s="65"/>
      <c r="W140" s="65"/>
      <c r="X140" s="65"/>
      <c r="Y140" s="0"/>
      <c r="Z140" s="0"/>
      <c r="AA140" s="0"/>
      <c r="AB140" s="65"/>
      <c r="AC140" s="65"/>
      <c r="AD140" s="65"/>
      <c r="AE140" s="65"/>
      <c r="AF140" s="65"/>
      <c r="AG140" s="65"/>
      <c r="AH140" s="0"/>
      <c r="AI140" s="0"/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57525.004</v>
      </c>
      <c r="J141" s="65"/>
      <c r="K141" s="65"/>
      <c r="L141" s="65"/>
      <c r="M141" s="65"/>
      <c r="N141" s="65"/>
      <c r="O141" s="65"/>
      <c r="P141" s="0"/>
      <c r="Q141" s="0"/>
      <c r="R141" s="0"/>
      <c r="S141" s="65"/>
      <c r="T141" s="65"/>
      <c r="U141" s="65"/>
      <c r="V141" s="65"/>
      <c r="W141" s="65"/>
      <c r="X141" s="65"/>
      <c r="Y141" s="0"/>
      <c r="Z141" s="0"/>
      <c r="AA141" s="0"/>
      <c r="AB141" s="65"/>
      <c r="AC141" s="65"/>
      <c r="AD141" s="65"/>
      <c r="AE141" s="65"/>
      <c r="AF141" s="65"/>
      <c r="AG141" s="65"/>
      <c r="AH141" s="0"/>
      <c r="AI141" s="0"/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65"/>
      <c r="K142" s="65"/>
      <c r="L142" s="65"/>
      <c r="M142" s="65"/>
      <c r="N142" s="65"/>
      <c r="O142" s="65"/>
      <c r="P142" s="0"/>
      <c r="Q142" s="0"/>
      <c r="R142" s="0"/>
      <c r="S142" s="65"/>
      <c r="T142" s="65"/>
      <c r="U142" s="65"/>
      <c r="V142" s="65"/>
      <c r="W142" s="65"/>
      <c r="X142" s="65"/>
      <c r="Y142" s="0"/>
      <c r="Z142" s="0"/>
      <c r="AA142" s="0"/>
      <c r="AB142" s="65"/>
      <c r="AC142" s="65"/>
      <c r="AD142" s="65"/>
      <c r="AE142" s="65"/>
      <c r="AF142" s="65"/>
      <c r="AG142" s="65"/>
      <c r="AH142" s="0"/>
      <c r="AI142" s="0"/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65"/>
      <c r="K143" s="65"/>
      <c r="L143" s="65"/>
      <c r="M143" s="65"/>
      <c r="N143" s="65"/>
      <c r="O143" s="65"/>
      <c r="P143" s="0"/>
      <c r="Q143" s="0"/>
      <c r="R143" s="0"/>
      <c r="S143" s="65"/>
      <c r="T143" s="65"/>
      <c r="U143" s="65"/>
      <c r="V143" s="65"/>
      <c r="W143" s="65"/>
      <c r="X143" s="65"/>
      <c r="Y143" s="0"/>
      <c r="Z143" s="0"/>
      <c r="AA143" s="0"/>
      <c r="AB143" s="65"/>
      <c r="AC143" s="65"/>
      <c r="AD143" s="65"/>
      <c r="AE143" s="65"/>
      <c r="AF143" s="65"/>
      <c r="AG143" s="65"/>
      <c r="AH143" s="0"/>
      <c r="AI143" s="0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0"/>
      <c r="K144" s="65"/>
      <c r="L144" s="65"/>
      <c r="M144" s="65"/>
      <c r="N144" s="65"/>
      <c r="O144" s="65"/>
      <c r="P144" s="0"/>
      <c r="Q144" s="0"/>
      <c r="R144" s="0"/>
      <c r="S144" s="0"/>
      <c r="T144" s="65"/>
      <c r="U144" s="65"/>
      <c r="V144" s="65"/>
      <c r="W144" s="65"/>
      <c r="X144" s="65"/>
      <c r="Y144" s="0"/>
      <c r="Z144" s="0"/>
      <c r="AA144" s="0"/>
      <c r="AB144" s="0"/>
      <c r="AC144" s="65"/>
      <c r="AD144" s="65"/>
      <c r="AE144" s="65"/>
      <c r="AF144" s="65"/>
      <c r="AG144" s="65"/>
      <c r="AH144" s="0"/>
      <c r="AI144" s="0"/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0"/>
      <c r="K145" s="65"/>
      <c r="L145" s="65"/>
      <c r="M145" s="65"/>
      <c r="N145" s="65"/>
      <c r="O145" s="65"/>
      <c r="P145" s="0"/>
      <c r="Q145" s="0"/>
      <c r="R145" s="0"/>
      <c r="S145" s="0"/>
      <c r="T145" s="65"/>
      <c r="U145" s="65"/>
      <c r="V145" s="65"/>
      <c r="W145" s="65"/>
      <c r="X145" s="65"/>
      <c r="Y145" s="0"/>
      <c r="Z145" s="0"/>
      <c r="AA145" s="0"/>
      <c r="AB145" s="0"/>
      <c r="AC145" s="65"/>
      <c r="AD145" s="65"/>
      <c r="AE145" s="65"/>
      <c r="AF145" s="65"/>
      <c r="AG145" s="65"/>
      <c r="AH145" s="0"/>
      <c r="AI145" s="0"/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0"/>
      <c r="K146" s="65"/>
      <c r="L146" s="65"/>
      <c r="M146" s="65"/>
      <c r="N146" s="65"/>
      <c r="O146" s="65"/>
      <c r="P146" s="0"/>
      <c r="Q146" s="0"/>
      <c r="R146" s="0"/>
      <c r="S146" s="0"/>
      <c r="T146" s="65"/>
      <c r="U146" s="65"/>
      <c r="V146" s="65"/>
      <c r="W146" s="65"/>
      <c r="X146" s="65"/>
      <c r="Y146" s="0"/>
      <c r="Z146" s="0"/>
      <c r="AA146" s="0"/>
      <c r="AB146" s="0"/>
      <c r="AC146" s="65"/>
      <c r="AD146" s="65"/>
      <c r="AE146" s="65"/>
      <c r="AF146" s="65"/>
      <c r="AG146" s="65"/>
      <c r="AH146" s="0"/>
      <c r="AI146" s="0"/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57525.004</v>
      </c>
      <c r="J147" s="65"/>
      <c r="K147" s="65"/>
      <c r="L147" s="65"/>
      <c r="M147" s="65"/>
      <c r="N147" s="65"/>
      <c r="O147" s="65"/>
      <c r="P147" s="0"/>
      <c r="Q147" s="0"/>
      <c r="R147" s="0"/>
      <c r="S147" s="65"/>
      <c r="T147" s="65"/>
      <c r="U147" s="65"/>
      <c r="V147" s="65"/>
      <c r="W147" s="65"/>
      <c r="X147" s="65"/>
      <c r="Y147" s="0"/>
      <c r="Z147" s="0"/>
      <c r="AA147" s="0"/>
      <c r="AB147" s="65"/>
      <c r="AC147" s="65"/>
      <c r="AD147" s="65"/>
      <c r="AE147" s="65"/>
      <c r="AF147" s="65"/>
      <c r="AG147" s="65"/>
      <c r="AH147" s="0"/>
      <c r="AI147" s="0"/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-833.33</v>
      </c>
      <c r="I148" s="1" t="n">
        <f aca="false">(H148-G81)/1.2</f>
        <v>-694.441666666667</v>
      </c>
      <c r="J148" s="65"/>
      <c r="K148" s="65"/>
      <c r="L148" s="65"/>
      <c r="M148" s="65"/>
      <c r="N148" s="65"/>
      <c r="O148" s="65"/>
      <c r="P148" s="0"/>
      <c r="Q148" s="0"/>
      <c r="R148" s="0"/>
      <c r="S148" s="65"/>
      <c r="T148" s="65"/>
      <c r="U148" s="65"/>
      <c r="V148" s="65"/>
      <c r="W148" s="65"/>
      <c r="X148" s="65"/>
      <c r="Y148" s="0"/>
      <c r="Z148" s="0"/>
      <c r="AA148" s="0"/>
      <c r="AB148" s="65"/>
      <c r="AC148" s="65"/>
      <c r="AD148" s="65"/>
      <c r="AE148" s="65"/>
      <c r="AF148" s="65"/>
      <c r="AG148" s="65"/>
      <c r="AH148" s="0"/>
      <c r="AI148" s="0"/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65"/>
      <c r="K150" s="65"/>
      <c r="L150" s="65"/>
      <c r="M150" s="65"/>
      <c r="N150" s="65"/>
      <c r="O150" s="65"/>
      <c r="P150" s="65"/>
      <c r="Q150" s="65"/>
      <c r="R150" s="0"/>
      <c r="S150" s="65"/>
      <c r="T150" s="65"/>
      <c r="U150" s="65"/>
      <c r="V150" s="65"/>
      <c r="W150" s="65"/>
      <c r="X150" s="65"/>
      <c r="Y150" s="65"/>
      <c r="Z150" s="65"/>
      <c r="AA150" s="0"/>
      <c r="AB150" s="65"/>
      <c r="AC150" s="65"/>
      <c r="AD150" s="65"/>
      <c r="AE150" s="65"/>
      <c r="AF150" s="65"/>
      <c r="AG150" s="65"/>
      <c r="AH150" s="65"/>
      <c r="AI150" s="65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0"/>
      <c r="K152" s="0"/>
      <c r="L152" s="0"/>
      <c r="M152" s="0"/>
      <c r="N152" s="65"/>
      <c r="O152" s="65"/>
      <c r="P152" s="65"/>
      <c r="Q152" s="65"/>
      <c r="R152" s="0"/>
      <c r="S152" s="0"/>
      <c r="T152" s="0"/>
      <c r="U152" s="0"/>
      <c r="V152" s="0"/>
      <c r="W152" s="65"/>
      <c r="X152" s="65"/>
      <c r="Y152" s="65"/>
      <c r="Z152" s="65"/>
      <c r="AA152" s="0"/>
      <c r="AB152" s="0"/>
      <c r="AC152" s="0"/>
      <c r="AD152" s="0"/>
      <c r="AE152" s="0"/>
      <c r="AF152" s="65"/>
      <c r="AG152" s="65"/>
      <c r="AH152" s="65"/>
      <c r="AI152" s="65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0"/>
      <c r="K153" s="0"/>
      <c r="L153" s="0"/>
      <c r="M153" s="0"/>
      <c r="N153" s="65"/>
      <c r="O153" s="65"/>
      <c r="P153" s="65"/>
      <c r="Q153" s="65"/>
      <c r="R153" s="0"/>
      <c r="S153" s="0"/>
      <c r="T153" s="0"/>
      <c r="U153" s="0"/>
      <c r="V153" s="0"/>
      <c r="W153" s="65"/>
      <c r="X153" s="65"/>
      <c r="Y153" s="65"/>
      <c r="Z153" s="65"/>
      <c r="AA153" s="0"/>
      <c r="AB153" s="0"/>
      <c r="AC153" s="0"/>
      <c r="AD153" s="0"/>
      <c r="AE153" s="0"/>
      <c r="AF153" s="65"/>
      <c r="AG153" s="65"/>
      <c r="AH153" s="65"/>
      <c r="AI153" s="65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0"/>
      <c r="K154" s="0"/>
      <c r="L154" s="0"/>
      <c r="M154" s="0"/>
      <c r="N154" s="65"/>
      <c r="O154" s="65"/>
      <c r="P154" s="65"/>
      <c r="Q154" s="65"/>
      <c r="R154" s="0"/>
      <c r="S154" s="0"/>
      <c r="T154" s="0"/>
      <c r="U154" s="0"/>
      <c r="V154" s="0"/>
      <c r="W154" s="65"/>
      <c r="X154" s="65"/>
      <c r="Y154" s="65"/>
      <c r="Z154" s="65"/>
      <c r="AA154" s="0"/>
      <c r="AB154" s="0"/>
      <c r="AC154" s="0"/>
      <c r="AD154" s="0"/>
      <c r="AE154" s="0"/>
      <c r="AF154" s="65"/>
      <c r="AG154" s="65"/>
      <c r="AH154" s="65"/>
      <c r="AI154" s="65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0"/>
      <c r="K155" s="0"/>
      <c r="L155" s="0"/>
      <c r="M155" s="0"/>
      <c r="N155" s="65"/>
      <c r="O155" s="65"/>
      <c r="P155" s="0"/>
      <c r="Q155" s="0"/>
      <c r="R155" s="0"/>
      <c r="S155" s="0"/>
      <c r="T155" s="0"/>
      <c r="U155" s="0"/>
      <c r="V155" s="0"/>
      <c r="W155" s="65"/>
      <c r="X155" s="65"/>
      <c r="Y155" s="0"/>
      <c r="Z155" s="0"/>
      <c r="AA155" s="0"/>
      <c r="AB155" s="0"/>
      <c r="AC155" s="0"/>
      <c r="AD155" s="0"/>
      <c r="AE155" s="0"/>
      <c r="AF155" s="65"/>
      <c r="AG155" s="65"/>
      <c r="AH155" s="0"/>
      <c r="AI155" s="0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0"/>
      <c r="K157" s="0"/>
      <c r="L157" s="0"/>
      <c r="M157" s="0"/>
      <c r="N157" s="0"/>
      <c r="O157" s="0"/>
      <c r="P157" s="65"/>
      <c r="Q157" s="65"/>
      <c r="R157" s="0"/>
      <c r="S157" s="0"/>
      <c r="T157" s="0"/>
      <c r="U157" s="0"/>
      <c r="V157" s="0"/>
      <c r="W157" s="0"/>
      <c r="X157" s="0"/>
      <c r="Y157" s="65"/>
      <c r="Z157" s="65"/>
      <c r="AA157" s="0"/>
      <c r="AB157" s="0"/>
      <c r="AC157" s="0"/>
      <c r="AD157" s="0"/>
      <c r="AE157" s="0"/>
      <c r="AF157" s="0"/>
      <c r="AG157" s="0"/>
      <c r="AH157" s="65"/>
      <c r="AI157" s="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57525.004</v>
      </c>
      <c r="H158" s="167"/>
      <c r="J158" s="0"/>
      <c r="K158" s="0"/>
      <c r="L158" s="0"/>
      <c r="M158" s="0"/>
      <c r="N158" s="0"/>
      <c r="O158" s="0"/>
      <c r="P158" s="65"/>
      <c r="Q158" s="65"/>
      <c r="R158" s="0"/>
      <c r="S158" s="0"/>
      <c r="T158" s="0"/>
      <c r="U158" s="0"/>
      <c r="V158" s="0"/>
      <c r="W158" s="0"/>
      <c r="X158" s="0"/>
      <c r="Y158" s="65"/>
      <c r="Z158" s="65"/>
      <c r="AA158" s="0"/>
      <c r="AB158" s="0"/>
      <c r="AC158" s="0"/>
      <c r="AD158" s="0"/>
      <c r="AE158" s="0"/>
      <c r="AF158" s="0"/>
      <c r="AG158" s="0"/>
      <c r="AH158" s="65"/>
      <c r="AI158" s="65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0"/>
      <c r="K159" s="0"/>
      <c r="L159" s="0"/>
      <c r="M159" s="0"/>
      <c r="N159" s="0"/>
      <c r="O159" s="0"/>
      <c r="P159" s="65"/>
      <c r="Q159" s="65"/>
      <c r="R159" s="0"/>
      <c r="S159" s="0"/>
      <c r="T159" s="0"/>
      <c r="U159" s="0"/>
      <c r="V159" s="0"/>
      <c r="W159" s="0"/>
      <c r="X159" s="0"/>
      <c r="Y159" s="65"/>
      <c r="Z159" s="65"/>
      <c r="AA159" s="0"/>
      <c r="AB159" s="0"/>
      <c r="AC159" s="0"/>
      <c r="AD159" s="0"/>
      <c r="AE159" s="0"/>
      <c r="AF159" s="0"/>
      <c r="AG159" s="0"/>
      <c r="AH159" s="65"/>
      <c r="AI159" s="65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65"/>
      <c r="K162" s="65"/>
      <c r="L162" s="65"/>
      <c r="M162" s="65"/>
      <c r="N162" s="65"/>
      <c r="O162" s="65"/>
      <c r="P162" s="65"/>
      <c r="Q162" s="65"/>
      <c r="R162" s="0"/>
      <c r="S162" s="65"/>
      <c r="T162" s="65"/>
      <c r="U162" s="65"/>
      <c r="V162" s="65"/>
      <c r="W162" s="65"/>
      <c r="X162" s="65"/>
      <c r="Y162" s="65"/>
      <c r="Z162" s="65"/>
      <c r="AA162" s="0"/>
      <c r="AB162" s="65"/>
      <c r="AC162" s="65"/>
      <c r="AD162" s="65"/>
      <c r="AE162" s="65"/>
      <c r="AF162" s="65"/>
      <c r="AG162" s="65"/>
      <c r="AH162" s="65"/>
      <c r="AI162" s="65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0"/>
      <c r="K164" s="65"/>
      <c r="L164" s="65"/>
      <c r="M164" s="0"/>
      <c r="N164" s="0"/>
      <c r="O164" s="0"/>
      <c r="P164" s="0"/>
      <c r="Q164" s="0"/>
      <c r="R164" s="0"/>
      <c r="S164" s="0"/>
      <c r="T164" s="65"/>
      <c r="U164" s="65"/>
      <c r="V164" s="0"/>
      <c r="W164" s="0"/>
      <c r="X164" s="0"/>
      <c r="Y164" s="0"/>
      <c r="Z164" s="0"/>
      <c r="AA164" s="0"/>
      <c r="AB164" s="0"/>
      <c r="AC164" s="65"/>
      <c r="AD164" s="6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2" t="n">
        <f aca="false">B95</f>
        <v>1639.88541555755</v>
      </c>
      <c r="B167" s="173" t="str">
        <f aca="false">B94</f>
        <v>0</v>
      </c>
      <c r="C167" s="171"/>
      <c r="D167" s="171"/>
      <c r="E167" s="173" t="n">
        <f aca="false">B96</f>
        <v>1639.88541555755</v>
      </c>
      <c r="F167" s="31"/>
      <c r="G167" s="31"/>
      <c r="H167" s="1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174" t="n">
        <f aca="false">K29</f>
        <v>0</v>
      </c>
      <c r="B170" s="175" t="n">
        <f aca="false">K30</f>
        <v>0</v>
      </c>
      <c r="C170" s="176"/>
      <c r="D170" s="31"/>
      <c r="E170" s="177" t="str">
        <f aca="false">IF(A111="YES", A40, 0)</f>
        <v>Monthly maintenance rental (Ex. VAT)</v>
      </c>
      <c r="F170" s="31"/>
      <c r="G170" s="31"/>
      <c r="H170" s="1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78" t="n">
        <f aca="false">H141-H137-H139-H140</f>
        <v>47404.17</v>
      </c>
      <c r="B173" s="23" t="n">
        <f aca="false">H137</f>
        <v>9480.834</v>
      </c>
      <c r="C173" s="179"/>
      <c r="D173" s="31"/>
      <c r="E173" s="177" t="n">
        <f aca="false">H139+H140</f>
        <v>640</v>
      </c>
      <c r="F173" s="31"/>
      <c r="G173" s="31"/>
      <c r="H173" s="12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78" t="n">
        <f aca="false">H147</f>
        <v>57525.004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57525.004</v>
      </c>
      <c r="F179" s="31"/>
      <c r="G179" s="31"/>
      <c r="H179" s="18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22" t="n">
        <v>500</v>
      </c>
      <c r="B182" s="23" t="str">
        <f aca="false">B114</f>
        <v>199.99</v>
      </c>
      <c r="C182" s="23"/>
      <c r="D182" s="31"/>
      <c r="E182" s="23" t="n">
        <f aca="false">E179+A182+B182+A185</f>
        <v>58234.994</v>
      </c>
      <c r="F182" s="31"/>
      <c r="G182" s="31"/>
      <c r="H182" s="18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7" t="n">
        <v>3</v>
      </c>
      <c r="B183" s="14"/>
      <c r="C183" s="14"/>
      <c r="D183" s="31"/>
      <c r="E183" s="14"/>
      <c r="F183" s="31"/>
      <c r="G183" s="31"/>
      <c r="H183" s="12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e">
        <f aca="false">E170+A185</f>
        <v>#VALUE!</v>
      </c>
      <c r="F185" s="31"/>
      <c r="G185" s="31"/>
      <c r="H185" s="18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143.81251</v>
      </c>
      <c r="C188" s="14"/>
      <c r="D188" s="14"/>
      <c r="E188" s="23" t="n">
        <f aca="false">(E40*A108)*0.1</f>
        <v>0</v>
      </c>
      <c r="F188" s="31"/>
      <c r="G188" s="31"/>
      <c r="H188" s="12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243.80251</v>
      </c>
      <c r="C191" s="14"/>
      <c r="D191" s="14"/>
      <c r="E191" s="23" t="n">
        <f aca="false">H148</f>
        <v>-833.33</v>
      </c>
      <c r="F191" s="31"/>
      <c r="G191" s="31"/>
      <c r="H191" s="12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65"/>
      <c r="K195" s="65"/>
      <c r="L195" s="65"/>
      <c r="M195" s="65"/>
      <c r="N195" s="0"/>
      <c r="O195" s="0"/>
      <c r="P195" s="0"/>
      <c r="Q195" s="0"/>
      <c r="R195" s="0"/>
      <c r="S195" s="65"/>
      <c r="T195" s="65"/>
      <c r="U195" s="65"/>
      <c r="V195" s="65"/>
      <c r="W195" s="0"/>
      <c r="X195" s="0"/>
      <c r="Y195" s="0"/>
      <c r="Z195" s="0"/>
      <c r="AA195" s="0"/>
      <c r="AB195" s="65"/>
      <c r="AC195" s="65"/>
      <c r="AD195" s="65"/>
      <c r="AE195" s="65"/>
      <c r="AF195" s="0"/>
      <c r="AG195" s="0"/>
      <c r="AH195" s="0"/>
      <c r="AI195" s="0"/>
    </row>
    <row r="196" customFormat="false" ht="19.5" hidden="false" customHeight="true" outlineLevel="0" collapsed="false">
      <c r="A196" s="186"/>
      <c r="B196" s="188" t="n">
        <f aca="false">K30</f>
        <v>0</v>
      </c>
      <c r="C196" s="188"/>
      <c r="D196" s="188"/>
      <c r="E196" s="31"/>
      <c r="F196" s="31"/>
      <c r="G196" s="31"/>
      <c r="H196" s="12"/>
      <c r="J196" s="65"/>
      <c r="K196" s="65"/>
      <c r="L196" s="65"/>
      <c r="M196" s="65"/>
      <c r="N196" s="0"/>
      <c r="O196" s="0"/>
      <c r="P196" s="0"/>
      <c r="Q196" s="0"/>
      <c r="R196" s="0"/>
      <c r="S196" s="65"/>
      <c r="T196" s="65"/>
      <c r="U196" s="65"/>
      <c r="V196" s="65"/>
      <c r="W196" s="0"/>
      <c r="X196" s="0"/>
      <c r="Y196" s="0"/>
      <c r="Z196" s="0"/>
      <c r="AA196" s="0"/>
      <c r="AB196" s="65"/>
      <c r="AC196" s="65"/>
      <c r="AD196" s="65"/>
      <c r="AE196" s="65"/>
      <c r="AF196" s="0"/>
      <c r="AG196" s="0"/>
      <c r="AH196" s="0"/>
      <c r="AI196" s="0"/>
    </row>
    <row r="197" customFormat="false" ht="17.35" hidden="false" customHeight="false" outlineLevel="0" collapsed="false">
      <c r="A197" s="189" t="n">
        <f aca="false">K29</f>
        <v>0</v>
      </c>
      <c r="B197" s="85" t="n">
        <f aca="false">B96</f>
        <v>1639.88541555755</v>
      </c>
      <c r="C197" s="85"/>
      <c r="D197" s="85"/>
      <c r="E197" s="31"/>
      <c r="F197" s="31"/>
      <c r="G197" s="31"/>
      <c r="H197" s="12"/>
      <c r="J197" s="0"/>
      <c r="K197" s="65"/>
      <c r="L197" s="65"/>
      <c r="M197" s="65"/>
      <c r="N197" s="0"/>
      <c r="O197" s="0"/>
      <c r="P197" s="0"/>
      <c r="Q197" s="0"/>
      <c r="R197" s="0"/>
      <c r="S197" s="0"/>
      <c r="T197" s="65"/>
      <c r="U197" s="65"/>
      <c r="V197" s="65"/>
      <c r="W197" s="0"/>
      <c r="X197" s="0"/>
      <c r="Y197" s="0"/>
      <c r="Z197" s="0"/>
      <c r="AA197" s="0"/>
      <c r="AB197" s="0"/>
      <c r="AC197" s="65"/>
      <c r="AD197" s="65"/>
      <c r="AE197" s="65"/>
      <c r="AF197" s="0"/>
      <c r="AG197" s="0"/>
      <c r="AH197" s="0"/>
      <c r="AI197" s="0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0"/>
      <c r="J24" s="0"/>
      <c r="K24" s="0"/>
      <c r="P24" s="32"/>
    </row>
    <row r="25" customFormat="false" ht="17.35" hidden="false" customHeight="false" outlineLevel="0" collapsed="false">
      <c r="A25" s="35"/>
      <c r="B25" s="36"/>
      <c r="C25" s="36"/>
      <c r="D25" s="36"/>
      <c r="E25" s="37"/>
      <c r="F25" s="34"/>
      <c r="G25" s="34"/>
      <c r="H25" s="34"/>
      <c r="I25" s="0"/>
      <c r="J25" s="0"/>
      <c r="K25" s="0"/>
      <c r="P25" s="32"/>
    </row>
    <row r="26" customFormat="false" ht="22.05" hidden="false" customHeight="fals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0"/>
      <c r="J26" s="0"/>
      <c r="K26" s="0"/>
      <c r="P26" s="32"/>
    </row>
    <row r="27" customFormat="false" ht="17.35" hidden="false" customHeight="fals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2"/>
    </row>
    <row r="28" customFormat="false" ht="31.8" hidden="false" customHeight="fals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2"/>
    </row>
    <row r="29" customFormat="false" ht="17.35" hidden="false" customHeight="fals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33</v>
      </c>
      <c r="I29" s="0"/>
      <c r="J29" s="0"/>
      <c r="K29" s="0"/>
      <c r="P29" s="32"/>
    </row>
    <row r="30" customFormat="false" ht="17.35" hidden="false" customHeight="fals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0"/>
      <c r="J30" s="0"/>
      <c r="K30" s="0"/>
      <c r="P30" s="32"/>
    </row>
    <row r="31" customFormat="false" ht="31.8" hidden="false" customHeight="fals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0"/>
      <c r="J31" s="0"/>
      <c r="K31" s="0"/>
      <c r="P31" s="32"/>
    </row>
    <row r="32" customFormat="false" ht="17.35" hidden="false" customHeight="fals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0"/>
      <c r="J32" s="49" t="s">
        <v>44</v>
      </c>
      <c r="K32" s="50" t="s">
        <v>45</v>
      </c>
      <c r="P32" s="32"/>
    </row>
    <row r="33" customFormat="false" ht="17.35" hidden="false" customHeight="fals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0"/>
      <c r="J33" s="49"/>
      <c r="K33" s="55"/>
      <c r="P33" s="32"/>
    </row>
    <row r="34" customFormat="false" ht="17.35" hidden="false" customHeight="fals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0"/>
      <c r="J34" s="49" t="s">
        <v>51</v>
      </c>
      <c r="K34" s="58" t="s">
        <v>52</v>
      </c>
      <c r="P34" s="32"/>
    </row>
    <row r="35" customFormat="false" ht="17.35" hidden="false" customHeight="false" outlineLevel="0" collapsed="false">
      <c r="A35" s="47" t="n">
        <f aca="false">B32+D32</f>
        <v>500</v>
      </c>
      <c r="B35" s="44" t="s">
        <v>53</v>
      </c>
      <c r="C35" s="44"/>
      <c r="D35" s="44" t="s">
        <v>54</v>
      </c>
      <c r="E35" s="44"/>
      <c r="F35" s="34"/>
      <c r="G35" s="59"/>
      <c r="H35" s="60"/>
      <c r="I35" s="0"/>
      <c r="J35" s="49"/>
      <c r="K35" s="55"/>
      <c r="P35" s="32"/>
    </row>
    <row r="36" customFormat="false" ht="17.35" hidden="false" customHeight="false" outlineLevel="0" collapsed="false">
      <c r="A36" s="35"/>
      <c r="B36" s="36"/>
      <c r="C36" s="36"/>
      <c r="D36" s="36"/>
      <c r="E36" s="37"/>
      <c r="F36" s="34"/>
      <c r="G36" s="34" t="s">
        <v>55</v>
      </c>
      <c r="H36" s="61" t="n">
        <v>0</v>
      </c>
      <c r="I36" s="0"/>
      <c r="J36" s="49" t="s">
        <v>56</v>
      </c>
      <c r="K36" s="62" t="n">
        <f aca="false">K32-K34</f>
        <v>47877.5</v>
      </c>
      <c r="P36" s="32"/>
    </row>
    <row r="37" customFormat="false" ht="17.35" hidden="false" customHeight="fals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0"/>
      <c r="J37" s="0"/>
      <c r="K37" s="0"/>
      <c r="P37" s="32"/>
    </row>
    <row r="38" customFormat="false" ht="17.35" hidden="false" customHeight="false" outlineLevel="0" collapsed="false">
      <c r="A38" s="63" t="n">
        <f aca="false">(B35/12)*D35</f>
        <v>13750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0"/>
      <c r="J38" s="65"/>
      <c r="K38" s="65"/>
      <c r="L38" s="2"/>
      <c r="N38" s="1" t="n">
        <f aca="false">80.88*36</f>
        <v>2911.68</v>
      </c>
      <c r="P38" s="32"/>
    </row>
    <row r="39" customFormat="false" ht="17.35" hidden="false" customHeight="false" outlineLevel="0" collapsed="false">
      <c r="A39" s="66"/>
      <c r="B39" s="53"/>
      <c r="C39" s="53"/>
      <c r="D39" s="36"/>
      <c r="E39" s="37"/>
      <c r="F39" s="34"/>
      <c r="G39" s="34"/>
      <c r="H39" s="67"/>
      <c r="I39" s="0"/>
      <c r="J39" s="0"/>
      <c r="K39" s="0"/>
      <c r="L39" s="2"/>
      <c r="N39" s="1" t="n">
        <f aca="false">K39-L39</f>
        <v>0</v>
      </c>
      <c r="P39" s="32"/>
    </row>
    <row r="40" customFormat="false" ht="17.35" hidden="false" customHeight="fals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0"/>
      <c r="J40" s="0"/>
      <c r="K40" s="0"/>
      <c r="L40" s="2"/>
      <c r="N40" s="1" t="n">
        <f aca="false">N38-N39</f>
        <v>2911.68</v>
      </c>
      <c r="P40" s="32"/>
    </row>
    <row r="41" customFormat="false" ht="17.35" hidden="false" customHeight="false" outlineLevel="0" collapsed="false">
      <c r="A41" s="64" t="n">
        <f aca="false">H36/B35</f>
        <v>0</v>
      </c>
      <c r="B41" s="71" t="str">
        <f aca="false">IF(B38="YES", D38+A41, D38)</f>
        <v>500</v>
      </c>
      <c r="C41" s="71"/>
      <c r="D41" s="64" t="n">
        <v>6000</v>
      </c>
      <c r="E41" s="64"/>
      <c r="F41" s="34"/>
      <c r="G41" s="34"/>
      <c r="H41" s="72"/>
      <c r="J41" s="2"/>
      <c r="K41" s="2"/>
      <c r="L41" s="2"/>
      <c r="P41" s="32"/>
    </row>
    <row r="42" customFormat="false" ht="17.35" hidden="false" customHeight="fals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J42" s="2"/>
      <c r="K42" s="2"/>
      <c r="L42" s="2"/>
      <c r="P42" s="32"/>
    </row>
    <row r="43" customFormat="false" ht="17.35" hidden="false" customHeight="fals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500.363636363636</v>
      </c>
      <c r="J43" s="2"/>
      <c r="K43" s="2"/>
      <c r="L43" s="2"/>
      <c r="P43" s="32"/>
    </row>
    <row r="44" customFormat="false" ht="17.35" hidden="false" customHeight="fals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J44" s="2"/>
      <c r="K44" s="2"/>
      <c r="L44" s="2"/>
      <c r="P44" s="32"/>
    </row>
    <row r="45" customFormat="false" ht="17.35" hidden="false" customHeight="fals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500.363636363636</v>
      </c>
      <c r="J45" s="2"/>
      <c r="K45" s="2"/>
      <c r="L45" s="2"/>
      <c r="P45" s="32"/>
    </row>
    <row r="46" customFormat="false" ht="17.35" hidden="false" customHeight="fals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500.363636363636</v>
      </c>
      <c r="J46" s="2"/>
      <c r="K46" s="2"/>
      <c r="L46" s="2"/>
      <c r="P46" s="32"/>
    </row>
    <row r="47" customFormat="false" ht="17.35" hidden="false" customHeight="fals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J47" s="2"/>
      <c r="K47" s="2"/>
      <c r="L47" s="2"/>
      <c r="P47" s="32"/>
    </row>
    <row r="48" customFormat="false" ht="17.35" hidden="false" customHeight="false" outlineLevel="0" collapsed="false">
      <c r="A48" s="0"/>
      <c r="B48" s="53"/>
      <c r="C48" s="53"/>
      <c r="D48" s="53"/>
      <c r="E48" s="73"/>
      <c r="F48" s="34"/>
      <c r="G48" s="34"/>
      <c r="H48" s="67"/>
      <c r="J48" s="79"/>
      <c r="K48" s="2"/>
      <c r="L48" s="2"/>
      <c r="P48" s="32"/>
    </row>
    <row r="49" customFormat="false" ht="17.35" hidden="false" customHeight="false" outlineLevel="0" collapsed="false">
      <c r="A49" s="66"/>
      <c r="B49" s="53"/>
      <c r="C49" s="53"/>
      <c r="D49" s="53"/>
      <c r="E49" s="73"/>
      <c r="F49" s="34"/>
      <c r="G49" s="34"/>
      <c r="H49" s="67"/>
      <c r="J49" s="2"/>
      <c r="K49" s="2"/>
      <c r="L49" s="2"/>
      <c r="P49" s="32"/>
    </row>
    <row r="50" customFormat="false" ht="17.35" hidden="false" customHeight="false" outlineLevel="0" collapsed="false">
      <c r="A50" s="35"/>
      <c r="B50" s="80"/>
      <c r="C50" s="80"/>
      <c r="D50" s="36"/>
      <c r="E50" s="37"/>
      <c r="F50" s="0"/>
      <c r="G50" s="0"/>
      <c r="H50" s="0"/>
      <c r="I50" s="2"/>
      <c r="J50" s="2"/>
      <c r="K50" s="2"/>
      <c r="P50" s="32"/>
    </row>
    <row r="51" customFormat="false" ht="19.5" hidden="false" customHeight="true" outlineLevel="0" collapsed="false">
      <c r="A51" s="81" t="s">
        <v>76</v>
      </c>
      <c r="B51" s="82" t="s">
        <v>77</v>
      </c>
      <c r="C51" s="82"/>
      <c r="D51" s="36"/>
      <c r="E51" s="37"/>
      <c r="F51" s="0"/>
      <c r="G51" s="0"/>
      <c r="H51" s="0"/>
      <c r="I51" s="2"/>
      <c r="J51" s="2"/>
      <c r="K51" s="2"/>
      <c r="P51" s="32"/>
    </row>
    <row r="52" customFormat="false" ht="17.35" hidden="false" customHeight="false" outlineLevel="0" collapsed="false">
      <c r="A52" s="81"/>
      <c r="B52" s="83" t="str">
        <f aca="false">H30</f>
        <v>5000</v>
      </c>
      <c r="C52" s="83"/>
      <c r="D52" s="36"/>
      <c r="E52" s="37"/>
      <c r="F52" s="0"/>
      <c r="G52" s="0"/>
      <c r="H52" s="0"/>
      <c r="I52" s="2"/>
      <c r="J52" s="2"/>
      <c r="K52" s="2"/>
      <c r="P52" s="32"/>
    </row>
    <row r="53" customFormat="false" ht="17.35" hidden="false" customHeight="false" outlineLevel="0" collapsed="false">
      <c r="A53" s="84" t="str">
        <f aca="false">H29</f>
        <v>33</v>
      </c>
      <c r="B53" s="85" t="n">
        <f aca="false">H45</f>
        <v>500.363636363636</v>
      </c>
      <c r="C53" s="85"/>
      <c r="D53" s="36"/>
      <c r="E53" s="37"/>
      <c r="F53" s="0"/>
      <c r="G53" s="0"/>
      <c r="H53" s="0"/>
      <c r="I53" s="2"/>
      <c r="J53" s="2"/>
      <c r="K53" s="2"/>
      <c r="P53" s="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7" t="s">
        <v>30</v>
      </c>
      <c r="B58" s="14" t="n">
        <v>1</v>
      </c>
      <c r="C58" s="90"/>
      <c r="D58" s="14"/>
      <c r="E58" s="91"/>
      <c r="F58" s="91"/>
      <c r="G58" s="91"/>
      <c r="H58" s="1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7" t="s">
        <v>34</v>
      </c>
      <c r="B59" s="14" t="n">
        <f aca="false">B35-B58</f>
        <v>32</v>
      </c>
      <c r="C59" s="90"/>
      <c r="D59" s="14"/>
      <c r="E59" s="91"/>
      <c r="F59" s="91"/>
      <c r="G59" s="91"/>
      <c r="H59" s="1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2" t="s">
        <v>78</v>
      </c>
      <c r="B60" s="93" t="n">
        <v>10</v>
      </c>
      <c r="C60" s="90"/>
      <c r="D60" s="14"/>
      <c r="E60" s="91"/>
      <c r="F60" s="91"/>
      <c r="G60" s="91"/>
      <c r="H60" s="1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90"/>
      <c r="D61" s="14"/>
      <c r="E61" s="91"/>
      <c r="F61" s="91"/>
      <c r="G61" s="91"/>
      <c r="H61" s="1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4" t="s">
        <v>79</v>
      </c>
      <c r="B62" s="95" t="n">
        <v>0</v>
      </c>
      <c r="C62" s="90"/>
      <c r="D62" s="14"/>
      <c r="E62" s="91"/>
      <c r="F62" s="91"/>
      <c r="G62" s="91"/>
      <c r="H62" s="12"/>
      <c r="J62" s="0"/>
      <c r="K62" s="96"/>
      <c r="L62" s="0"/>
      <c r="M62" s="0"/>
      <c r="N62" s="0"/>
      <c r="O62" s="0"/>
      <c r="P62" s="0"/>
      <c r="Q62" s="0"/>
      <c r="R62" s="0"/>
      <c r="S62" s="0"/>
      <c r="T62" s="96"/>
      <c r="U62" s="0"/>
      <c r="V62" s="0"/>
      <c r="W62" s="0"/>
      <c r="X62" s="0"/>
      <c r="Y62" s="0"/>
      <c r="Z62" s="0"/>
      <c r="AA62" s="0"/>
      <c r="AB62" s="0"/>
      <c r="AC62" s="96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4" t="s">
        <v>80</v>
      </c>
      <c r="B63" s="97" t="n">
        <v>0.065</v>
      </c>
      <c r="C63" s="90"/>
      <c r="D63" s="14"/>
      <c r="E63" s="91"/>
      <c r="F63" s="91"/>
      <c r="G63" s="91"/>
      <c r="H63" s="12"/>
      <c r="J63" s="0"/>
      <c r="K63" s="96"/>
      <c r="L63" s="0"/>
      <c r="M63" s="0"/>
      <c r="N63" s="0"/>
      <c r="O63" s="0"/>
      <c r="P63" s="0"/>
      <c r="Q63" s="0"/>
      <c r="R63" s="0"/>
      <c r="S63" s="0"/>
      <c r="T63" s="96"/>
      <c r="U63" s="0"/>
      <c r="V63" s="0"/>
      <c r="W63" s="0"/>
      <c r="X63" s="0"/>
      <c r="Y63" s="0"/>
      <c r="Z63" s="0"/>
      <c r="AA63" s="0"/>
      <c r="AB63" s="0"/>
      <c r="AC63" s="96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0"/>
      <c r="K64" s="96"/>
      <c r="L64" s="0"/>
      <c r="M64" s="0"/>
      <c r="N64" s="0"/>
      <c r="O64" s="0"/>
      <c r="P64" s="0"/>
      <c r="Q64" s="0"/>
      <c r="R64" s="0"/>
      <c r="S64" s="0"/>
      <c r="T64" s="96"/>
      <c r="U64" s="0"/>
      <c r="V64" s="0"/>
      <c r="W64" s="0"/>
      <c r="X64" s="0"/>
      <c r="Y64" s="0"/>
      <c r="Z64" s="0"/>
      <c r="AA64" s="0"/>
      <c r="AB64" s="0"/>
      <c r="AC64" s="96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00" t="s">
        <v>82</v>
      </c>
      <c r="B65" s="101" t="n">
        <f aca="false">(B89*B59)-B53</f>
        <v>55481.212106582</v>
      </c>
      <c r="C65" s="14"/>
      <c r="D65" s="14"/>
      <c r="E65" s="91"/>
      <c r="F65" s="91"/>
      <c r="G65" s="91"/>
      <c r="H65" s="1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0"/>
      <c r="K66" s="96"/>
      <c r="L66" s="0"/>
      <c r="M66" s="0"/>
      <c r="N66" s="0"/>
      <c r="O66" s="0"/>
      <c r="P66" s="0"/>
      <c r="Q66" s="0"/>
      <c r="R66" s="0"/>
      <c r="S66" s="0"/>
      <c r="T66" s="96"/>
      <c r="U66" s="0"/>
      <c r="V66" s="0"/>
      <c r="W66" s="0"/>
      <c r="X66" s="0"/>
      <c r="Y66" s="0"/>
      <c r="Z66" s="0"/>
      <c r="AA66" s="0"/>
      <c r="AB66" s="0"/>
      <c r="AC66" s="96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0.0025</v>
      </c>
      <c r="C67" s="14"/>
      <c r="D67" s="14"/>
      <c r="E67" s="91"/>
      <c r="F67" s="91"/>
      <c r="G67" s="91"/>
      <c r="H67" s="12"/>
      <c r="J67" s="0"/>
      <c r="K67" s="96"/>
      <c r="L67" s="0"/>
      <c r="M67" s="0"/>
      <c r="N67" s="0"/>
      <c r="O67" s="0"/>
      <c r="P67" s="0"/>
      <c r="Q67" s="0"/>
      <c r="R67" s="0"/>
      <c r="S67" s="0"/>
      <c r="T67" s="96"/>
      <c r="U67" s="0"/>
      <c r="V67" s="0"/>
      <c r="W67" s="0"/>
      <c r="X67" s="0"/>
      <c r="Y67" s="0"/>
      <c r="Z67" s="0"/>
      <c r="AA67" s="0"/>
      <c r="AB67" s="0"/>
      <c r="AC67" s="96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00" t="s">
        <v>85</v>
      </c>
      <c r="B68" s="101" t="n">
        <f aca="false">(G158*B67)</f>
        <v>143.81251</v>
      </c>
      <c r="C68" s="14"/>
      <c r="D68" s="14"/>
      <c r="E68" s="91"/>
      <c r="F68" s="91"/>
      <c r="G68" s="91"/>
      <c r="H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4" t="s">
        <v>86</v>
      </c>
      <c r="B69" s="95" t="n">
        <v>0</v>
      </c>
      <c r="C69" s="103"/>
      <c r="D69" s="14"/>
      <c r="E69" s="91"/>
      <c r="F69" s="91"/>
      <c r="G69" s="91"/>
      <c r="H69" s="12"/>
      <c r="J69" s="0"/>
      <c r="K69" s="96"/>
      <c r="L69" s="0"/>
      <c r="M69" s="0"/>
      <c r="N69" s="0"/>
      <c r="O69" s="0"/>
      <c r="P69" s="0"/>
      <c r="Q69" s="0"/>
      <c r="R69" s="0"/>
      <c r="S69" s="0"/>
      <c r="T69" s="96"/>
      <c r="U69" s="0"/>
      <c r="V69" s="0"/>
      <c r="W69" s="0"/>
      <c r="X69" s="0"/>
      <c r="Y69" s="0"/>
      <c r="Z69" s="0"/>
      <c r="AA69" s="0"/>
      <c r="AB69" s="0"/>
      <c r="AC69" s="96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4" t="s">
        <v>87</v>
      </c>
      <c r="B70" s="97" t="n">
        <v>0</v>
      </c>
      <c r="C70" s="103"/>
      <c r="D70" s="14"/>
      <c r="E70" s="91"/>
      <c r="F70" s="91"/>
      <c r="G70" s="91"/>
      <c r="H70" s="12"/>
      <c r="J70" s="0"/>
      <c r="K70" s="96"/>
      <c r="L70" s="0"/>
      <c r="M70" s="0"/>
      <c r="N70" s="0"/>
      <c r="O70" s="0"/>
      <c r="P70" s="0"/>
      <c r="Q70" s="0"/>
      <c r="R70" s="0"/>
      <c r="S70" s="0"/>
      <c r="T70" s="96"/>
      <c r="U70" s="0"/>
      <c r="V70" s="0"/>
      <c r="W70" s="0"/>
      <c r="X70" s="0"/>
      <c r="Y70" s="0"/>
      <c r="Z70" s="0"/>
      <c r="AA70" s="0"/>
      <c r="AB70" s="0"/>
      <c r="AC70" s="96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03"/>
      <c r="D71" s="14"/>
      <c r="E71" s="91"/>
      <c r="F71" s="91"/>
      <c r="G71" s="91"/>
      <c r="H71" s="12"/>
      <c r="J71" s="0"/>
      <c r="K71" s="96"/>
      <c r="L71" s="0"/>
      <c r="M71" s="0"/>
      <c r="N71" s="0"/>
      <c r="O71" s="0"/>
      <c r="P71" s="0"/>
      <c r="Q71" s="0"/>
      <c r="R71" s="0"/>
      <c r="S71" s="0"/>
      <c r="T71" s="96"/>
      <c r="U71" s="0"/>
      <c r="V71" s="0"/>
      <c r="W71" s="0"/>
      <c r="X71" s="0"/>
      <c r="Y71" s="0"/>
      <c r="Z71" s="0"/>
      <c r="AA71" s="0"/>
      <c r="AB71" s="0"/>
      <c r="AC71" s="96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4" t="s">
        <v>89</v>
      </c>
      <c r="B72" s="105" t="n">
        <v>0</v>
      </c>
      <c r="C72" s="103"/>
      <c r="D72" s="14"/>
      <c r="E72" s="91"/>
      <c r="F72" s="91"/>
      <c r="G72" s="91"/>
      <c r="H72" s="1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4" t="s">
        <v>90</v>
      </c>
      <c r="B73" s="93" t="n">
        <v>0</v>
      </c>
      <c r="C73" s="103"/>
      <c r="D73" s="14"/>
      <c r="E73" s="91"/>
      <c r="F73" s="91"/>
      <c r="G73" s="91"/>
      <c r="H73" s="1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00" t="s">
        <v>91</v>
      </c>
      <c r="B74" s="101" t="n">
        <f aca="false">B73*B35</f>
        <v>0</v>
      </c>
      <c r="C74" s="103"/>
      <c r="D74" s="14" t="n">
        <f aca="false">B74+B72</f>
        <v>0</v>
      </c>
      <c r="E74" s="91"/>
      <c r="F74" s="91"/>
      <c r="G74" s="91"/>
      <c r="H74" s="12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4" t="s">
        <v>92</v>
      </c>
      <c r="B75" s="93" t="n">
        <v>0</v>
      </c>
      <c r="C75" s="103"/>
      <c r="D75" s="14" t="n">
        <f aca="false">B75</f>
        <v>0</v>
      </c>
      <c r="E75" s="91"/>
      <c r="F75" s="91"/>
      <c r="G75" s="91"/>
      <c r="H75" s="1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98" t="s">
        <v>93</v>
      </c>
      <c r="B76" s="106" t="n">
        <v>0</v>
      </c>
      <c r="C76" s="103"/>
      <c r="D76" s="14" t="n">
        <f aca="false">B76</f>
        <v>0</v>
      </c>
      <c r="E76" s="91"/>
      <c r="F76" s="14"/>
      <c r="G76" s="91"/>
      <c r="H76" s="1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7" t="s">
        <v>95</v>
      </c>
      <c r="B78" s="12" t="n">
        <f aca="false">B77/B35</f>
        <v>0</v>
      </c>
      <c r="C78" s="14"/>
      <c r="D78" s="14"/>
      <c r="E78" s="91"/>
      <c r="F78" s="91"/>
      <c r="G78" s="91"/>
      <c r="H78" s="1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96</v>
      </c>
      <c r="B79" s="110" t="n">
        <f aca="false">H46</f>
        <v>500.363636363636</v>
      </c>
      <c r="C79" s="14"/>
      <c r="D79" s="14"/>
      <c r="E79" s="91"/>
      <c r="F79" s="91"/>
      <c r="G79" s="91"/>
      <c r="H79" s="1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86" t="s">
        <v>97</v>
      </c>
      <c r="B81" s="89" t="n">
        <f aca="false">K36</f>
        <v>47877.5</v>
      </c>
      <c r="C81" s="14"/>
      <c r="D81" s="14"/>
      <c r="E81" s="91"/>
      <c r="F81" s="91"/>
      <c r="G81" s="91"/>
      <c r="H81" s="1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7" t="s">
        <v>98</v>
      </c>
      <c r="B82" s="12" t="n">
        <f aca="false">IF(A111="YES", D41,0)</f>
        <v>0</v>
      </c>
      <c r="C82" s="14"/>
      <c r="D82" s="14"/>
      <c r="E82" s="91"/>
      <c r="F82" s="91"/>
      <c r="G82" s="91"/>
      <c r="H82" s="1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7" t="s">
        <v>99</v>
      </c>
      <c r="B83" s="111" t="n">
        <f aca="false">B62+B63+B64</f>
        <v>0.137</v>
      </c>
      <c r="C83" s="14"/>
      <c r="D83" s="14"/>
      <c r="E83" s="91"/>
      <c r="F83" s="91"/>
      <c r="G83" s="91"/>
      <c r="H83" s="12"/>
      <c r="J83" s="0"/>
      <c r="K83" s="96"/>
      <c r="L83" s="0"/>
      <c r="M83" s="0"/>
      <c r="N83" s="0"/>
      <c r="O83" s="0"/>
      <c r="P83" s="0"/>
      <c r="Q83" s="0"/>
      <c r="R83" s="0"/>
      <c r="S83" s="0"/>
      <c r="T83" s="96"/>
      <c r="U83" s="0"/>
      <c r="V83" s="0"/>
      <c r="W83" s="0"/>
      <c r="X83" s="0"/>
      <c r="Y83" s="0"/>
      <c r="Z83" s="0"/>
      <c r="AA83" s="0"/>
      <c r="AB83" s="0"/>
      <c r="AC83" s="96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0"/>
      <c r="K84" s="96"/>
      <c r="L84" s="0"/>
      <c r="M84" s="0"/>
      <c r="N84" s="0"/>
      <c r="O84" s="0"/>
      <c r="P84" s="0"/>
      <c r="Q84" s="0"/>
      <c r="R84" s="0"/>
      <c r="S84" s="0"/>
      <c r="T84" s="96"/>
      <c r="U84" s="0"/>
      <c r="V84" s="0"/>
      <c r="W84" s="0"/>
      <c r="X84" s="0"/>
      <c r="Y84" s="0"/>
      <c r="Z84" s="0"/>
      <c r="AA84" s="0"/>
      <c r="AB84" s="0"/>
      <c r="AC84" s="96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33</v>
      </c>
      <c r="C85" s="14"/>
      <c r="D85" s="14"/>
      <c r="E85" s="91"/>
      <c r="F85" s="91"/>
      <c r="G85" s="91"/>
      <c r="H85" s="1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0</v>
      </c>
      <c r="C86" s="14" t="n">
        <f aca="false">(B82/((1+B84)^(B85+1)))</f>
        <v>0</v>
      </c>
      <c r="D86" s="14"/>
      <c r="E86" s="91"/>
      <c r="F86" s="91"/>
      <c r="G86" s="91"/>
      <c r="H86" s="1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27.3675754865307</v>
      </c>
      <c r="C87" s="14" t="n">
        <f aca="false">((1-(1/((1+B84)^B85)))/B84)</f>
        <v>27.3675754865307</v>
      </c>
      <c r="D87" s="14"/>
      <c r="E87" s="91"/>
      <c r="F87" s="91"/>
      <c r="G87" s="91"/>
      <c r="H87" s="1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7" t="s">
        <v>104</v>
      </c>
      <c r="B88" s="12" t="n">
        <f aca="false">B81-B86</f>
        <v>47877.5</v>
      </c>
      <c r="C88" s="14" t="n">
        <f aca="false">B81-B86</f>
        <v>47877.5</v>
      </c>
      <c r="D88" s="14"/>
      <c r="E88" s="91"/>
      <c r="F88" s="91"/>
      <c r="G88" s="91"/>
      <c r="H88" s="12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7" t="s">
        <v>105</v>
      </c>
      <c r="B89" s="12" t="n">
        <f aca="false">(B88/B87)</f>
        <v>1749.42424196705</v>
      </c>
      <c r="C89" s="14" t="n">
        <f aca="false">(B88/B87)</f>
        <v>1749.42424196705</v>
      </c>
      <c r="D89" s="14"/>
      <c r="E89" s="91"/>
      <c r="F89" s="91"/>
      <c r="G89" s="91"/>
      <c r="H89" s="1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57730.9999849127</v>
      </c>
      <c r="C90" s="14"/>
      <c r="D90" s="14"/>
      <c r="E90" s="91"/>
      <c r="F90" s="91"/>
      <c r="G90" s="91"/>
      <c r="H90" s="12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00" t="s">
        <v>108</v>
      </c>
      <c r="B92" s="101" t="n">
        <f aca="false">(B90+B91)</f>
        <v>57730.9999849127</v>
      </c>
      <c r="C92" s="14"/>
      <c r="D92" s="14"/>
      <c r="E92" s="91"/>
      <c r="F92" s="91"/>
      <c r="G92" s="91"/>
      <c r="H92" s="1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109</v>
      </c>
      <c r="B94" s="112" t="str">
        <f aca="false">IF(B38="YES",((H36/B85)*(1+A108)),"0")</f>
        <v>0</v>
      </c>
      <c r="C94" s="14"/>
      <c r="D94" s="14"/>
      <c r="E94" s="91"/>
      <c r="F94" s="91"/>
      <c r="G94" s="91"/>
      <c r="H94" s="12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3" t="s">
        <v>110</v>
      </c>
      <c r="B95" s="114" t="n">
        <f aca="false">B92/(B85)</f>
        <v>1749.42424196705</v>
      </c>
      <c r="C95" s="14"/>
      <c r="D95" s="14"/>
      <c r="E95" s="91"/>
      <c r="F95" s="91"/>
      <c r="G95" s="91"/>
      <c r="H95" s="12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5" t="s">
        <v>62</v>
      </c>
      <c r="B96" s="116" t="n">
        <f aca="false">B94+B95</f>
        <v>1749.42424196705</v>
      </c>
      <c r="C96" s="14"/>
      <c r="D96" s="14"/>
      <c r="E96" s="91"/>
      <c r="F96" s="91"/>
      <c r="G96" s="91"/>
      <c r="H96" s="1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" t="s">
        <v>177</v>
      </c>
      <c r="B100" s="3"/>
      <c r="C100" s="3"/>
      <c r="D100" s="3"/>
      <c r="E100" s="3"/>
      <c r="F100" s="3"/>
      <c r="G100" s="3"/>
      <c r="H100" s="3"/>
      <c r="J100" s="65"/>
      <c r="K100" s="65"/>
      <c r="L100" s="65"/>
      <c r="M100" s="65"/>
      <c r="N100" s="65"/>
      <c r="O100" s="65"/>
      <c r="P100" s="65"/>
      <c r="Q100" s="65"/>
      <c r="R100" s="0"/>
      <c r="S100" s="65"/>
      <c r="T100" s="65"/>
      <c r="U100" s="65"/>
      <c r="V100" s="65"/>
      <c r="W100" s="65"/>
      <c r="X100" s="65"/>
      <c r="Y100" s="65"/>
      <c r="Z100" s="65"/>
      <c r="AA100" s="0"/>
      <c r="AB100" s="65"/>
      <c r="AC100" s="65"/>
      <c r="AD100" s="65"/>
      <c r="AE100" s="65"/>
      <c r="AF100" s="65"/>
      <c r="AG100" s="65"/>
      <c r="AH100" s="65"/>
      <c r="AI100" s="65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65"/>
      <c r="K102" s="65"/>
      <c r="L102" s="65"/>
      <c r="M102" s="65"/>
      <c r="N102" s="65"/>
      <c r="O102" s="65"/>
      <c r="P102" s="65"/>
      <c r="Q102" s="65"/>
      <c r="R102" s="0"/>
      <c r="S102" s="65"/>
      <c r="T102" s="65"/>
      <c r="U102" s="65"/>
      <c r="V102" s="65"/>
      <c r="W102" s="65"/>
      <c r="X102" s="65"/>
      <c r="Y102" s="65"/>
      <c r="Z102" s="65"/>
      <c r="AA102" s="0"/>
      <c r="AB102" s="65"/>
      <c r="AC102" s="65"/>
      <c r="AD102" s="65"/>
      <c r="AE102" s="65"/>
      <c r="AF102" s="65"/>
      <c r="AG102" s="65"/>
      <c r="AH102" s="65"/>
      <c r="AI102" s="65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34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34" t="s">
        <v>115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0"/>
      <c r="K105" s="65"/>
      <c r="L105" s="65"/>
      <c r="M105" s="65"/>
      <c r="N105" s="65"/>
      <c r="O105" s="65"/>
      <c r="P105" s="65"/>
      <c r="Q105" s="0"/>
      <c r="R105" s="0"/>
      <c r="S105" s="0"/>
      <c r="T105" s="65"/>
      <c r="U105" s="65"/>
      <c r="V105" s="65"/>
      <c r="W105" s="65"/>
      <c r="X105" s="65"/>
      <c r="Y105" s="65"/>
      <c r="Z105" s="34" t="s">
        <v>117</v>
      </c>
      <c r="AA105" s="0"/>
      <c r="AB105" s="0"/>
      <c r="AC105" s="65"/>
      <c r="AD105" s="65"/>
      <c r="AE105" s="65"/>
      <c r="AF105" s="65"/>
      <c r="AG105" s="65"/>
      <c r="AH105" s="65"/>
      <c r="AI105" s="0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34" t="s">
        <v>118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34" t="s">
        <v>122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123" t="n">
        <v>0.2</v>
      </c>
      <c r="B108" s="124" t="s">
        <v>123</v>
      </c>
      <c r="C108" s="124"/>
      <c r="D108" s="124"/>
      <c r="E108" s="125" t="n">
        <f aca="false">B83</f>
        <v>0.137</v>
      </c>
      <c r="F108" s="125"/>
      <c r="G108" s="125"/>
      <c r="H108" s="126"/>
      <c r="J108" s="96"/>
      <c r="K108" s="65"/>
      <c r="L108" s="65"/>
      <c r="M108" s="65"/>
      <c r="N108" s="96"/>
      <c r="O108" s="96"/>
      <c r="P108" s="96"/>
      <c r="Q108" s="0"/>
      <c r="R108" s="0"/>
      <c r="S108" s="96"/>
      <c r="T108" s="65"/>
      <c r="U108" s="65"/>
      <c r="V108" s="65"/>
      <c r="W108" s="96"/>
      <c r="X108" s="96"/>
      <c r="Y108" s="96"/>
      <c r="Z108" s="34" t="s">
        <v>124</v>
      </c>
      <c r="AA108" s="0"/>
      <c r="AB108" s="96"/>
      <c r="AC108" s="65"/>
      <c r="AD108" s="65"/>
      <c r="AE108" s="65"/>
      <c r="AF108" s="96"/>
      <c r="AG108" s="96"/>
      <c r="AH108" s="96"/>
      <c r="AI108" s="0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34" t="s">
        <v>126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34" t="s">
        <v>131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127" t="s">
        <v>26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0"/>
      <c r="K111" s="65"/>
      <c r="L111" s="65"/>
      <c r="M111" s="65"/>
      <c r="N111" s="65"/>
      <c r="O111" s="65"/>
      <c r="P111" s="65"/>
      <c r="Q111" s="0"/>
      <c r="R111" s="0"/>
      <c r="S111" s="0"/>
      <c r="T111" s="65"/>
      <c r="U111" s="65"/>
      <c r="V111" s="65"/>
      <c r="W111" s="65"/>
      <c r="X111" s="65"/>
      <c r="Y111" s="65"/>
      <c r="Z111" s="34" t="s">
        <v>132</v>
      </c>
      <c r="AA111" s="0"/>
      <c r="AB111" s="0"/>
      <c r="AC111" s="65"/>
      <c r="AD111" s="65"/>
      <c r="AE111" s="65"/>
      <c r="AF111" s="65"/>
      <c r="AG111" s="65"/>
      <c r="AH111" s="65"/>
      <c r="AI111" s="0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0"/>
      <c r="K114" s="65"/>
      <c r="L114" s="65"/>
      <c r="M114" s="65"/>
      <c r="N114" s="65"/>
      <c r="O114" s="65"/>
      <c r="P114" s="65"/>
      <c r="Q114" s="0"/>
      <c r="R114" s="0"/>
      <c r="S114" s="0"/>
      <c r="T114" s="65"/>
      <c r="U114" s="65"/>
      <c r="V114" s="65"/>
      <c r="W114" s="65"/>
      <c r="X114" s="65"/>
      <c r="Y114" s="65"/>
      <c r="Z114" s="0"/>
      <c r="AA114" s="0"/>
      <c r="AB114" s="0"/>
      <c r="AC114" s="65"/>
      <c r="AD114" s="65"/>
      <c r="AE114" s="65"/>
      <c r="AF114" s="65"/>
      <c r="AG114" s="65"/>
      <c r="AH114" s="65"/>
      <c r="AI114" s="0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65"/>
      <c r="K117" s="65"/>
      <c r="L117" s="65"/>
      <c r="M117" s="65"/>
      <c r="N117" s="65"/>
      <c r="O117" s="65"/>
      <c r="P117" s="65"/>
      <c r="Q117" s="65"/>
      <c r="R117" s="0"/>
      <c r="S117" s="65"/>
      <c r="T117" s="65"/>
      <c r="U117" s="65"/>
      <c r="V117" s="65"/>
      <c r="W117" s="65"/>
      <c r="X117" s="65"/>
      <c r="Y117" s="65"/>
      <c r="Z117" s="65"/>
      <c r="AA117" s="0"/>
      <c r="AB117" s="65"/>
      <c r="AC117" s="65"/>
      <c r="AD117" s="65"/>
      <c r="AE117" s="65"/>
      <c r="AF117" s="65"/>
      <c r="AG117" s="65"/>
      <c r="AH117" s="65"/>
      <c r="AI117" s="65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0"/>
      <c r="K119" s="65"/>
      <c r="L119" s="65"/>
      <c r="M119" s="65"/>
      <c r="N119" s="65"/>
      <c r="O119" s="65"/>
      <c r="P119" s="65"/>
      <c r="Q119" s="0"/>
      <c r="R119" s="0"/>
      <c r="S119" s="0"/>
      <c r="T119" s="65"/>
      <c r="U119" s="65"/>
      <c r="V119" s="65"/>
      <c r="W119" s="65"/>
      <c r="X119" s="65"/>
      <c r="Y119" s="65"/>
      <c r="Z119" s="0"/>
      <c r="AA119" s="0"/>
      <c r="AB119" s="0"/>
      <c r="AC119" s="65"/>
      <c r="AD119" s="65"/>
      <c r="AE119" s="65"/>
      <c r="AF119" s="65"/>
      <c r="AG119" s="65"/>
      <c r="AH119" s="65"/>
      <c r="AI119" s="0"/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v>0</v>
      </c>
      <c r="H121" s="13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0"/>
      <c r="K122" s="96"/>
      <c r="L122" s="96"/>
      <c r="M122" s="96"/>
      <c r="N122" s="96"/>
      <c r="O122" s="96"/>
      <c r="P122" s="96"/>
      <c r="Q122" s="96"/>
      <c r="R122" s="0"/>
      <c r="S122" s="0"/>
      <c r="T122" s="96"/>
      <c r="U122" s="96"/>
      <c r="V122" s="96"/>
      <c r="W122" s="96"/>
      <c r="X122" s="96"/>
      <c r="Y122" s="96"/>
      <c r="Z122" s="96"/>
      <c r="AA122" s="0"/>
      <c r="AB122" s="0"/>
      <c r="AC122" s="96"/>
      <c r="AD122" s="96"/>
      <c r="AE122" s="96"/>
      <c r="AF122" s="96"/>
      <c r="AG122" s="96"/>
      <c r="AH122" s="96"/>
      <c r="AI122" s="96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0</v>
      </c>
      <c r="H125" s="10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0"/>
      <c r="K130" s="65"/>
      <c r="L130" s="65"/>
      <c r="M130" s="65"/>
      <c r="N130" s="65"/>
      <c r="O130" s="65"/>
      <c r="P130" s="65"/>
      <c r="Q130" s="0"/>
      <c r="R130" s="0"/>
      <c r="S130" s="0"/>
      <c r="T130" s="65"/>
      <c r="U130" s="65"/>
      <c r="V130" s="65"/>
      <c r="W130" s="65"/>
      <c r="X130" s="65"/>
      <c r="Y130" s="65"/>
      <c r="Z130" s="0"/>
      <c r="AA130" s="0"/>
      <c r="AB130" s="0"/>
      <c r="AC130" s="65"/>
      <c r="AD130" s="65"/>
      <c r="AE130" s="65"/>
      <c r="AF130" s="65"/>
      <c r="AG130" s="65"/>
      <c r="AH130" s="65"/>
      <c r="AI130" s="0"/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0"/>
      <c r="K131" s="65"/>
      <c r="L131" s="65"/>
      <c r="M131" s="96"/>
      <c r="N131" s="96"/>
      <c r="O131" s="65"/>
      <c r="P131" s="65"/>
      <c r="Q131" s="0"/>
      <c r="R131" s="0"/>
      <c r="S131" s="0"/>
      <c r="T131" s="65"/>
      <c r="U131" s="65"/>
      <c r="V131" s="96"/>
      <c r="W131" s="96"/>
      <c r="X131" s="65"/>
      <c r="Y131" s="65"/>
      <c r="Z131" s="0"/>
      <c r="AA131" s="0"/>
      <c r="AB131" s="0"/>
      <c r="AC131" s="65"/>
      <c r="AD131" s="65"/>
      <c r="AE131" s="96"/>
      <c r="AF131" s="96"/>
      <c r="AG131" s="65"/>
      <c r="AH131" s="65"/>
      <c r="AI131" s="0"/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0"/>
      <c r="K132" s="65"/>
      <c r="L132" s="65"/>
      <c r="M132" s="96"/>
      <c r="N132" s="96"/>
      <c r="O132" s="65"/>
      <c r="P132" s="65"/>
      <c r="Q132" s="0"/>
      <c r="R132" s="0"/>
      <c r="S132" s="0"/>
      <c r="T132" s="65"/>
      <c r="U132" s="65"/>
      <c r="V132" s="96"/>
      <c r="W132" s="96"/>
      <c r="X132" s="65"/>
      <c r="Y132" s="65"/>
      <c r="Z132" s="0"/>
      <c r="AA132" s="0"/>
      <c r="AB132" s="0"/>
      <c r="AC132" s="65"/>
      <c r="AD132" s="65"/>
      <c r="AE132" s="96"/>
      <c r="AF132" s="96"/>
      <c r="AG132" s="65"/>
      <c r="AH132" s="65"/>
      <c r="AI132" s="0"/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0"/>
      <c r="K133" s="65"/>
      <c r="L133" s="65"/>
      <c r="M133" s="96"/>
      <c r="N133" s="96"/>
      <c r="O133" s="65"/>
      <c r="P133" s="65"/>
      <c r="Q133" s="0"/>
      <c r="R133" s="0"/>
      <c r="S133" s="0"/>
      <c r="T133" s="65"/>
      <c r="U133" s="65"/>
      <c r="V133" s="96"/>
      <c r="W133" s="96"/>
      <c r="X133" s="65"/>
      <c r="Y133" s="65"/>
      <c r="Z133" s="0"/>
      <c r="AA133" s="0"/>
      <c r="AB133" s="0"/>
      <c r="AC133" s="65"/>
      <c r="AD133" s="65"/>
      <c r="AE133" s="96"/>
      <c r="AF133" s="96"/>
      <c r="AG133" s="65"/>
      <c r="AH133" s="65"/>
      <c r="AI133" s="0"/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46854.17</v>
      </c>
      <c r="J135" s="65"/>
      <c r="K135" s="65"/>
      <c r="L135" s="65"/>
      <c r="M135" s="65"/>
      <c r="N135" s="65"/>
      <c r="O135" s="65"/>
      <c r="P135" s="0"/>
      <c r="Q135" s="0"/>
      <c r="R135" s="0"/>
      <c r="S135" s="65"/>
      <c r="T135" s="65"/>
      <c r="U135" s="65"/>
      <c r="V135" s="65"/>
      <c r="W135" s="65"/>
      <c r="X135" s="65"/>
      <c r="Y135" s="0"/>
      <c r="Z135" s="0"/>
      <c r="AA135" s="0"/>
      <c r="AB135" s="65"/>
      <c r="AC135" s="65"/>
      <c r="AD135" s="65"/>
      <c r="AE135" s="65"/>
      <c r="AF135" s="65"/>
      <c r="AG135" s="65"/>
      <c r="AH135" s="0"/>
      <c r="AI135" s="0"/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65"/>
      <c r="K136" s="65"/>
      <c r="L136" s="65"/>
      <c r="M136" s="65"/>
      <c r="N136" s="65"/>
      <c r="O136" s="65"/>
      <c r="P136" s="0"/>
      <c r="Q136" s="0"/>
      <c r="R136" s="0"/>
      <c r="S136" s="65"/>
      <c r="T136" s="65"/>
      <c r="U136" s="65"/>
      <c r="V136" s="65"/>
      <c r="W136" s="65"/>
      <c r="X136" s="65"/>
      <c r="Y136" s="0"/>
      <c r="Z136" s="0"/>
      <c r="AA136" s="0"/>
      <c r="AB136" s="65"/>
      <c r="AC136" s="65"/>
      <c r="AD136" s="65"/>
      <c r="AE136" s="65"/>
      <c r="AF136" s="65"/>
      <c r="AG136" s="65"/>
      <c r="AH136" s="0"/>
      <c r="AI136" s="0"/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9480.834</v>
      </c>
      <c r="J137" s="65"/>
      <c r="K137" s="65"/>
      <c r="L137" s="65"/>
      <c r="M137" s="65"/>
      <c r="N137" s="65"/>
      <c r="O137" s="65"/>
      <c r="P137" s="0"/>
      <c r="Q137" s="0"/>
      <c r="R137" s="0"/>
      <c r="S137" s="65"/>
      <c r="T137" s="65"/>
      <c r="U137" s="65"/>
      <c r="V137" s="65"/>
      <c r="W137" s="65"/>
      <c r="X137" s="65"/>
      <c r="Y137" s="0"/>
      <c r="Z137" s="0"/>
      <c r="AA137" s="0"/>
      <c r="AB137" s="65"/>
      <c r="AC137" s="65"/>
      <c r="AD137" s="65"/>
      <c r="AE137" s="65"/>
      <c r="AF137" s="65"/>
      <c r="AG137" s="65"/>
      <c r="AH137" s="0"/>
      <c r="AI137" s="0"/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65"/>
      <c r="K138" s="65"/>
      <c r="L138" s="65"/>
      <c r="M138" s="65"/>
      <c r="N138" s="65"/>
      <c r="O138" s="65"/>
      <c r="P138" s="0"/>
      <c r="Q138" s="0"/>
      <c r="R138" s="0"/>
      <c r="S138" s="65"/>
      <c r="T138" s="65"/>
      <c r="U138" s="65"/>
      <c r="V138" s="65"/>
      <c r="W138" s="65"/>
      <c r="X138" s="65"/>
      <c r="Y138" s="0"/>
      <c r="Z138" s="0"/>
      <c r="AA138" s="0"/>
      <c r="AB138" s="65"/>
      <c r="AC138" s="65"/>
      <c r="AD138" s="65"/>
      <c r="AE138" s="65"/>
      <c r="AF138" s="65"/>
      <c r="AG138" s="65"/>
      <c r="AH138" s="0"/>
      <c r="AI138" s="0"/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65"/>
      <c r="K139" s="65"/>
      <c r="L139" s="65"/>
      <c r="M139" s="65"/>
      <c r="N139" s="65"/>
      <c r="O139" s="65"/>
      <c r="P139" s="0"/>
      <c r="Q139" s="0"/>
      <c r="R139" s="0"/>
      <c r="S139" s="65"/>
      <c r="T139" s="65"/>
      <c r="U139" s="65"/>
      <c r="V139" s="65"/>
      <c r="W139" s="65"/>
      <c r="X139" s="65"/>
      <c r="Y139" s="0"/>
      <c r="Z139" s="0"/>
      <c r="AA139" s="0"/>
      <c r="AB139" s="65"/>
      <c r="AC139" s="65"/>
      <c r="AD139" s="65"/>
      <c r="AE139" s="65"/>
      <c r="AF139" s="65"/>
      <c r="AG139" s="65"/>
      <c r="AH139" s="0"/>
      <c r="AI139" s="0"/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65"/>
      <c r="K140" s="65"/>
      <c r="L140" s="65"/>
      <c r="M140" s="65"/>
      <c r="N140" s="65"/>
      <c r="O140" s="65"/>
      <c r="P140" s="0"/>
      <c r="Q140" s="0"/>
      <c r="R140" s="0"/>
      <c r="S140" s="65"/>
      <c r="T140" s="65"/>
      <c r="U140" s="65"/>
      <c r="V140" s="65"/>
      <c r="W140" s="65"/>
      <c r="X140" s="65"/>
      <c r="Y140" s="0"/>
      <c r="Z140" s="0"/>
      <c r="AA140" s="0"/>
      <c r="AB140" s="65"/>
      <c r="AC140" s="65"/>
      <c r="AD140" s="65"/>
      <c r="AE140" s="65"/>
      <c r="AF140" s="65"/>
      <c r="AG140" s="65"/>
      <c r="AH140" s="0"/>
      <c r="AI140" s="0"/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57525.004</v>
      </c>
      <c r="J141" s="65"/>
      <c r="K141" s="65"/>
      <c r="L141" s="65"/>
      <c r="M141" s="65"/>
      <c r="N141" s="65"/>
      <c r="O141" s="65"/>
      <c r="P141" s="0"/>
      <c r="Q141" s="0"/>
      <c r="R141" s="0"/>
      <c r="S141" s="65"/>
      <c r="T141" s="65"/>
      <c r="U141" s="65"/>
      <c r="V141" s="65"/>
      <c r="W141" s="65"/>
      <c r="X141" s="65"/>
      <c r="Y141" s="0"/>
      <c r="Z141" s="0"/>
      <c r="AA141" s="0"/>
      <c r="AB141" s="65"/>
      <c r="AC141" s="65"/>
      <c r="AD141" s="65"/>
      <c r="AE141" s="65"/>
      <c r="AF141" s="65"/>
      <c r="AG141" s="65"/>
      <c r="AH141" s="0"/>
      <c r="AI141" s="0"/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65"/>
      <c r="K142" s="65"/>
      <c r="L142" s="65"/>
      <c r="M142" s="65"/>
      <c r="N142" s="65"/>
      <c r="O142" s="65"/>
      <c r="P142" s="0"/>
      <c r="Q142" s="0"/>
      <c r="R142" s="0"/>
      <c r="S142" s="65"/>
      <c r="T142" s="65"/>
      <c r="U142" s="65"/>
      <c r="V142" s="65"/>
      <c r="W142" s="65"/>
      <c r="X142" s="65"/>
      <c r="Y142" s="0"/>
      <c r="Z142" s="0"/>
      <c r="AA142" s="0"/>
      <c r="AB142" s="65"/>
      <c r="AC142" s="65"/>
      <c r="AD142" s="65"/>
      <c r="AE142" s="65"/>
      <c r="AF142" s="65"/>
      <c r="AG142" s="65"/>
      <c r="AH142" s="0"/>
      <c r="AI142" s="0"/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65"/>
      <c r="K143" s="65"/>
      <c r="L143" s="65"/>
      <c r="M143" s="65"/>
      <c r="N143" s="65"/>
      <c r="O143" s="65"/>
      <c r="P143" s="0"/>
      <c r="Q143" s="0"/>
      <c r="R143" s="0"/>
      <c r="S143" s="65"/>
      <c r="T143" s="65"/>
      <c r="U143" s="65"/>
      <c r="V143" s="65"/>
      <c r="W143" s="65"/>
      <c r="X143" s="65"/>
      <c r="Y143" s="0"/>
      <c r="Z143" s="0"/>
      <c r="AA143" s="0"/>
      <c r="AB143" s="65"/>
      <c r="AC143" s="65"/>
      <c r="AD143" s="65"/>
      <c r="AE143" s="65"/>
      <c r="AF143" s="65"/>
      <c r="AG143" s="65"/>
      <c r="AH143" s="0"/>
      <c r="AI143" s="0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0"/>
      <c r="K144" s="65"/>
      <c r="L144" s="65"/>
      <c r="M144" s="65"/>
      <c r="N144" s="65"/>
      <c r="O144" s="65"/>
      <c r="P144" s="0"/>
      <c r="Q144" s="0"/>
      <c r="R144" s="0"/>
      <c r="S144" s="0"/>
      <c r="T144" s="65"/>
      <c r="U144" s="65"/>
      <c r="V144" s="65"/>
      <c r="W144" s="65"/>
      <c r="X144" s="65"/>
      <c r="Y144" s="0"/>
      <c r="Z144" s="0"/>
      <c r="AA144" s="0"/>
      <c r="AB144" s="0"/>
      <c r="AC144" s="65"/>
      <c r="AD144" s="65"/>
      <c r="AE144" s="65"/>
      <c r="AF144" s="65"/>
      <c r="AG144" s="65"/>
      <c r="AH144" s="0"/>
      <c r="AI144" s="0"/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0"/>
      <c r="K145" s="65"/>
      <c r="L145" s="65"/>
      <c r="M145" s="65"/>
      <c r="N145" s="65"/>
      <c r="O145" s="65"/>
      <c r="P145" s="0"/>
      <c r="Q145" s="0"/>
      <c r="R145" s="0"/>
      <c r="S145" s="0"/>
      <c r="T145" s="65"/>
      <c r="U145" s="65"/>
      <c r="V145" s="65"/>
      <c r="W145" s="65"/>
      <c r="X145" s="65"/>
      <c r="Y145" s="0"/>
      <c r="Z145" s="0"/>
      <c r="AA145" s="0"/>
      <c r="AB145" s="0"/>
      <c r="AC145" s="65"/>
      <c r="AD145" s="65"/>
      <c r="AE145" s="65"/>
      <c r="AF145" s="65"/>
      <c r="AG145" s="65"/>
      <c r="AH145" s="0"/>
      <c r="AI145" s="0"/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0"/>
      <c r="K146" s="65"/>
      <c r="L146" s="65"/>
      <c r="M146" s="65"/>
      <c r="N146" s="65"/>
      <c r="O146" s="65"/>
      <c r="P146" s="0"/>
      <c r="Q146" s="0"/>
      <c r="R146" s="0"/>
      <c r="S146" s="0"/>
      <c r="T146" s="65"/>
      <c r="U146" s="65"/>
      <c r="V146" s="65"/>
      <c r="W146" s="65"/>
      <c r="X146" s="65"/>
      <c r="Y146" s="0"/>
      <c r="Z146" s="0"/>
      <c r="AA146" s="0"/>
      <c r="AB146" s="0"/>
      <c r="AC146" s="65"/>
      <c r="AD146" s="65"/>
      <c r="AE146" s="65"/>
      <c r="AF146" s="65"/>
      <c r="AG146" s="65"/>
      <c r="AH146" s="0"/>
      <c r="AI146" s="0"/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57525.004</v>
      </c>
      <c r="J147" s="65"/>
      <c r="K147" s="65"/>
      <c r="L147" s="65"/>
      <c r="M147" s="65"/>
      <c r="N147" s="65"/>
      <c r="O147" s="65"/>
      <c r="P147" s="0"/>
      <c r="Q147" s="0"/>
      <c r="R147" s="0"/>
      <c r="S147" s="65"/>
      <c r="T147" s="65"/>
      <c r="U147" s="65"/>
      <c r="V147" s="65"/>
      <c r="W147" s="65"/>
      <c r="X147" s="65"/>
      <c r="Y147" s="0"/>
      <c r="Z147" s="0"/>
      <c r="AA147" s="0"/>
      <c r="AB147" s="65"/>
      <c r="AC147" s="65"/>
      <c r="AD147" s="65"/>
      <c r="AE147" s="65"/>
      <c r="AF147" s="65"/>
      <c r="AG147" s="65"/>
      <c r="AH147" s="0"/>
      <c r="AI147" s="0"/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-833.33</v>
      </c>
      <c r="I148" s="1" t="n">
        <f aca="false">(H148-G81)/1.2</f>
        <v>-694.441666666667</v>
      </c>
      <c r="J148" s="65"/>
      <c r="K148" s="65"/>
      <c r="L148" s="65"/>
      <c r="M148" s="65"/>
      <c r="N148" s="65"/>
      <c r="O148" s="65"/>
      <c r="P148" s="0"/>
      <c r="Q148" s="0"/>
      <c r="R148" s="0"/>
      <c r="S148" s="65"/>
      <c r="T148" s="65"/>
      <c r="U148" s="65"/>
      <c r="V148" s="65"/>
      <c r="W148" s="65"/>
      <c r="X148" s="65"/>
      <c r="Y148" s="0"/>
      <c r="Z148" s="0"/>
      <c r="AA148" s="0"/>
      <c r="AB148" s="65"/>
      <c r="AC148" s="65"/>
      <c r="AD148" s="65"/>
      <c r="AE148" s="65"/>
      <c r="AF148" s="65"/>
      <c r="AG148" s="65"/>
      <c r="AH148" s="0"/>
      <c r="AI148" s="0"/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65"/>
      <c r="K150" s="65"/>
      <c r="L150" s="65"/>
      <c r="M150" s="65"/>
      <c r="N150" s="65"/>
      <c r="O150" s="65"/>
      <c r="P150" s="65"/>
      <c r="Q150" s="65"/>
      <c r="R150" s="0"/>
      <c r="S150" s="65"/>
      <c r="T150" s="65"/>
      <c r="U150" s="65"/>
      <c r="V150" s="65"/>
      <c r="W150" s="65"/>
      <c r="X150" s="65"/>
      <c r="Y150" s="65"/>
      <c r="Z150" s="65"/>
      <c r="AA150" s="0"/>
      <c r="AB150" s="65"/>
      <c r="AC150" s="65"/>
      <c r="AD150" s="65"/>
      <c r="AE150" s="65"/>
      <c r="AF150" s="65"/>
      <c r="AG150" s="65"/>
      <c r="AH150" s="65"/>
      <c r="AI150" s="65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0"/>
      <c r="K152" s="0"/>
      <c r="L152" s="0"/>
      <c r="M152" s="0"/>
      <c r="N152" s="65"/>
      <c r="O152" s="65"/>
      <c r="P152" s="65"/>
      <c r="Q152" s="65"/>
      <c r="R152" s="0"/>
      <c r="S152" s="0"/>
      <c r="T152" s="0"/>
      <c r="U152" s="0"/>
      <c r="V152" s="0"/>
      <c r="W152" s="65"/>
      <c r="X152" s="65"/>
      <c r="Y152" s="65"/>
      <c r="Z152" s="65"/>
      <c r="AA152" s="0"/>
      <c r="AB152" s="0"/>
      <c r="AC152" s="0"/>
      <c r="AD152" s="0"/>
      <c r="AE152" s="0"/>
      <c r="AF152" s="65"/>
      <c r="AG152" s="65"/>
      <c r="AH152" s="65"/>
      <c r="AI152" s="65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0"/>
      <c r="K153" s="0"/>
      <c r="L153" s="0"/>
      <c r="M153" s="0"/>
      <c r="N153" s="65"/>
      <c r="O153" s="65"/>
      <c r="P153" s="65"/>
      <c r="Q153" s="65"/>
      <c r="R153" s="0"/>
      <c r="S153" s="0"/>
      <c r="T153" s="0"/>
      <c r="U153" s="0"/>
      <c r="V153" s="0"/>
      <c r="W153" s="65"/>
      <c r="X153" s="65"/>
      <c r="Y153" s="65"/>
      <c r="Z153" s="65"/>
      <c r="AA153" s="0"/>
      <c r="AB153" s="0"/>
      <c r="AC153" s="0"/>
      <c r="AD153" s="0"/>
      <c r="AE153" s="0"/>
      <c r="AF153" s="65"/>
      <c r="AG153" s="65"/>
      <c r="AH153" s="65"/>
      <c r="AI153" s="65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0"/>
      <c r="K154" s="0"/>
      <c r="L154" s="0"/>
      <c r="M154" s="0"/>
      <c r="N154" s="65"/>
      <c r="O154" s="65"/>
      <c r="P154" s="65"/>
      <c r="Q154" s="65"/>
      <c r="R154" s="0"/>
      <c r="S154" s="0"/>
      <c r="T154" s="0"/>
      <c r="U154" s="0"/>
      <c r="V154" s="0"/>
      <c r="W154" s="65"/>
      <c r="X154" s="65"/>
      <c r="Y154" s="65"/>
      <c r="Z154" s="65"/>
      <c r="AA154" s="0"/>
      <c r="AB154" s="0"/>
      <c r="AC154" s="0"/>
      <c r="AD154" s="0"/>
      <c r="AE154" s="0"/>
      <c r="AF154" s="65"/>
      <c r="AG154" s="65"/>
      <c r="AH154" s="65"/>
      <c r="AI154" s="65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0"/>
      <c r="K155" s="0"/>
      <c r="L155" s="0"/>
      <c r="M155" s="0"/>
      <c r="N155" s="65"/>
      <c r="O155" s="65"/>
      <c r="P155" s="0"/>
      <c r="Q155" s="0"/>
      <c r="R155" s="0"/>
      <c r="S155" s="0"/>
      <c r="T155" s="0"/>
      <c r="U155" s="0"/>
      <c r="V155" s="0"/>
      <c r="W155" s="65"/>
      <c r="X155" s="65"/>
      <c r="Y155" s="0"/>
      <c r="Z155" s="0"/>
      <c r="AA155" s="0"/>
      <c r="AB155" s="0"/>
      <c r="AC155" s="0"/>
      <c r="AD155" s="0"/>
      <c r="AE155" s="0"/>
      <c r="AF155" s="65"/>
      <c r="AG155" s="65"/>
      <c r="AH155" s="0"/>
      <c r="AI155" s="0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0"/>
      <c r="K157" s="0"/>
      <c r="L157" s="0"/>
      <c r="M157" s="0"/>
      <c r="N157" s="0"/>
      <c r="O157" s="0"/>
      <c r="P157" s="65"/>
      <c r="Q157" s="65"/>
      <c r="R157" s="0"/>
      <c r="S157" s="0"/>
      <c r="T157" s="0"/>
      <c r="U157" s="0"/>
      <c r="V157" s="0"/>
      <c r="W157" s="0"/>
      <c r="X157" s="0"/>
      <c r="Y157" s="65"/>
      <c r="Z157" s="65"/>
      <c r="AA157" s="0"/>
      <c r="AB157" s="0"/>
      <c r="AC157" s="0"/>
      <c r="AD157" s="0"/>
      <c r="AE157" s="0"/>
      <c r="AF157" s="0"/>
      <c r="AG157" s="0"/>
      <c r="AH157" s="65"/>
      <c r="AI157" s="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57525.004</v>
      </c>
      <c r="H158" s="167"/>
      <c r="J158" s="0"/>
      <c r="K158" s="0"/>
      <c r="L158" s="0"/>
      <c r="M158" s="0"/>
      <c r="N158" s="0"/>
      <c r="O158" s="0"/>
      <c r="P158" s="65"/>
      <c r="Q158" s="65"/>
      <c r="R158" s="0"/>
      <c r="S158" s="0"/>
      <c r="T158" s="0"/>
      <c r="U158" s="0"/>
      <c r="V158" s="0"/>
      <c r="W158" s="0"/>
      <c r="X158" s="0"/>
      <c r="Y158" s="65"/>
      <c r="Z158" s="65"/>
      <c r="AA158" s="0"/>
      <c r="AB158" s="0"/>
      <c r="AC158" s="0"/>
      <c r="AD158" s="0"/>
      <c r="AE158" s="0"/>
      <c r="AF158" s="0"/>
      <c r="AG158" s="0"/>
      <c r="AH158" s="65"/>
      <c r="AI158" s="65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0"/>
      <c r="K159" s="0"/>
      <c r="L159" s="0"/>
      <c r="M159" s="0"/>
      <c r="N159" s="0"/>
      <c r="O159" s="0"/>
      <c r="P159" s="65"/>
      <c r="Q159" s="65"/>
      <c r="R159" s="0"/>
      <c r="S159" s="0"/>
      <c r="T159" s="0"/>
      <c r="U159" s="0"/>
      <c r="V159" s="0"/>
      <c r="W159" s="0"/>
      <c r="X159" s="0"/>
      <c r="Y159" s="65"/>
      <c r="Z159" s="65"/>
      <c r="AA159" s="0"/>
      <c r="AB159" s="0"/>
      <c r="AC159" s="0"/>
      <c r="AD159" s="0"/>
      <c r="AE159" s="0"/>
      <c r="AF159" s="0"/>
      <c r="AG159" s="0"/>
      <c r="AH159" s="65"/>
      <c r="AI159" s="65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65"/>
      <c r="K162" s="65"/>
      <c r="L162" s="65"/>
      <c r="M162" s="65"/>
      <c r="N162" s="65"/>
      <c r="O162" s="65"/>
      <c r="P162" s="65"/>
      <c r="Q162" s="65"/>
      <c r="R162" s="0"/>
      <c r="S162" s="65"/>
      <c r="T162" s="65"/>
      <c r="U162" s="65"/>
      <c r="V162" s="65"/>
      <c r="W162" s="65"/>
      <c r="X162" s="65"/>
      <c r="Y162" s="65"/>
      <c r="Z162" s="65"/>
      <c r="AA162" s="0"/>
      <c r="AB162" s="65"/>
      <c r="AC162" s="65"/>
      <c r="AD162" s="65"/>
      <c r="AE162" s="65"/>
      <c r="AF162" s="65"/>
      <c r="AG162" s="65"/>
      <c r="AH162" s="65"/>
      <c r="AI162" s="65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0"/>
      <c r="K164" s="65"/>
      <c r="L164" s="65"/>
      <c r="M164" s="0"/>
      <c r="N164" s="0"/>
      <c r="O164" s="0"/>
      <c r="P164" s="0"/>
      <c r="Q164" s="0"/>
      <c r="R164" s="0"/>
      <c r="S164" s="0"/>
      <c r="T164" s="65"/>
      <c r="U164" s="65"/>
      <c r="V164" s="0"/>
      <c r="W164" s="0"/>
      <c r="X164" s="0"/>
      <c r="Y164" s="0"/>
      <c r="Z164" s="0"/>
      <c r="AA164" s="0"/>
      <c r="AB164" s="0"/>
      <c r="AC164" s="65"/>
      <c r="AD164" s="6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2" t="n">
        <f aca="false">B95</f>
        <v>1749.42424196705</v>
      </c>
      <c r="B167" s="173" t="str">
        <f aca="false">B94</f>
        <v>0</v>
      </c>
      <c r="C167" s="171"/>
      <c r="D167" s="171"/>
      <c r="E167" s="173" t="n">
        <f aca="false">B96</f>
        <v>1749.42424196705</v>
      </c>
      <c r="F167" s="31"/>
      <c r="G167" s="31"/>
      <c r="H167" s="1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174" t="n">
        <f aca="false">K29</f>
        <v>0</v>
      </c>
      <c r="B170" s="175" t="n">
        <f aca="false">K30</f>
        <v>0</v>
      </c>
      <c r="C170" s="176"/>
      <c r="D170" s="31"/>
      <c r="E170" s="177" t="n">
        <f aca="false">IF(A111="YES", A40, 0)</f>
        <v>0</v>
      </c>
      <c r="F170" s="31"/>
      <c r="G170" s="31"/>
      <c r="H170" s="1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78" t="n">
        <f aca="false">H141-H137-H139-H140</f>
        <v>47404.17</v>
      </c>
      <c r="B173" s="23" t="n">
        <f aca="false">H137</f>
        <v>9480.834</v>
      </c>
      <c r="C173" s="179"/>
      <c r="D173" s="31"/>
      <c r="E173" s="177" t="n">
        <f aca="false">H139+H140</f>
        <v>640</v>
      </c>
      <c r="F173" s="31"/>
      <c r="G173" s="31"/>
      <c r="H173" s="12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78" t="n">
        <f aca="false">H147</f>
        <v>57525.004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57525.004</v>
      </c>
      <c r="F179" s="31"/>
      <c r="G179" s="31"/>
      <c r="H179" s="18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22" t="n">
        <v>500</v>
      </c>
      <c r="B182" s="23" t="str">
        <f aca="false">B114</f>
        <v>199.99</v>
      </c>
      <c r="C182" s="23"/>
      <c r="D182" s="31"/>
      <c r="E182" s="23" t="n">
        <f aca="false">E179+A182+B182+A185</f>
        <v>58234.994</v>
      </c>
      <c r="F182" s="31"/>
      <c r="G182" s="31"/>
      <c r="H182" s="18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7" t="n">
        <v>3</v>
      </c>
      <c r="B183" s="14"/>
      <c r="C183" s="14"/>
      <c r="D183" s="31"/>
      <c r="E183" s="14"/>
      <c r="F183" s="31"/>
      <c r="G183" s="31"/>
      <c r="H183" s="12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10</v>
      </c>
      <c r="F185" s="31"/>
      <c r="G185" s="31"/>
      <c r="H185" s="18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143.81251</v>
      </c>
      <c r="C188" s="14"/>
      <c r="D188" s="14"/>
      <c r="E188" s="23" t="n">
        <f aca="false">(E40*A108)*0.1</f>
        <v>0</v>
      </c>
      <c r="F188" s="31"/>
      <c r="G188" s="31"/>
      <c r="H188" s="12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243.80251</v>
      </c>
      <c r="C191" s="14"/>
      <c r="D191" s="14"/>
      <c r="E191" s="23" t="n">
        <f aca="false">H148</f>
        <v>-833.33</v>
      </c>
      <c r="F191" s="31"/>
      <c r="G191" s="31"/>
      <c r="H191" s="12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65"/>
      <c r="K195" s="65"/>
      <c r="L195" s="65"/>
      <c r="M195" s="65"/>
      <c r="N195" s="0"/>
      <c r="O195" s="0"/>
      <c r="P195" s="0"/>
      <c r="Q195" s="0"/>
      <c r="R195" s="0"/>
      <c r="S195" s="65"/>
      <c r="T195" s="65"/>
      <c r="U195" s="65"/>
      <c r="V195" s="65"/>
      <c r="W195" s="0"/>
      <c r="X195" s="0"/>
      <c r="Y195" s="0"/>
      <c r="Z195" s="0"/>
      <c r="AA195" s="0"/>
      <c r="AB195" s="65"/>
      <c r="AC195" s="65"/>
      <c r="AD195" s="65"/>
      <c r="AE195" s="65"/>
      <c r="AF195" s="0"/>
      <c r="AG195" s="0"/>
      <c r="AH195" s="0"/>
      <c r="AI195" s="0"/>
    </row>
    <row r="196" customFormat="false" ht="19.5" hidden="false" customHeight="true" outlineLevel="0" collapsed="false">
      <c r="A196" s="186"/>
      <c r="B196" s="188" t="n">
        <f aca="false">K30</f>
        <v>0</v>
      </c>
      <c r="C196" s="188"/>
      <c r="D196" s="188"/>
      <c r="E196" s="31"/>
      <c r="F196" s="31"/>
      <c r="G196" s="31"/>
      <c r="H196" s="12"/>
      <c r="J196" s="65"/>
      <c r="K196" s="65"/>
      <c r="L196" s="65"/>
      <c r="M196" s="65"/>
      <c r="N196" s="0"/>
      <c r="O196" s="0"/>
      <c r="P196" s="0"/>
      <c r="Q196" s="0"/>
      <c r="R196" s="0"/>
      <c r="S196" s="65"/>
      <c r="T196" s="65"/>
      <c r="U196" s="65"/>
      <c r="V196" s="65"/>
      <c r="W196" s="0"/>
      <c r="X196" s="0"/>
      <c r="Y196" s="0"/>
      <c r="Z196" s="0"/>
      <c r="AA196" s="0"/>
      <c r="AB196" s="65"/>
      <c r="AC196" s="65"/>
      <c r="AD196" s="65"/>
      <c r="AE196" s="65"/>
      <c r="AF196" s="0"/>
      <c r="AG196" s="0"/>
      <c r="AH196" s="0"/>
      <c r="AI196" s="0"/>
    </row>
    <row r="197" customFormat="false" ht="17.35" hidden="false" customHeight="false" outlineLevel="0" collapsed="false">
      <c r="A197" s="189" t="n">
        <f aca="false">K29</f>
        <v>0</v>
      </c>
      <c r="B197" s="85" t="n">
        <f aca="false">B96</f>
        <v>1749.42424196705</v>
      </c>
      <c r="C197" s="85"/>
      <c r="D197" s="85"/>
      <c r="E197" s="31"/>
      <c r="F197" s="31"/>
      <c r="G197" s="31"/>
      <c r="H197" s="12"/>
      <c r="J197" s="0"/>
      <c r="K197" s="65"/>
      <c r="L197" s="65"/>
      <c r="M197" s="65"/>
      <c r="N197" s="0"/>
      <c r="O197" s="0"/>
      <c r="P197" s="0"/>
      <c r="Q197" s="0"/>
      <c r="R197" s="0"/>
      <c r="S197" s="0"/>
      <c r="T197" s="65"/>
      <c r="U197" s="65"/>
      <c r="V197" s="65"/>
      <c r="W197" s="0"/>
      <c r="X197" s="0"/>
      <c r="Y197" s="0"/>
      <c r="Z197" s="0"/>
      <c r="AA197" s="0"/>
      <c r="AB197" s="0"/>
      <c r="AC197" s="65"/>
      <c r="AD197" s="65"/>
      <c r="AE197" s="65"/>
      <c r="AF197" s="0"/>
      <c r="AG197" s="0"/>
      <c r="AH197" s="0"/>
      <c r="AI197" s="0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B65" activeCellId="0" sqref="B65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5.28</v>
      </c>
      <c r="E32" s="47"/>
      <c r="F32" s="34"/>
      <c r="G32" s="48" t="s">
        <v>43</v>
      </c>
      <c r="H32" s="46" t="str">
        <f aca="false">A41</f>
        <v>5.28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505.28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178</v>
      </c>
      <c r="B41" s="71" t="n">
        <f aca="false">IF(B38="YES", D38+A41, D38)</f>
        <v>505.28</v>
      </c>
      <c r="C41" s="71"/>
      <c r="D41" s="75" t="n">
        <v>6000</v>
      </c>
      <c r="E41" s="75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str">
        <f aca="false">H32</f>
        <v>5.28</v>
      </c>
      <c r="I44" s="212" t="n">
        <f aca="false">((A41*(B35-1))+D32)/B35</f>
        <v>5.28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506.28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179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506.28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1" t="s">
        <v>182</v>
      </c>
      <c r="B80" s="232" t="n">
        <v>0</v>
      </c>
      <c r="C80" s="36"/>
      <c r="D80" s="36"/>
      <c r="E80" s="230" t="n">
        <f aca="false">E79+D82</f>
        <v>660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3" t="s">
        <v>183</v>
      </c>
      <c r="B81" s="234" t="n">
        <v>0</v>
      </c>
      <c r="C81" s="36"/>
      <c r="D81" s="36"/>
      <c r="E81" s="37" t="n">
        <f aca="false">E80/12</f>
        <v>55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0</v>
      </c>
      <c r="C82" s="36"/>
      <c r="D82" s="199" t="n">
        <f aca="false">IF(A50="YES", 0, B82)</f>
        <v>0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4711.95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392.6625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10723.95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90.8442718838241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6814.79427188382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6.336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567.899522656985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567.899522656985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188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191</v>
      </c>
      <c r="C105" s="249"/>
      <c r="D105" s="250" t="n">
        <v>1000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20</v>
      </c>
      <c r="C111" s="249"/>
      <c r="D111" s="124" t="s">
        <v>196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197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25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567.899522656985</v>
      </c>
      <c r="B136" s="173" t="n">
        <f aca="false">IF(A111="YES", B95*B63, 0)</f>
        <v>0</v>
      </c>
      <c r="C136" s="173"/>
      <c r="D136" s="173" t="n">
        <f aca="false">B97</f>
        <v>567.899522656985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5111.09570391287</v>
      </c>
      <c r="B139" s="23" t="n">
        <f aca="false">IF(A111="YES", B95*B63, 0)</f>
        <v>0</v>
      </c>
      <c r="C139" s="42"/>
      <c r="D139" s="70" t="n">
        <f aca="false">B97*B63</f>
        <v>5111.09570391287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99.99</v>
      </c>
      <c r="C148" s="23"/>
      <c r="D148" s="23" t="n">
        <f aca="false">(B145+D145+A148+B148)-B151</f>
        <v>582.365</v>
      </c>
      <c r="E148" s="180"/>
      <c r="F148" s="34"/>
      <c r="G148" s="22" t="n">
        <f aca="false">IF(G111="YES", ((A41*H111)*0.1)*(G133), 0)</f>
        <v>1.2672</v>
      </c>
      <c r="H148" s="23" t="n">
        <f aca="false">G108-100</f>
        <v>139.988</v>
      </c>
      <c r="I148" s="23"/>
      <c r="J148" s="23" t="n">
        <f aca="false">(H145+J145+G148+H148)-H151</f>
        <v>1462.4427</v>
      </c>
      <c r="K148" s="180"/>
      <c r="L148" s="34"/>
      <c r="M148" s="22" t="n">
        <f aca="false">IF(M111="YES", ((A41*N111)*0.1)*(M133), 0)</f>
        <v>1.2672</v>
      </c>
      <c r="N148" s="23" t="n">
        <f aca="false">M108-100</f>
        <v>99.99</v>
      </c>
      <c r="O148" s="23"/>
      <c r="P148" s="23" t="n">
        <f aca="false">(N145+P145+M148+N148)-N151</f>
        <v>1422.4447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567.899522656985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65" zoomScaleNormal="65" zoomScalePageLayoutView="100" workbookViewId="0">
      <selection pane="topLeft" activeCell="B95" activeCellId="0" sqref="B95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0</v>
      </c>
      <c r="B41" s="71" t="str">
        <f aca="false">IF(B38="YES", D38+A41, D38)</f>
        <v>500</v>
      </c>
      <c r="C41" s="71"/>
      <c r="D41" s="75" t="n">
        <v>6000</v>
      </c>
      <c r="E41" s="75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I44" s="212" t="n">
        <f aca="false">((A41*(B35-1))+D32)/B35</f>
        <v>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179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501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182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183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((B89*H29)+B87)*1.2</f>
        <v>12920.74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91.211355385236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9011.95135538524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IF(B105=Z104,(((H44*B35)+(H44*B35)*(B111/100))/(B64)),(((H44*B35)+(H44*B35)*(B111/100))/(B63+B64)))*1.2</f>
        <v>0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750.995946282103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750.995946282103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189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191</v>
      </c>
      <c r="C105" s="249"/>
      <c r="D105" s="250" t="n">
        <v>1000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239.99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0</v>
      </c>
      <c r="C111" s="249"/>
      <c r="D111" s="124" t="s">
        <v>196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197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25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239.99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-2760.01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750.995946282103</v>
      </c>
      <c r="B136" s="173" t="n">
        <f aca="false">IF(A111="YES", B95*B63, 0)</f>
        <v>0</v>
      </c>
      <c r="C136" s="173"/>
      <c r="D136" s="173" t="n">
        <f aca="false">B97</f>
        <v>750.995946282103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6758.96351653893</v>
      </c>
      <c r="B139" s="23" t="n">
        <f aca="false">IF(A111="YES", B95*B63, 0)</f>
        <v>0</v>
      </c>
      <c r="C139" s="42"/>
      <c r="D139" s="70" t="n">
        <f aca="false">B97*B63</f>
        <v>6758.96351653893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239.99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139.99</v>
      </c>
      <c r="C148" s="23"/>
      <c r="D148" s="23" t="n">
        <f aca="false">(B145+D145+A148+B148)-B151</f>
        <v>622.365</v>
      </c>
      <c r="E148" s="180"/>
      <c r="F148" s="34"/>
      <c r="G148" s="22" t="n">
        <f aca="false">IF(G111="YES", ((A41*H111)*0.1)*(G133), 0)</f>
        <v>0</v>
      </c>
      <c r="H148" s="23" t="n">
        <f aca="false">G108-100</f>
        <v>139.988</v>
      </c>
      <c r="I148" s="23"/>
      <c r="J148" s="23" t="n">
        <f aca="false">(H145+J145+G148+H148)-H151</f>
        <v>1461.1755</v>
      </c>
      <c r="K148" s="180"/>
      <c r="L148" s="34"/>
      <c r="M148" s="22" t="n">
        <f aca="false">IF(M111="YES", ((A41*N111)*0.1)*(M133), 0)</f>
        <v>0</v>
      </c>
      <c r="N148" s="23" t="n">
        <f aca="false">M108-100</f>
        <v>99.99</v>
      </c>
      <c r="O148" s="23"/>
      <c r="P148" s="23" t="n">
        <f aca="false">(N145+P145+M148+N148)-N151</f>
        <v>1421.1775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750.995946282103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4" colorId="64" zoomScale="65" zoomScaleNormal="65" zoomScalePageLayoutView="100" workbookViewId="0">
      <selection pane="topLeft" activeCell="L122" activeCellId="0" sqref="L122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0.0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0.0</v>
      </c>
      <c r="C4" s="10" t="n">
        <v>0</v>
      </c>
      <c r="D4" s="10" t="n">
        <v>0.0</v>
      </c>
      <c r="E4" s="10"/>
      <c r="F4" s="10" t="n">
        <v>0.0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0.0</v>
      </c>
      <c r="C5" s="8" t="n">
        <v>0</v>
      </c>
      <c r="D5" s="8" t="n">
        <v>0.0</v>
      </c>
      <c r="E5" s="8"/>
      <c r="F5" s="8" t="n">
        <v>0.0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550.0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585.0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55.0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0.0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0"/>
      <c r="J24" s="0"/>
      <c r="K24" s="0"/>
      <c r="P24" s="32"/>
    </row>
    <row r="25" customFormat="false" ht="17.35" hidden="false" customHeight="false" outlineLevel="0" collapsed="false">
      <c r="A25" s="35"/>
      <c r="B25" s="36"/>
      <c r="C25" s="36"/>
      <c r="D25" s="36"/>
      <c r="E25" s="37"/>
      <c r="F25" s="34"/>
      <c r="G25" s="34"/>
      <c r="H25" s="34"/>
      <c r="I25" s="0"/>
      <c r="J25" s="0"/>
      <c r="K25" s="0"/>
      <c r="P25" s="32"/>
    </row>
    <row r="26" customFormat="false" ht="22.05" hidden="false" customHeight="fals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0"/>
      <c r="J26" s="0"/>
      <c r="K26" s="0"/>
      <c r="P26" s="32"/>
    </row>
    <row r="27" customFormat="false" ht="17.35" hidden="false" customHeight="fals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2"/>
    </row>
    <row r="28" customFormat="false" ht="31.8" hidden="false" customHeight="fals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2"/>
    </row>
    <row r="29" customFormat="false" ht="17.35" hidden="false" customHeight="fals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33</v>
      </c>
      <c r="I29" s="0"/>
      <c r="J29" s="0"/>
      <c r="K29" s="0"/>
      <c r="P29" s="32"/>
    </row>
    <row r="30" customFormat="false" ht="17.35" hidden="false" customHeight="fals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0"/>
      <c r="J30" s="0"/>
      <c r="K30" s="0"/>
      <c r="P30" s="32"/>
    </row>
    <row r="31" customFormat="false" ht="31.8" hidden="false" customHeight="fals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0"/>
      <c r="J31" s="0"/>
      <c r="K31" s="0"/>
      <c r="P31" s="32"/>
    </row>
    <row r="32" customFormat="false" ht="17.35" hidden="false" customHeight="fals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0"/>
      <c r="J32" s="49" t="s">
        <v>44</v>
      </c>
      <c r="K32" s="50" t="s">
        <v>279</v>
      </c>
      <c r="P32" s="32"/>
    </row>
    <row r="33" customFormat="false" ht="17.35" hidden="false" customHeight="fals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0"/>
      <c r="J33" s="49"/>
      <c r="K33" s="55"/>
      <c r="P33" s="32"/>
    </row>
    <row r="34" customFormat="false" ht="17.35" hidden="false" customHeight="fals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0"/>
      <c r="J34" s="49" t="s">
        <v>51</v>
      </c>
      <c r="K34" s="58" t="s">
        <v>280</v>
      </c>
      <c r="P34" s="32"/>
    </row>
    <row r="35" customFormat="false" ht="17.35" hidden="false" customHeight="false" outlineLevel="0" collapsed="false">
      <c r="A35" s="47" t="n">
        <f aca="false">B32+D32</f>
        <v>500</v>
      </c>
      <c r="B35" s="44" t="s">
        <v>281</v>
      </c>
      <c r="C35" s="44"/>
      <c r="D35" s="44" t="s">
        <v>282</v>
      </c>
      <c r="E35" s="44"/>
      <c r="F35" s="34"/>
      <c r="G35" s="59"/>
      <c r="H35" s="60"/>
      <c r="I35" s="0"/>
      <c r="J35" s="49"/>
      <c r="K35" s="55"/>
      <c r="P35" s="32"/>
    </row>
    <row r="36" customFormat="false" ht="17.35" hidden="false" customHeight="false" outlineLevel="0" collapsed="false">
      <c r="A36" s="35"/>
      <c r="B36" s="36"/>
      <c r="C36" s="36"/>
      <c r="D36" s="36"/>
      <c r="E36" s="37"/>
      <c r="F36" s="34"/>
      <c r="G36" s="34" t="s">
        <v>55</v>
      </c>
      <c r="H36" s="61" t="s">
        <v>285</v>
      </c>
      <c r="I36" s="0"/>
      <c r="J36" s="49" t="s">
        <v>56</v>
      </c>
      <c r="K36" s="62" t="n">
        <f aca="false">K32-K34</f>
        <v>47877.5</v>
      </c>
      <c r="P36" s="32"/>
    </row>
    <row r="37" customFormat="false" ht="17.35" hidden="false" customHeight="fals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0"/>
      <c r="J37" s="0"/>
      <c r="K37" s="0"/>
      <c r="P37" s="32"/>
    </row>
    <row r="38" customFormat="false" ht="17.35" hidden="false" customHeight="false" outlineLevel="0" collapsed="false">
      <c r="A38" s="63" t="n">
        <f aca="false">(B35/12)*D35</f>
        <v>13750</v>
      </c>
      <c r="B38" s="44" t="s">
        <v>283</v>
      </c>
      <c r="C38" s="44"/>
      <c r="D38" s="64" t="s">
        <v>284</v>
      </c>
      <c r="E38" s="64"/>
      <c r="F38" s="34"/>
      <c r="G38" s="34"/>
      <c r="H38" s="34"/>
      <c r="I38" s="0"/>
      <c r="J38" s="65"/>
      <c r="K38" s="65"/>
      <c r="L38" s="2"/>
      <c r="N38" s="1" t="n">
        <f aca="false">80.88*36</f>
        <v>2911.68</v>
      </c>
      <c r="P38" s="32"/>
    </row>
    <row r="39" customFormat="false" ht="17.35" hidden="false" customHeight="false" outlineLevel="0" collapsed="false">
      <c r="A39" s="66"/>
      <c r="B39" s="53"/>
      <c r="C39" s="53"/>
      <c r="D39" s="36"/>
      <c r="E39" s="37"/>
      <c r="F39" s="34"/>
      <c r="G39" s="34"/>
      <c r="H39" s="67"/>
      <c r="I39" s="0"/>
      <c r="J39" s="0"/>
      <c r="K39" s="0"/>
      <c r="L39" s="2"/>
      <c r="N39" s="1" t="n">
        <f aca="false">K39-L39</f>
        <v>0</v>
      </c>
      <c r="P39" s="32"/>
    </row>
    <row r="40" customFormat="false" ht="17.35" hidden="false" customHeight="fals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0"/>
      <c r="J40" s="0"/>
      <c r="K40" s="0"/>
      <c r="L40" s="2"/>
      <c r="N40" s="1" t="n">
        <f aca="false">N38-N39</f>
        <v>2911.68</v>
      </c>
      <c r="P40" s="32"/>
    </row>
    <row r="41" customFormat="false" ht="17.35" hidden="false" customHeight="false" outlineLevel="0" collapsed="false">
      <c r="A41" s="64" t="n">
        <f aca="false">H36/B35</f>
        <v>0</v>
      </c>
      <c r="B41" s="71" t="str">
        <f aca="false">IF(B38="YES", D38+A41, D38)</f>
        <v>500</v>
      </c>
      <c r="C41" s="71"/>
      <c r="D41" s="64" t="n">
        <v>6000</v>
      </c>
      <c r="E41" s="64"/>
      <c r="F41" s="34"/>
      <c r="G41" s="34"/>
      <c r="H41" s="72"/>
      <c r="J41" s="2"/>
      <c r="K41" s="2"/>
      <c r="L41" s="2"/>
      <c r="P41" s="32"/>
    </row>
    <row r="42" customFormat="false" ht="17.35" hidden="false" customHeight="fals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J42" s="2"/>
      <c r="K42" s="2"/>
      <c r="L42" s="2"/>
      <c r="P42" s="32"/>
    </row>
    <row r="43" customFormat="false" ht="17.35" hidden="false" customHeight="fals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500.363636363636</v>
      </c>
      <c r="J43" s="2"/>
      <c r="K43" s="2"/>
      <c r="L43" s="2"/>
      <c r="P43" s="32"/>
    </row>
    <row r="44" customFormat="false" ht="17.35" hidden="false" customHeight="false" outlineLevel="0" collapsed="false">
      <c r="A44" s="64" t="s">
        <v>286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J44" s="2"/>
      <c r="K44" s="2"/>
      <c r="L44" s="2"/>
      <c r="P44" s="32"/>
    </row>
    <row r="45" customFormat="false" ht="17.35" hidden="false" customHeight="fals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500.363636363636</v>
      </c>
      <c r="J45" s="2"/>
      <c r="K45" s="2"/>
      <c r="L45" s="2"/>
      <c r="P45" s="32"/>
    </row>
    <row r="46" customFormat="false" ht="17.35" hidden="false" customHeight="fals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500.363636363636</v>
      </c>
      <c r="J46" s="2"/>
      <c r="K46" s="2"/>
      <c r="L46" s="2"/>
      <c r="P46" s="32"/>
    </row>
    <row r="47" customFormat="false" ht="17.35" hidden="false" customHeight="fals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J47" s="2"/>
      <c r="K47" s="2"/>
      <c r="L47" s="2"/>
      <c r="P47" s="32"/>
    </row>
    <row r="48" customFormat="false" ht="17.35" hidden="false" customHeight="false" outlineLevel="0" collapsed="false">
      <c r="A48" s="0"/>
      <c r="B48" s="53"/>
      <c r="C48" s="53"/>
      <c r="D48" s="53"/>
      <c r="E48" s="73"/>
      <c r="F48" s="34"/>
      <c r="G48" s="34"/>
      <c r="H48" s="67"/>
      <c r="J48" s="79"/>
      <c r="K48" s="2"/>
      <c r="L48" s="2"/>
      <c r="P48" s="32"/>
    </row>
    <row r="49" customFormat="false" ht="17.35" hidden="false" customHeight="false" outlineLevel="0" collapsed="false">
      <c r="A49" s="66"/>
      <c r="B49" s="53"/>
      <c r="C49" s="53"/>
      <c r="D49" s="53"/>
      <c r="E49" s="73"/>
      <c r="F49" s="34"/>
      <c r="G49" s="34"/>
      <c r="H49" s="67"/>
      <c r="J49" s="2"/>
      <c r="K49" s="2"/>
      <c r="L49" s="2"/>
      <c r="P49" s="32"/>
    </row>
    <row r="50" customFormat="false" ht="17.35" hidden="false" customHeight="false" outlineLevel="0" collapsed="false">
      <c r="A50" s="35"/>
      <c r="B50" s="80"/>
      <c r="C50" s="80"/>
      <c r="D50" s="36"/>
      <c r="E50" s="37"/>
      <c r="F50" s="0"/>
      <c r="G50" s="0"/>
      <c r="H50" s="0"/>
      <c r="I50" s="2"/>
      <c r="J50" s="2"/>
      <c r="K50" s="2"/>
      <c r="P50" s="32"/>
    </row>
    <row r="51" customFormat="false" ht="19.5" hidden="false" customHeight="true" outlineLevel="0" collapsed="false">
      <c r="A51" s="81" t="s">
        <v>76</v>
      </c>
      <c r="B51" s="82" t="s">
        <v>77</v>
      </c>
      <c r="C51" s="82"/>
      <c r="D51" s="36"/>
      <c r="E51" s="37"/>
      <c r="F51" s="0"/>
      <c r="G51" s="0"/>
      <c r="H51" s="0"/>
      <c r="I51" s="2"/>
      <c r="J51" s="2"/>
      <c r="K51" s="2"/>
      <c r="P51" s="32"/>
    </row>
    <row r="52" customFormat="false" ht="17.35" hidden="false" customHeight="false" outlineLevel="0" collapsed="false">
      <c r="A52" s="81"/>
      <c r="B52" s="83" t="str">
        <f aca="false">H30</f>
        <v>5000</v>
      </c>
      <c r="C52" s="83"/>
      <c r="D52" s="36"/>
      <c r="E52" s="37"/>
      <c r="F52" s="0"/>
      <c r="G52" s="0"/>
      <c r="H52" s="0"/>
      <c r="I52" s="2"/>
      <c r="J52" s="2"/>
      <c r="K52" s="2"/>
      <c r="P52" s="32"/>
    </row>
    <row r="53" customFormat="false" ht="17.35" hidden="false" customHeight="false" outlineLevel="0" collapsed="false">
      <c r="A53" s="84" t="str">
        <f aca="false">H29</f>
        <v>33</v>
      </c>
      <c r="B53" s="85" t="n">
        <f aca="false">H45</f>
        <v>500.363636363636</v>
      </c>
      <c r="C53" s="85"/>
      <c r="D53" s="36"/>
      <c r="E53" s="37"/>
      <c r="F53" s="0"/>
      <c r="G53" s="0"/>
      <c r="H53" s="0"/>
      <c r="I53" s="2"/>
      <c r="J53" s="2"/>
      <c r="K53" s="2"/>
      <c r="P53" s="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7" t="s">
        <v>30</v>
      </c>
      <c r="B58" s="14" t="n">
        <v>1</v>
      </c>
      <c r="C58" s="90"/>
      <c r="D58" s="14"/>
      <c r="E58" s="91"/>
      <c r="F58" s="91"/>
      <c r="G58" s="91"/>
      <c r="H58" s="1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7" t="s">
        <v>34</v>
      </c>
      <c r="B59" s="14" t="n">
        <f aca="false">B35-B58</f>
        <v>32</v>
      </c>
      <c r="C59" s="90"/>
      <c r="D59" s="14"/>
      <c r="E59" s="91"/>
      <c r="F59" s="91"/>
      <c r="G59" s="91"/>
      <c r="H59" s="1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2" t="s">
        <v>78</v>
      </c>
      <c r="B60" s="93" t="n">
        <v>10.0</v>
      </c>
      <c r="C60" s="90"/>
      <c r="D60" s="14"/>
      <c r="E60" s="91"/>
      <c r="F60" s="91"/>
      <c r="G60" s="91"/>
      <c r="H60" s="1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90"/>
      <c r="D61" s="14"/>
      <c r="E61" s="91"/>
      <c r="F61" s="91"/>
      <c r="G61" s="91"/>
      <c r="H61" s="1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4" t="s">
        <v>79</v>
      </c>
      <c r="B62" s="95" t="n">
        <v>0.0</v>
      </c>
      <c r="C62" s="90"/>
      <c r="D62" s="14"/>
      <c r="E62" s="91"/>
      <c r="F62" s="91"/>
      <c r="G62" s="91"/>
      <c r="H62" s="12"/>
      <c r="J62" s="0"/>
      <c r="K62" s="96"/>
      <c r="L62" s="0"/>
      <c r="M62" s="0"/>
      <c r="N62" s="0"/>
      <c r="O62" s="0"/>
      <c r="P62" s="0"/>
      <c r="Q62" s="0"/>
      <c r="R62" s="0"/>
      <c r="S62" s="0"/>
      <c r="T62" s="96"/>
      <c r="U62" s="0"/>
      <c r="V62" s="0"/>
      <c r="W62" s="0"/>
      <c r="X62" s="0"/>
      <c r="Y62" s="0"/>
      <c r="Z62" s="0"/>
      <c r="AA62" s="0"/>
      <c r="AB62" s="0"/>
      <c r="AC62" s="96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4" t="s">
        <v>80</v>
      </c>
      <c r="B63" s="97" t="n">
        <v>0.065</v>
      </c>
      <c r="C63" s="90"/>
      <c r="D63" s="14"/>
      <c r="E63" s="91"/>
      <c r="F63" s="91"/>
      <c r="G63" s="91"/>
      <c r="H63" s="12"/>
      <c r="J63" s="0"/>
      <c r="K63" s="96"/>
      <c r="L63" s="0"/>
      <c r="M63" s="0"/>
      <c r="N63" s="0"/>
      <c r="O63" s="0"/>
      <c r="P63" s="0"/>
      <c r="Q63" s="0"/>
      <c r="R63" s="0"/>
      <c r="S63" s="0"/>
      <c r="T63" s="96"/>
      <c r="U63" s="0"/>
      <c r="V63" s="0"/>
      <c r="W63" s="0"/>
      <c r="X63" s="0"/>
      <c r="Y63" s="0"/>
      <c r="Z63" s="0"/>
      <c r="AA63" s="0"/>
      <c r="AB63" s="0"/>
      <c r="AC63" s="96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0"/>
      <c r="K64" s="96"/>
      <c r="L64" s="0"/>
      <c r="M64" s="0"/>
      <c r="N64" s="0"/>
      <c r="O64" s="0"/>
      <c r="P64" s="0"/>
      <c r="Q64" s="0"/>
      <c r="R64" s="0"/>
      <c r="S64" s="0"/>
      <c r="T64" s="96"/>
      <c r="U64" s="0"/>
      <c r="V64" s="0"/>
      <c r="W64" s="0"/>
      <c r="X64" s="0"/>
      <c r="Y64" s="0"/>
      <c r="Z64" s="0"/>
      <c r="AA64" s="0"/>
      <c r="AB64" s="0"/>
      <c r="AC64" s="96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00" t="s">
        <v>82</v>
      </c>
      <c r="B65" s="101" t="n">
        <f aca="false">(B89*B59)-B53</f>
        <v>48160.6670204128</v>
      </c>
      <c r="C65" s="14"/>
      <c r="D65" s="14"/>
      <c r="E65" s="91"/>
      <c r="F65" s="91"/>
      <c r="G65" s="91"/>
      <c r="H65" s="1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0"/>
      <c r="K66" s="96"/>
      <c r="L66" s="0"/>
      <c r="M66" s="0"/>
      <c r="N66" s="0"/>
      <c r="O66" s="0"/>
      <c r="P66" s="0"/>
      <c r="Q66" s="0"/>
      <c r="R66" s="0"/>
      <c r="S66" s="0"/>
      <c r="T66" s="96"/>
      <c r="U66" s="0"/>
      <c r="V66" s="0"/>
      <c r="W66" s="0"/>
      <c r="X66" s="0"/>
      <c r="Y66" s="0"/>
      <c r="Z66" s="0"/>
      <c r="AA66" s="0"/>
      <c r="AB66" s="0"/>
      <c r="AC66" s="96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0.0025</v>
      </c>
      <c r="C67" s="14"/>
      <c r="D67" s="14"/>
      <c r="E67" s="91"/>
      <c r="F67" s="91"/>
      <c r="G67" s="91"/>
      <c r="H67" s="12"/>
      <c r="J67" s="0"/>
      <c r="K67" s="96"/>
      <c r="L67" s="0"/>
      <c r="M67" s="0"/>
      <c r="N67" s="0"/>
      <c r="O67" s="0"/>
      <c r="P67" s="0"/>
      <c r="Q67" s="0"/>
      <c r="R67" s="0"/>
      <c r="S67" s="0"/>
      <c r="T67" s="96"/>
      <c r="U67" s="0"/>
      <c r="V67" s="0"/>
      <c r="W67" s="0"/>
      <c r="X67" s="0"/>
      <c r="Y67" s="0"/>
      <c r="Z67" s="0"/>
      <c r="AA67" s="0"/>
      <c r="AB67" s="0"/>
      <c r="AC67" s="96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00" t="s">
        <v>85</v>
      </c>
      <c r="B68" s="101" t="n">
        <f aca="false">(G158*B67)</f>
        <v>143.81251</v>
      </c>
      <c r="C68" s="14"/>
      <c r="D68" s="14"/>
      <c r="E68" s="91"/>
      <c r="F68" s="91"/>
      <c r="G68" s="91"/>
      <c r="H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4" t="s">
        <v>86</v>
      </c>
      <c r="B69" s="95" t="n">
        <v>0.0</v>
      </c>
      <c r="C69" s="103"/>
      <c r="D69" s="14"/>
      <c r="E69" s="91"/>
      <c r="F69" s="91"/>
      <c r="G69" s="91"/>
      <c r="H69" s="12"/>
      <c r="J69" s="0"/>
      <c r="K69" s="96"/>
      <c r="L69" s="0"/>
      <c r="M69" s="0"/>
      <c r="N69" s="0"/>
      <c r="O69" s="0"/>
      <c r="P69" s="0"/>
      <c r="Q69" s="0"/>
      <c r="R69" s="0"/>
      <c r="S69" s="0"/>
      <c r="T69" s="96"/>
      <c r="U69" s="0"/>
      <c r="V69" s="0"/>
      <c r="W69" s="0"/>
      <c r="X69" s="0"/>
      <c r="Y69" s="0"/>
      <c r="Z69" s="0"/>
      <c r="AA69" s="0"/>
      <c r="AB69" s="0"/>
      <c r="AC69" s="96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4" t="s">
        <v>87</v>
      </c>
      <c r="B70" s="97" t="n">
        <v>0.0</v>
      </c>
      <c r="C70" s="103"/>
      <c r="D70" s="14"/>
      <c r="E70" s="91"/>
      <c r="F70" s="91"/>
      <c r="G70" s="91"/>
      <c r="H70" s="12"/>
      <c r="J70" s="0"/>
      <c r="K70" s="96"/>
      <c r="L70" s="0"/>
      <c r="M70" s="0"/>
      <c r="N70" s="0"/>
      <c r="O70" s="0"/>
      <c r="P70" s="0"/>
      <c r="Q70" s="0"/>
      <c r="R70" s="0"/>
      <c r="S70" s="0"/>
      <c r="T70" s="96"/>
      <c r="U70" s="0"/>
      <c r="V70" s="0"/>
      <c r="W70" s="0"/>
      <c r="X70" s="0"/>
      <c r="Y70" s="0"/>
      <c r="Z70" s="0"/>
      <c r="AA70" s="0"/>
      <c r="AB70" s="0"/>
      <c r="AC70" s="96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03"/>
      <c r="D71" s="14"/>
      <c r="E71" s="91"/>
      <c r="F71" s="91"/>
      <c r="G71" s="91"/>
      <c r="H71" s="12"/>
      <c r="J71" s="0"/>
      <c r="K71" s="96"/>
      <c r="L71" s="0"/>
      <c r="M71" s="0"/>
      <c r="N71" s="0"/>
      <c r="O71" s="0"/>
      <c r="P71" s="0"/>
      <c r="Q71" s="0"/>
      <c r="R71" s="0"/>
      <c r="S71" s="0"/>
      <c r="T71" s="96"/>
      <c r="U71" s="0"/>
      <c r="V71" s="0"/>
      <c r="W71" s="0"/>
      <c r="X71" s="0"/>
      <c r="Y71" s="0"/>
      <c r="Z71" s="0"/>
      <c r="AA71" s="0"/>
      <c r="AB71" s="0"/>
      <c r="AC71" s="96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4" t="s">
        <v>89</v>
      </c>
      <c r="B72" s="105" t="n">
        <v>0.0</v>
      </c>
      <c r="C72" s="103"/>
      <c r="D72" s="14"/>
      <c r="E72" s="91"/>
      <c r="F72" s="91"/>
      <c r="G72" s="91"/>
      <c r="H72" s="1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4" t="s">
        <v>90</v>
      </c>
      <c r="B73" s="93" t="n">
        <v>0.0</v>
      </c>
      <c r="C73" s="103"/>
      <c r="D73" s="14"/>
      <c r="E73" s="91"/>
      <c r="F73" s="91"/>
      <c r="G73" s="91"/>
      <c r="H73" s="1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00" t="s">
        <v>91</v>
      </c>
      <c r="B74" s="101" t="n">
        <f aca="false">B73*B35</f>
        <v>0</v>
      </c>
      <c r="C74" s="103"/>
      <c r="D74" s="14" t="n">
        <f aca="false">B74+B72</f>
        <v>0</v>
      </c>
      <c r="E74" s="91"/>
      <c r="F74" s="91"/>
      <c r="G74" s="91"/>
      <c r="H74" s="12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4" t="s">
        <v>92</v>
      </c>
      <c r="B75" s="93" t="n">
        <v>0.0</v>
      </c>
      <c r="C75" s="103"/>
      <c r="D75" s="14" t="n">
        <f aca="false">B75</f>
        <v>0</v>
      </c>
      <c r="E75" s="91"/>
      <c r="F75" s="91"/>
      <c r="G75" s="91"/>
      <c r="H75" s="1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98" t="s">
        <v>93</v>
      </c>
      <c r="B76" s="106" t="n">
        <v>0.0</v>
      </c>
      <c r="C76" s="103"/>
      <c r="D76" s="14" t="n">
        <f aca="false">B76</f>
        <v>0</v>
      </c>
      <c r="E76" s="91"/>
      <c r="F76" s="14"/>
      <c r="G76" s="91"/>
      <c r="H76" s="1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7" t="s">
        <v>95</v>
      </c>
      <c r="B78" s="12" t="n">
        <f aca="false">B77/B35</f>
        <v>0</v>
      </c>
      <c r="C78" s="14"/>
      <c r="D78" s="14"/>
      <c r="E78" s="91"/>
      <c r="F78" s="91"/>
      <c r="G78" s="91"/>
      <c r="H78" s="1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96</v>
      </c>
      <c r="B79" s="110" t="n">
        <f aca="false">H46</f>
        <v>500.363636363636</v>
      </c>
      <c r="C79" s="14"/>
      <c r="D79" s="14"/>
      <c r="E79" s="91"/>
      <c r="F79" s="91"/>
      <c r="G79" s="91"/>
      <c r="H79" s="1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86" t="s">
        <v>97</v>
      </c>
      <c r="B81" s="89" t="n">
        <f aca="false">K36</f>
        <v>47877.5</v>
      </c>
      <c r="C81" s="14"/>
      <c r="D81" s="14"/>
      <c r="E81" s="91"/>
      <c r="F81" s="91"/>
      <c r="G81" s="91"/>
      <c r="H81" s="1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7" t="s">
        <v>98</v>
      </c>
      <c r="B82" s="12" t="n">
        <f aca="false">IF(A111="YES", D41,0)</f>
        <v>6000</v>
      </c>
      <c r="C82" s="14"/>
      <c r="D82" s="14"/>
      <c r="E82" s="91"/>
      <c r="F82" s="91"/>
      <c r="G82" s="91"/>
      <c r="H82" s="1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7" t="s">
        <v>99</v>
      </c>
      <c r="B83" s="111" t="n">
        <f aca="false">B62+B63+B64</f>
        <v>0.089</v>
      </c>
      <c r="C83" s="14"/>
      <c r="D83" s="14"/>
      <c r="E83" s="91"/>
      <c r="F83" s="91"/>
      <c r="G83" s="91"/>
      <c r="H83" s="12"/>
      <c r="J83" s="0"/>
      <c r="K83" s="96"/>
      <c r="L83" s="0"/>
      <c r="M83" s="0"/>
      <c r="N83" s="0"/>
      <c r="O83" s="0"/>
      <c r="P83" s="0"/>
      <c r="Q83" s="0"/>
      <c r="R83" s="0"/>
      <c r="S83" s="0"/>
      <c r="T83" s="96"/>
      <c r="U83" s="0"/>
      <c r="V83" s="0"/>
      <c r="W83" s="0"/>
      <c r="X83" s="0"/>
      <c r="Y83" s="0"/>
      <c r="Z83" s="0"/>
      <c r="AA83" s="0"/>
      <c r="AB83" s="0"/>
      <c r="AC83" s="96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7" t="s">
        <v>100</v>
      </c>
      <c r="B84" s="102" t="n">
        <f aca="false">B83/12</f>
        <v>0.00741666666666667</v>
      </c>
      <c r="C84" s="14"/>
      <c r="D84" s="14"/>
      <c r="E84" s="91"/>
      <c r="F84" s="91"/>
      <c r="G84" s="91"/>
      <c r="H84" s="12"/>
      <c r="J84" s="0"/>
      <c r="K84" s="96"/>
      <c r="L84" s="0"/>
      <c r="M84" s="0"/>
      <c r="N84" s="0"/>
      <c r="O84" s="0"/>
      <c r="P84" s="0"/>
      <c r="Q84" s="0"/>
      <c r="R84" s="0"/>
      <c r="S84" s="0"/>
      <c r="T84" s="96"/>
      <c r="U84" s="0"/>
      <c r="V84" s="0"/>
      <c r="W84" s="0"/>
      <c r="X84" s="0"/>
      <c r="Y84" s="0"/>
      <c r="Z84" s="0"/>
      <c r="AA84" s="0"/>
      <c r="AB84" s="0"/>
      <c r="AC84" s="96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32</v>
      </c>
      <c r="C85" s="14"/>
      <c r="D85" s="14"/>
      <c r="E85" s="91"/>
      <c r="F85" s="91"/>
      <c r="G85" s="91"/>
      <c r="H85" s="1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4701.64581571928</v>
      </c>
      <c r="C86" s="14" t="n">
        <f aca="false">(B82/((1+B84)^(B85+1)))</f>
        <v>4701.64581571928</v>
      </c>
      <c r="D86" s="14"/>
      <c r="E86" s="91"/>
      <c r="F86" s="91"/>
      <c r="G86" s="91"/>
      <c r="H86" s="1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28.392890887209</v>
      </c>
      <c r="C87" s="14" t="n">
        <f aca="false">((1-(1/((1+B84)^B85)))/B84)</f>
        <v>28.392890887209</v>
      </c>
      <c r="D87" s="14"/>
      <c r="E87" s="91"/>
      <c r="F87" s="91"/>
      <c r="G87" s="91"/>
      <c r="H87" s="1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7" t="s">
        <v>104</v>
      </c>
      <c r="B88" s="12" t="n">
        <f aca="false">B81-B86</f>
        <v>43175.8541842807</v>
      </c>
      <c r="C88" s="14" t="n">
        <f aca="false">B81-B86</f>
        <v>43175.8541842807</v>
      </c>
      <c r="D88" s="14"/>
      <c r="E88" s="91"/>
      <c r="F88" s="91"/>
      <c r="G88" s="91"/>
      <c r="H88" s="12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7" t="s">
        <v>105</v>
      </c>
      <c r="B89" s="12" t="n">
        <f aca="false">(B88/B87)</f>
        <v>1520.65720802426</v>
      </c>
      <c r="C89" s="14" t="n">
        <f aca="false">(B88/B87)</f>
        <v>1520.65720802426</v>
      </c>
      <c r="D89" s="14"/>
      <c r="E89" s="91"/>
      <c r="F89" s="91"/>
      <c r="G89" s="91"/>
      <c r="H89" s="1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48661.0306567764</v>
      </c>
      <c r="C90" s="14"/>
      <c r="D90" s="14"/>
      <c r="E90" s="91"/>
      <c r="F90" s="91"/>
      <c r="G90" s="91"/>
      <c r="H90" s="12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00" t="s">
        <v>108</v>
      </c>
      <c r="B92" s="101" t="n">
        <f aca="false">(B90+B91)</f>
        <v>48661.0306567764</v>
      </c>
      <c r="C92" s="14"/>
      <c r="D92" s="14"/>
      <c r="E92" s="91"/>
      <c r="F92" s="91"/>
      <c r="G92" s="91"/>
      <c r="H92" s="1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109</v>
      </c>
      <c r="B94" s="112" t="str">
        <f aca="false">IF(B38="YES",((H36/B85)*(1+A108)),"0")</f>
        <v>0</v>
      </c>
      <c r="C94" s="14"/>
      <c r="D94" s="14"/>
      <c r="E94" s="91"/>
      <c r="F94" s="91"/>
      <c r="G94" s="91"/>
      <c r="H94" s="12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3" t="s">
        <v>110</v>
      </c>
      <c r="B95" s="114" t="n">
        <f aca="false">B92/(B85)</f>
        <v>1520.65720802426</v>
      </c>
      <c r="C95" s="14"/>
      <c r="D95" s="14"/>
      <c r="E95" s="91"/>
      <c r="F95" s="91"/>
      <c r="G95" s="91"/>
      <c r="H95" s="12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5" t="s">
        <v>62</v>
      </c>
      <c r="B96" s="116" t="n">
        <f aca="false">B94+B95</f>
        <v>1520.65720802426</v>
      </c>
      <c r="C96" s="14"/>
      <c r="D96" s="14"/>
      <c r="E96" s="91"/>
      <c r="F96" s="91"/>
      <c r="G96" s="91"/>
      <c r="H96" s="1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" t="s">
        <v>225</v>
      </c>
      <c r="B100" s="3"/>
      <c r="C100" s="3"/>
      <c r="D100" s="3"/>
      <c r="E100" s="3"/>
      <c r="F100" s="3"/>
      <c r="G100" s="3"/>
      <c r="H100" s="3"/>
      <c r="J100" s="65"/>
      <c r="K100" s="65"/>
      <c r="L100" s="65"/>
      <c r="M100" s="65"/>
      <c r="N100" s="65"/>
      <c r="O100" s="65"/>
      <c r="P100" s="65"/>
      <c r="Q100" s="65"/>
      <c r="R100" s="0"/>
      <c r="S100" s="65"/>
      <c r="T100" s="65"/>
      <c r="U100" s="65"/>
      <c r="V100" s="65"/>
      <c r="W100" s="65"/>
      <c r="X100" s="65"/>
      <c r="Y100" s="65"/>
      <c r="Z100" s="65"/>
      <c r="AA100" s="0"/>
      <c r="AB100" s="65"/>
      <c r="AC100" s="65"/>
      <c r="AD100" s="65"/>
      <c r="AE100" s="65"/>
      <c r="AF100" s="65"/>
      <c r="AG100" s="65"/>
      <c r="AH100" s="65"/>
      <c r="AI100" s="65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65"/>
      <c r="K102" s="65"/>
      <c r="L102" s="65"/>
      <c r="M102" s="65"/>
      <c r="N102" s="65"/>
      <c r="O102" s="65"/>
      <c r="P102" s="65"/>
      <c r="Q102" s="65"/>
      <c r="R102" s="0"/>
      <c r="S102" s="65"/>
      <c r="T102" s="65"/>
      <c r="U102" s="65"/>
      <c r="V102" s="65"/>
      <c r="W102" s="65"/>
      <c r="X102" s="65"/>
      <c r="Y102" s="65"/>
      <c r="Z102" s="65"/>
      <c r="AA102" s="0"/>
      <c r="AB102" s="65"/>
      <c r="AC102" s="65"/>
      <c r="AD102" s="65"/>
      <c r="AE102" s="65"/>
      <c r="AF102" s="65"/>
      <c r="AG102" s="65"/>
      <c r="AH102" s="65"/>
      <c r="AI102" s="65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34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34" t="s">
        <v>115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287</v>
      </c>
      <c r="F105" s="64"/>
      <c r="G105" s="64"/>
      <c r="H105" s="121"/>
      <c r="J105" s="0"/>
      <c r="K105" s="65"/>
      <c r="L105" s="65"/>
      <c r="M105" s="65"/>
      <c r="N105" s="65"/>
      <c r="O105" s="65"/>
      <c r="P105" s="65"/>
      <c r="Q105" s="0"/>
      <c r="R105" s="0"/>
      <c r="S105" s="0"/>
      <c r="T105" s="65"/>
      <c r="U105" s="65"/>
      <c r="V105" s="65"/>
      <c r="W105" s="65"/>
      <c r="X105" s="65"/>
      <c r="Y105" s="65"/>
      <c r="Z105" s="34" t="s">
        <v>117</v>
      </c>
      <c r="AA105" s="0"/>
      <c r="AB105" s="0"/>
      <c r="AC105" s="65"/>
      <c r="AD105" s="65"/>
      <c r="AE105" s="65"/>
      <c r="AF105" s="65"/>
      <c r="AG105" s="65"/>
      <c r="AH105" s="65"/>
      <c r="AI105" s="0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34" t="s">
        <v>118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34" t="s">
        <v>122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123" t="n">
        <v>0.2</v>
      </c>
      <c r="B108" s="124" t="s">
        <v>288</v>
      </c>
      <c r="C108" s="124"/>
      <c r="D108" s="124"/>
      <c r="E108" s="125" t="n">
        <f aca="false">B83</f>
        <v>0.089</v>
      </c>
      <c r="F108" s="125"/>
      <c r="G108" s="125"/>
      <c r="H108" s="126"/>
      <c r="J108" s="96"/>
      <c r="K108" s="65"/>
      <c r="L108" s="65"/>
      <c r="M108" s="65"/>
      <c r="N108" s="96"/>
      <c r="O108" s="96"/>
      <c r="P108" s="96"/>
      <c r="Q108" s="0"/>
      <c r="R108" s="0"/>
      <c r="S108" s="96"/>
      <c r="T108" s="65"/>
      <c r="U108" s="65"/>
      <c r="V108" s="65"/>
      <c r="W108" s="96"/>
      <c r="X108" s="96"/>
      <c r="Y108" s="96"/>
      <c r="Z108" s="34" t="s">
        <v>124</v>
      </c>
      <c r="AA108" s="0"/>
      <c r="AB108" s="96"/>
      <c r="AC108" s="65"/>
      <c r="AD108" s="65"/>
      <c r="AE108" s="65"/>
      <c r="AF108" s="96"/>
      <c r="AG108" s="96"/>
      <c r="AH108" s="96"/>
      <c r="AI108" s="0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34" t="s">
        <v>126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34" t="s">
        <v>131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127" t="s">
        <v>287</v>
      </c>
      <c r="B111" s="124" t="n">
        <v>0.0</v>
      </c>
      <c r="C111" s="124"/>
      <c r="D111" s="124"/>
      <c r="E111" s="124" t="n">
        <v>0.0</v>
      </c>
      <c r="F111" s="124"/>
      <c r="G111" s="124"/>
      <c r="H111" s="121"/>
      <c r="J111" s="0"/>
      <c r="K111" s="65"/>
      <c r="L111" s="65"/>
      <c r="M111" s="65"/>
      <c r="N111" s="65"/>
      <c r="O111" s="65"/>
      <c r="P111" s="65"/>
      <c r="Q111" s="0"/>
      <c r="R111" s="0"/>
      <c r="S111" s="0"/>
      <c r="T111" s="65"/>
      <c r="U111" s="65"/>
      <c r="V111" s="65"/>
      <c r="W111" s="65"/>
      <c r="X111" s="65"/>
      <c r="Y111" s="65"/>
      <c r="Z111" s="34" t="s">
        <v>132</v>
      </c>
      <c r="AA111" s="0"/>
      <c r="AB111" s="0"/>
      <c r="AC111" s="65"/>
      <c r="AD111" s="65"/>
      <c r="AE111" s="65"/>
      <c r="AF111" s="65"/>
      <c r="AG111" s="65"/>
      <c r="AH111" s="65"/>
      <c r="AI111" s="0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0"/>
      <c r="K114" s="65"/>
      <c r="L114" s="65"/>
      <c r="M114" s="65"/>
      <c r="N114" s="65"/>
      <c r="O114" s="65"/>
      <c r="P114" s="65"/>
      <c r="Q114" s="0"/>
      <c r="R114" s="0"/>
      <c r="S114" s="0"/>
      <c r="T114" s="65"/>
      <c r="U114" s="65"/>
      <c r="V114" s="65"/>
      <c r="W114" s="65"/>
      <c r="X114" s="65"/>
      <c r="Y114" s="65"/>
      <c r="Z114" s="0"/>
      <c r="AA114" s="0"/>
      <c r="AB114" s="0"/>
      <c r="AC114" s="65"/>
      <c r="AD114" s="65"/>
      <c r="AE114" s="65"/>
      <c r="AF114" s="65"/>
      <c r="AG114" s="65"/>
      <c r="AH114" s="65"/>
      <c r="AI114" s="0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65"/>
      <c r="K117" s="65"/>
      <c r="L117" s="65"/>
      <c r="M117" s="65"/>
      <c r="N117" s="65"/>
      <c r="O117" s="65"/>
      <c r="P117" s="65"/>
      <c r="Q117" s="65"/>
      <c r="R117" s="0"/>
      <c r="S117" s="65"/>
      <c r="T117" s="65"/>
      <c r="U117" s="65"/>
      <c r="V117" s="65"/>
      <c r="W117" s="65"/>
      <c r="X117" s="65"/>
      <c r="Y117" s="65"/>
      <c r="Z117" s="65"/>
      <c r="AA117" s="0"/>
      <c r="AB117" s="65"/>
      <c r="AC117" s="65"/>
      <c r="AD117" s="65"/>
      <c r="AE117" s="65"/>
      <c r="AF117" s="65"/>
      <c r="AG117" s="65"/>
      <c r="AH117" s="65"/>
      <c r="AI117" s="65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0"/>
      <c r="K119" s="65"/>
      <c r="L119" s="65"/>
      <c r="M119" s="65"/>
      <c r="N119" s="65"/>
      <c r="O119" s="65"/>
      <c r="P119" s="65"/>
      <c r="Q119" s="0"/>
      <c r="R119" s="0"/>
      <c r="S119" s="0"/>
      <c r="T119" s="65"/>
      <c r="U119" s="65"/>
      <c r="V119" s="65"/>
      <c r="W119" s="65"/>
      <c r="X119" s="65"/>
      <c r="Y119" s="65"/>
      <c r="Z119" s="0"/>
      <c r="AA119" s="0"/>
      <c r="AB119" s="0"/>
      <c r="AC119" s="65"/>
      <c r="AD119" s="65"/>
      <c r="AE119" s="65"/>
      <c r="AF119" s="65"/>
      <c r="AG119" s="65"/>
      <c r="AH119" s="65"/>
      <c r="AI119" s="0"/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v>0</v>
      </c>
      <c r="H121" s="13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0"/>
      <c r="K122" s="96"/>
      <c r="L122" s="96"/>
      <c r="M122" s="96"/>
      <c r="N122" s="96"/>
      <c r="O122" s="96"/>
      <c r="P122" s="96"/>
      <c r="Q122" s="96"/>
      <c r="R122" s="0"/>
      <c r="S122" s="0"/>
      <c r="T122" s="96"/>
      <c r="U122" s="96"/>
      <c r="V122" s="96"/>
      <c r="W122" s="96"/>
      <c r="X122" s="96"/>
      <c r="Y122" s="96"/>
      <c r="Z122" s="96"/>
      <c r="AA122" s="0"/>
      <c r="AB122" s="0"/>
      <c r="AC122" s="96"/>
      <c r="AD122" s="96"/>
      <c r="AE122" s="96"/>
      <c r="AF122" s="96"/>
      <c r="AG122" s="96"/>
      <c r="AH122" s="96"/>
      <c r="AI122" s="96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0</v>
      </c>
      <c r="H125" s="10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0"/>
      <c r="K130" s="65"/>
      <c r="L130" s="65"/>
      <c r="M130" s="65"/>
      <c r="N130" s="65"/>
      <c r="O130" s="65"/>
      <c r="P130" s="65"/>
      <c r="Q130" s="0"/>
      <c r="R130" s="0"/>
      <c r="S130" s="0"/>
      <c r="T130" s="65"/>
      <c r="U130" s="65"/>
      <c r="V130" s="65"/>
      <c r="W130" s="65"/>
      <c r="X130" s="65"/>
      <c r="Y130" s="65"/>
      <c r="Z130" s="0"/>
      <c r="AA130" s="0"/>
      <c r="AB130" s="0"/>
      <c r="AC130" s="65"/>
      <c r="AD130" s="65"/>
      <c r="AE130" s="65"/>
      <c r="AF130" s="65"/>
      <c r="AG130" s="65"/>
      <c r="AH130" s="65"/>
      <c r="AI130" s="0"/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0"/>
      <c r="K131" s="65"/>
      <c r="L131" s="65"/>
      <c r="M131" s="96"/>
      <c r="N131" s="96"/>
      <c r="O131" s="65"/>
      <c r="P131" s="65"/>
      <c r="Q131" s="0"/>
      <c r="R131" s="0"/>
      <c r="S131" s="0"/>
      <c r="T131" s="65"/>
      <c r="U131" s="65"/>
      <c r="V131" s="96"/>
      <c r="W131" s="96"/>
      <c r="X131" s="65"/>
      <c r="Y131" s="65"/>
      <c r="Z131" s="0"/>
      <c r="AA131" s="0"/>
      <c r="AB131" s="0"/>
      <c r="AC131" s="65"/>
      <c r="AD131" s="65"/>
      <c r="AE131" s="96"/>
      <c r="AF131" s="96"/>
      <c r="AG131" s="65"/>
      <c r="AH131" s="65"/>
      <c r="AI131" s="0"/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0"/>
      <c r="K132" s="65"/>
      <c r="L132" s="65"/>
      <c r="M132" s="96"/>
      <c r="N132" s="96"/>
      <c r="O132" s="65"/>
      <c r="P132" s="65"/>
      <c r="Q132" s="0"/>
      <c r="R132" s="0"/>
      <c r="S132" s="0"/>
      <c r="T132" s="65"/>
      <c r="U132" s="65"/>
      <c r="V132" s="96"/>
      <c r="W132" s="96"/>
      <c r="X132" s="65"/>
      <c r="Y132" s="65"/>
      <c r="Z132" s="0"/>
      <c r="AA132" s="0"/>
      <c r="AB132" s="0"/>
      <c r="AC132" s="65"/>
      <c r="AD132" s="65"/>
      <c r="AE132" s="96"/>
      <c r="AF132" s="96"/>
      <c r="AG132" s="65"/>
      <c r="AH132" s="65"/>
      <c r="AI132" s="0"/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0"/>
      <c r="K133" s="65"/>
      <c r="L133" s="65"/>
      <c r="M133" s="96"/>
      <c r="N133" s="96"/>
      <c r="O133" s="65"/>
      <c r="P133" s="65"/>
      <c r="Q133" s="0"/>
      <c r="R133" s="0"/>
      <c r="S133" s="0"/>
      <c r="T133" s="65"/>
      <c r="U133" s="65"/>
      <c r="V133" s="96"/>
      <c r="W133" s="96"/>
      <c r="X133" s="65"/>
      <c r="Y133" s="65"/>
      <c r="Z133" s="0"/>
      <c r="AA133" s="0"/>
      <c r="AB133" s="0"/>
      <c r="AC133" s="65"/>
      <c r="AD133" s="65"/>
      <c r="AE133" s="96"/>
      <c r="AF133" s="96"/>
      <c r="AG133" s="65"/>
      <c r="AH133" s="65"/>
      <c r="AI133" s="0"/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46854.17</v>
      </c>
      <c r="J135" s="65"/>
      <c r="K135" s="65"/>
      <c r="L135" s="65"/>
      <c r="M135" s="65"/>
      <c r="N135" s="65"/>
      <c r="O135" s="65"/>
      <c r="P135" s="0"/>
      <c r="Q135" s="0"/>
      <c r="R135" s="0"/>
      <c r="S135" s="65"/>
      <c r="T135" s="65"/>
      <c r="U135" s="65"/>
      <c r="V135" s="65"/>
      <c r="W135" s="65"/>
      <c r="X135" s="65"/>
      <c r="Y135" s="0"/>
      <c r="Z135" s="0"/>
      <c r="AA135" s="0"/>
      <c r="AB135" s="65"/>
      <c r="AC135" s="65"/>
      <c r="AD135" s="65"/>
      <c r="AE135" s="65"/>
      <c r="AF135" s="65"/>
      <c r="AG135" s="65"/>
      <c r="AH135" s="0"/>
      <c r="AI135" s="0"/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65"/>
      <c r="K136" s="65"/>
      <c r="L136" s="65"/>
      <c r="M136" s="65"/>
      <c r="N136" s="65"/>
      <c r="O136" s="65"/>
      <c r="P136" s="0"/>
      <c r="Q136" s="0"/>
      <c r="R136" s="0"/>
      <c r="S136" s="65"/>
      <c r="T136" s="65"/>
      <c r="U136" s="65"/>
      <c r="V136" s="65"/>
      <c r="W136" s="65"/>
      <c r="X136" s="65"/>
      <c r="Y136" s="0"/>
      <c r="Z136" s="0"/>
      <c r="AA136" s="0"/>
      <c r="AB136" s="65"/>
      <c r="AC136" s="65"/>
      <c r="AD136" s="65"/>
      <c r="AE136" s="65"/>
      <c r="AF136" s="65"/>
      <c r="AG136" s="65"/>
      <c r="AH136" s="0"/>
      <c r="AI136" s="0"/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9480.834</v>
      </c>
      <c r="J137" s="65"/>
      <c r="K137" s="65"/>
      <c r="L137" s="65"/>
      <c r="M137" s="65"/>
      <c r="N137" s="65"/>
      <c r="O137" s="65"/>
      <c r="P137" s="0"/>
      <c r="Q137" s="0"/>
      <c r="R137" s="0"/>
      <c r="S137" s="65"/>
      <c r="T137" s="65"/>
      <c r="U137" s="65"/>
      <c r="V137" s="65"/>
      <c r="W137" s="65"/>
      <c r="X137" s="65"/>
      <c r="Y137" s="0"/>
      <c r="Z137" s="0"/>
      <c r="AA137" s="0"/>
      <c r="AB137" s="65"/>
      <c r="AC137" s="65"/>
      <c r="AD137" s="65"/>
      <c r="AE137" s="65"/>
      <c r="AF137" s="65"/>
      <c r="AG137" s="65"/>
      <c r="AH137" s="0"/>
      <c r="AI137" s="0"/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65"/>
      <c r="K138" s="65"/>
      <c r="L138" s="65"/>
      <c r="M138" s="65"/>
      <c r="N138" s="65"/>
      <c r="O138" s="65"/>
      <c r="P138" s="0"/>
      <c r="Q138" s="0"/>
      <c r="R138" s="0"/>
      <c r="S138" s="65"/>
      <c r="T138" s="65"/>
      <c r="U138" s="65"/>
      <c r="V138" s="65"/>
      <c r="W138" s="65"/>
      <c r="X138" s="65"/>
      <c r="Y138" s="0"/>
      <c r="Z138" s="0"/>
      <c r="AA138" s="0"/>
      <c r="AB138" s="65"/>
      <c r="AC138" s="65"/>
      <c r="AD138" s="65"/>
      <c r="AE138" s="65"/>
      <c r="AF138" s="65"/>
      <c r="AG138" s="65"/>
      <c r="AH138" s="0"/>
      <c r="AI138" s="0"/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65"/>
      <c r="K139" s="65"/>
      <c r="L139" s="65"/>
      <c r="M139" s="65"/>
      <c r="N139" s="65"/>
      <c r="O139" s="65"/>
      <c r="P139" s="0"/>
      <c r="Q139" s="0"/>
      <c r="R139" s="0"/>
      <c r="S139" s="65"/>
      <c r="T139" s="65"/>
      <c r="U139" s="65"/>
      <c r="V139" s="65"/>
      <c r="W139" s="65"/>
      <c r="X139" s="65"/>
      <c r="Y139" s="0"/>
      <c r="Z139" s="0"/>
      <c r="AA139" s="0"/>
      <c r="AB139" s="65"/>
      <c r="AC139" s="65"/>
      <c r="AD139" s="65"/>
      <c r="AE139" s="65"/>
      <c r="AF139" s="65"/>
      <c r="AG139" s="65"/>
      <c r="AH139" s="0"/>
      <c r="AI139" s="0"/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65"/>
      <c r="K140" s="65"/>
      <c r="L140" s="65"/>
      <c r="M140" s="65"/>
      <c r="N140" s="65"/>
      <c r="O140" s="65"/>
      <c r="P140" s="0"/>
      <c r="Q140" s="0"/>
      <c r="R140" s="0"/>
      <c r="S140" s="65"/>
      <c r="T140" s="65"/>
      <c r="U140" s="65"/>
      <c r="V140" s="65"/>
      <c r="W140" s="65"/>
      <c r="X140" s="65"/>
      <c r="Y140" s="0"/>
      <c r="Z140" s="0"/>
      <c r="AA140" s="0"/>
      <c r="AB140" s="65"/>
      <c r="AC140" s="65"/>
      <c r="AD140" s="65"/>
      <c r="AE140" s="65"/>
      <c r="AF140" s="65"/>
      <c r="AG140" s="65"/>
      <c r="AH140" s="0"/>
      <c r="AI140" s="0"/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57525.004</v>
      </c>
      <c r="J141" s="65"/>
      <c r="K141" s="65"/>
      <c r="L141" s="65"/>
      <c r="M141" s="65"/>
      <c r="N141" s="65"/>
      <c r="O141" s="65"/>
      <c r="P141" s="0"/>
      <c r="Q141" s="0"/>
      <c r="R141" s="0"/>
      <c r="S141" s="65"/>
      <c r="T141" s="65"/>
      <c r="U141" s="65"/>
      <c r="V141" s="65"/>
      <c r="W141" s="65"/>
      <c r="X141" s="65"/>
      <c r="Y141" s="0"/>
      <c r="Z141" s="0"/>
      <c r="AA141" s="0"/>
      <c r="AB141" s="65"/>
      <c r="AC141" s="65"/>
      <c r="AD141" s="65"/>
      <c r="AE141" s="65"/>
      <c r="AF141" s="65"/>
      <c r="AG141" s="65"/>
      <c r="AH141" s="0"/>
      <c r="AI141" s="0"/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65"/>
      <c r="K142" s="65"/>
      <c r="L142" s="65"/>
      <c r="M142" s="65"/>
      <c r="N142" s="65"/>
      <c r="O142" s="65"/>
      <c r="P142" s="0"/>
      <c r="Q142" s="0"/>
      <c r="R142" s="0"/>
      <c r="S142" s="65"/>
      <c r="T142" s="65"/>
      <c r="U142" s="65"/>
      <c r="V142" s="65"/>
      <c r="W142" s="65"/>
      <c r="X142" s="65"/>
      <c r="Y142" s="0"/>
      <c r="Z142" s="0"/>
      <c r="AA142" s="0"/>
      <c r="AB142" s="65"/>
      <c r="AC142" s="65"/>
      <c r="AD142" s="65"/>
      <c r="AE142" s="65"/>
      <c r="AF142" s="65"/>
      <c r="AG142" s="65"/>
      <c r="AH142" s="0"/>
      <c r="AI142" s="0"/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65"/>
      <c r="K143" s="65"/>
      <c r="L143" s="65"/>
      <c r="M143" s="65"/>
      <c r="N143" s="65"/>
      <c r="O143" s="65"/>
      <c r="P143" s="0"/>
      <c r="Q143" s="0"/>
      <c r="R143" s="0"/>
      <c r="S143" s="65"/>
      <c r="T143" s="65"/>
      <c r="U143" s="65"/>
      <c r="V143" s="65"/>
      <c r="W143" s="65"/>
      <c r="X143" s="65"/>
      <c r="Y143" s="0"/>
      <c r="Z143" s="0"/>
      <c r="AA143" s="0"/>
      <c r="AB143" s="65"/>
      <c r="AC143" s="65"/>
      <c r="AD143" s="65"/>
      <c r="AE143" s="65"/>
      <c r="AF143" s="65"/>
      <c r="AG143" s="65"/>
      <c r="AH143" s="0"/>
      <c r="AI143" s="0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0"/>
      <c r="K144" s="65"/>
      <c r="L144" s="65"/>
      <c r="M144" s="65"/>
      <c r="N144" s="65"/>
      <c r="O144" s="65"/>
      <c r="P144" s="0"/>
      <c r="Q144" s="0"/>
      <c r="R144" s="0"/>
      <c r="S144" s="0"/>
      <c r="T144" s="65"/>
      <c r="U144" s="65"/>
      <c r="V144" s="65"/>
      <c r="W144" s="65"/>
      <c r="X144" s="65"/>
      <c r="Y144" s="0"/>
      <c r="Z144" s="0"/>
      <c r="AA144" s="0"/>
      <c r="AB144" s="0"/>
      <c r="AC144" s="65"/>
      <c r="AD144" s="65"/>
      <c r="AE144" s="65"/>
      <c r="AF144" s="65"/>
      <c r="AG144" s="65"/>
      <c r="AH144" s="0"/>
      <c r="AI144" s="0"/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0"/>
      <c r="K145" s="65"/>
      <c r="L145" s="65"/>
      <c r="M145" s="65"/>
      <c r="N145" s="65"/>
      <c r="O145" s="65"/>
      <c r="P145" s="0"/>
      <c r="Q145" s="0"/>
      <c r="R145" s="0"/>
      <c r="S145" s="0"/>
      <c r="T145" s="65"/>
      <c r="U145" s="65"/>
      <c r="V145" s="65"/>
      <c r="W145" s="65"/>
      <c r="X145" s="65"/>
      <c r="Y145" s="0"/>
      <c r="Z145" s="0"/>
      <c r="AA145" s="0"/>
      <c r="AB145" s="0"/>
      <c r="AC145" s="65"/>
      <c r="AD145" s="65"/>
      <c r="AE145" s="65"/>
      <c r="AF145" s="65"/>
      <c r="AG145" s="65"/>
      <c r="AH145" s="0"/>
      <c r="AI145" s="0"/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0"/>
      <c r="K146" s="65"/>
      <c r="L146" s="65"/>
      <c r="M146" s="65"/>
      <c r="N146" s="65"/>
      <c r="O146" s="65"/>
      <c r="P146" s="0"/>
      <c r="Q146" s="0"/>
      <c r="R146" s="0"/>
      <c r="S146" s="0"/>
      <c r="T146" s="65"/>
      <c r="U146" s="65"/>
      <c r="V146" s="65"/>
      <c r="W146" s="65"/>
      <c r="X146" s="65"/>
      <c r="Y146" s="0"/>
      <c r="Z146" s="0"/>
      <c r="AA146" s="0"/>
      <c r="AB146" s="0"/>
      <c r="AC146" s="65"/>
      <c r="AD146" s="65"/>
      <c r="AE146" s="65"/>
      <c r="AF146" s="65"/>
      <c r="AG146" s="65"/>
      <c r="AH146" s="0"/>
      <c r="AI146" s="0"/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57525.004</v>
      </c>
      <c r="J147" s="65"/>
      <c r="K147" s="65"/>
      <c r="L147" s="65"/>
      <c r="M147" s="65"/>
      <c r="N147" s="65"/>
      <c r="O147" s="65"/>
      <c r="P147" s="0"/>
      <c r="Q147" s="0"/>
      <c r="R147" s="0"/>
      <c r="S147" s="65"/>
      <c r="T147" s="65"/>
      <c r="U147" s="65"/>
      <c r="V147" s="65"/>
      <c r="W147" s="65"/>
      <c r="X147" s="65"/>
      <c r="Y147" s="0"/>
      <c r="Z147" s="0"/>
      <c r="AA147" s="0"/>
      <c r="AB147" s="65"/>
      <c r="AC147" s="65"/>
      <c r="AD147" s="65"/>
      <c r="AE147" s="65"/>
      <c r="AF147" s="65"/>
      <c r="AG147" s="65"/>
      <c r="AH147" s="0"/>
      <c r="AI147" s="0"/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-833.33</v>
      </c>
      <c r="I148" s="1" t="n">
        <f aca="false">(H148-G81)/1.2</f>
        <v>-694.441666666667</v>
      </c>
      <c r="J148" s="65"/>
      <c r="K148" s="65"/>
      <c r="L148" s="65"/>
      <c r="M148" s="65"/>
      <c r="N148" s="65"/>
      <c r="O148" s="65"/>
      <c r="P148" s="0"/>
      <c r="Q148" s="0"/>
      <c r="R148" s="0"/>
      <c r="S148" s="65"/>
      <c r="T148" s="65"/>
      <c r="U148" s="65"/>
      <c r="V148" s="65"/>
      <c r="W148" s="65"/>
      <c r="X148" s="65"/>
      <c r="Y148" s="0"/>
      <c r="Z148" s="0"/>
      <c r="AA148" s="0"/>
      <c r="AB148" s="65"/>
      <c r="AC148" s="65"/>
      <c r="AD148" s="65"/>
      <c r="AE148" s="65"/>
      <c r="AF148" s="65"/>
      <c r="AG148" s="65"/>
      <c r="AH148" s="0"/>
      <c r="AI148" s="0"/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65"/>
      <c r="K150" s="65"/>
      <c r="L150" s="65"/>
      <c r="M150" s="65"/>
      <c r="N150" s="65"/>
      <c r="O150" s="65"/>
      <c r="P150" s="65"/>
      <c r="Q150" s="65"/>
      <c r="R150" s="0"/>
      <c r="S150" s="65"/>
      <c r="T150" s="65"/>
      <c r="U150" s="65"/>
      <c r="V150" s="65"/>
      <c r="W150" s="65"/>
      <c r="X150" s="65"/>
      <c r="Y150" s="65"/>
      <c r="Z150" s="65"/>
      <c r="AA150" s="0"/>
      <c r="AB150" s="65"/>
      <c r="AC150" s="65"/>
      <c r="AD150" s="65"/>
      <c r="AE150" s="65"/>
      <c r="AF150" s="65"/>
      <c r="AG150" s="65"/>
      <c r="AH150" s="65"/>
      <c r="AI150" s="65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0.0</v>
      </c>
      <c r="F152" s="124"/>
      <c r="G152" s="124" t="n">
        <v>0.0</v>
      </c>
      <c r="H152" s="124"/>
      <c r="J152" s="0"/>
      <c r="K152" s="0"/>
      <c r="L152" s="0"/>
      <c r="M152" s="0"/>
      <c r="N152" s="65"/>
      <c r="O152" s="65"/>
      <c r="P152" s="65"/>
      <c r="Q152" s="65"/>
      <c r="R152" s="0"/>
      <c r="S152" s="0"/>
      <c r="T152" s="0"/>
      <c r="U152" s="0"/>
      <c r="V152" s="0"/>
      <c r="W152" s="65"/>
      <c r="X152" s="65"/>
      <c r="Y152" s="65"/>
      <c r="Z152" s="65"/>
      <c r="AA152" s="0"/>
      <c r="AB152" s="0"/>
      <c r="AC152" s="0"/>
      <c r="AD152" s="0"/>
      <c r="AE152" s="0"/>
      <c r="AF152" s="65"/>
      <c r="AG152" s="65"/>
      <c r="AH152" s="65"/>
      <c r="AI152" s="65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0.0</v>
      </c>
      <c r="H153" s="124"/>
      <c r="J153" s="0"/>
      <c r="K153" s="0"/>
      <c r="L153" s="0"/>
      <c r="M153" s="0"/>
      <c r="N153" s="65"/>
      <c r="O153" s="65"/>
      <c r="P153" s="65"/>
      <c r="Q153" s="65"/>
      <c r="R153" s="0"/>
      <c r="S153" s="0"/>
      <c r="T153" s="0"/>
      <c r="U153" s="0"/>
      <c r="V153" s="0"/>
      <c r="W153" s="65"/>
      <c r="X153" s="65"/>
      <c r="Y153" s="65"/>
      <c r="Z153" s="65"/>
      <c r="AA153" s="0"/>
      <c r="AB153" s="0"/>
      <c r="AC153" s="0"/>
      <c r="AD153" s="0"/>
      <c r="AE153" s="0"/>
      <c r="AF153" s="65"/>
      <c r="AG153" s="65"/>
      <c r="AH153" s="65"/>
      <c r="AI153" s="65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0"/>
      <c r="K154" s="0"/>
      <c r="L154" s="0"/>
      <c r="M154" s="0"/>
      <c r="N154" s="65"/>
      <c r="O154" s="65"/>
      <c r="P154" s="65"/>
      <c r="Q154" s="65"/>
      <c r="R154" s="0"/>
      <c r="S154" s="0"/>
      <c r="T154" s="0"/>
      <c r="U154" s="0"/>
      <c r="V154" s="0"/>
      <c r="W154" s="65"/>
      <c r="X154" s="65"/>
      <c r="Y154" s="65"/>
      <c r="Z154" s="65"/>
      <c r="AA154" s="0"/>
      <c r="AB154" s="0"/>
      <c r="AC154" s="0"/>
      <c r="AD154" s="0"/>
      <c r="AE154" s="0"/>
      <c r="AF154" s="65"/>
      <c r="AG154" s="65"/>
      <c r="AH154" s="65"/>
      <c r="AI154" s="65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0"/>
      <c r="K155" s="0"/>
      <c r="L155" s="0"/>
      <c r="M155" s="0"/>
      <c r="N155" s="65"/>
      <c r="O155" s="65"/>
      <c r="P155" s="0"/>
      <c r="Q155" s="0"/>
      <c r="R155" s="0"/>
      <c r="S155" s="0"/>
      <c r="T155" s="0"/>
      <c r="U155" s="0"/>
      <c r="V155" s="0"/>
      <c r="W155" s="65"/>
      <c r="X155" s="65"/>
      <c r="Y155" s="0"/>
      <c r="Z155" s="0"/>
      <c r="AA155" s="0"/>
      <c r="AB155" s="0"/>
      <c r="AC155" s="0"/>
      <c r="AD155" s="0"/>
      <c r="AE155" s="0"/>
      <c r="AF155" s="65"/>
      <c r="AG155" s="65"/>
      <c r="AH155" s="0"/>
      <c r="AI155" s="0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0"/>
      <c r="K157" s="0"/>
      <c r="L157" s="0"/>
      <c r="M157" s="0"/>
      <c r="N157" s="0"/>
      <c r="O157" s="0"/>
      <c r="P157" s="65"/>
      <c r="Q157" s="65"/>
      <c r="R157" s="0"/>
      <c r="S157" s="0"/>
      <c r="T157" s="0"/>
      <c r="U157" s="0"/>
      <c r="V157" s="0"/>
      <c r="W157" s="0"/>
      <c r="X157" s="0"/>
      <c r="Y157" s="65"/>
      <c r="Z157" s="65"/>
      <c r="AA157" s="0"/>
      <c r="AB157" s="0"/>
      <c r="AC157" s="0"/>
      <c r="AD157" s="0"/>
      <c r="AE157" s="0"/>
      <c r="AF157" s="0"/>
      <c r="AG157" s="0"/>
      <c r="AH157" s="65"/>
      <c r="AI157" s="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57525.004</v>
      </c>
      <c r="H158" s="167"/>
      <c r="J158" s="0"/>
      <c r="K158" s="0"/>
      <c r="L158" s="0"/>
      <c r="M158" s="0"/>
      <c r="N158" s="0"/>
      <c r="O158" s="0"/>
      <c r="P158" s="65"/>
      <c r="Q158" s="65"/>
      <c r="R158" s="0"/>
      <c r="S158" s="0"/>
      <c r="T158" s="0"/>
      <c r="U158" s="0"/>
      <c r="V158" s="0"/>
      <c r="W158" s="0"/>
      <c r="X158" s="0"/>
      <c r="Y158" s="65"/>
      <c r="Z158" s="65"/>
      <c r="AA158" s="0"/>
      <c r="AB158" s="0"/>
      <c r="AC158" s="0"/>
      <c r="AD158" s="0"/>
      <c r="AE158" s="0"/>
      <c r="AF158" s="0"/>
      <c r="AG158" s="0"/>
      <c r="AH158" s="65"/>
      <c r="AI158" s="65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0"/>
      <c r="K159" s="0"/>
      <c r="L159" s="0"/>
      <c r="M159" s="0"/>
      <c r="N159" s="0"/>
      <c r="O159" s="0"/>
      <c r="P159" s="65"/>
      <c r="Q159" s="65"/>
      <c r="R159" s="0"/>
      <c r="S159" s="0"/>
      <c r="T159" s="0"/>
      <c r="U159" s="0"/>
      <c r="V159" s="0"/>
      <c r="W159" s="0"/>
      <c r="X159" s="0"/>
      <c r="Y159" s="65"/>
      <c r="Z159" s="65"/>
      <c r="AA159" s="0"/>
      <c r="AB159" s="0"/>
      <c r="AC159" s="0"/>
      <c r="AD159" s="0"/>
      <c r="AE159" s="0"/>
      <c r="AF159" s="0"/>
      <c r="AG159" s="0"/>
      <c r="AH159" s="65"/>
      <c r="AI159" s="65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65"/>
      <c r="K162" s="65"/>
      <c r="L162" s="65"/>
      <c r="M162" s="65"/>
      <c r="N162" s="65"/>
      <c r="O162" s="65"/>
      <c r="P162" s="65"/>
      <c r="Q162" s="65"/>
      <c r="R162" s="0"/>
      <c r="S162" s="65"/>
      <c r="T162" s="65"/>
      <c r="U162" s="65"/>
      <c r="V162" s="65"/>
      <c r="W162" s="65"/>
      <c r="X162" s="65"/>
      <c r="Y162" s="65"/>
      <c r="Z162" s="65"/>
      <c r="AA162" s="0"/>
      <c r="AB162" s="65"/>
      <c r="AC162" s="65"/>
      <c r="AD162" s="65"/>
      <c r="AE162" s="65"/>
      <c r="AF162" s="65"/>
      <c r="AG162" s="65"/>
      <c r="AH162" s="65"/>
      <c r="AI162" s="65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0"/>
      <c r="K164" s="65"/>
      <c r="L164" s="65"/>
      <c r="M164" s="0"/>
      <c r="N164" s="0"/>
      <c r="O164" s="0"/>
      <c r="P164" s="0"/>
      <c r="Q164" s="0"/>
      <c r="R164" s="0"/>
      <c r="S164" s="0"/>
      <c r="T164" s="65"/>
      <c r="U164" s="65"/>
      <c r="V164" s="0"/>
      <c r="W164" s="0"/>
      <c r="X164" s="0"/>
      <c r="Y164" s="0"/>
      <c r="Z164" s="0"/>
      <c r="AA164" s="0"/>
      <c r="AB164" s="0"/>
      <c r="AC164" s="65"/>
      <c r="AD164" s="6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2" t="n">
        <f aca="false">B95</f>
        <v>1520.65720802426</v>
      </c>
      <c r="B167" s="173" t="str">
        <f aca="false">B94</f>
        <v>0</v>
      </c>
      <c r="C167" s="171"/>
      <c r="D167" s="171"/>
      <c r="E167" s="173" t="n">
        <f aca="false">B96</f>
        <v>1520.65720802426</v>
      </c>
      <c r="F167" s="31"/>
      <c r="G167" s="31"/>
      <c r="H167" s="1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174" t="n">
        <f aca="false">K29</f>
        <v>0</v>
      </c>
      <c r="B170" s="175" t="n">
        <f aca="false">K30</f>
        <v>0</v>
      </c>
      <c r="C170" s="176"/>
      <c r="D170" s="31"/>
      <c r="E170" s="177" t="str">
        <f aca="false">IF(A111="YES", A40, 0)</f>
        <v>Monthly maintenance rental (Ex. VAT)</v>
      </c>
      <c r="F170" s="31"/>
      <c r="G170" s="31"/>
      <c r="H170" s="1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78" t="n">
        <f aca="false">H141-H137-H139-H140</f>
        <v>47404.17</v>
      </c>
      <c r="B173" s="23" t="n">
        <f aca="false">H137</f>
        <v>9480.834</v>
      </c>
      <c r="C173" s="179"/>
      <c r="D173" s="31"/>
      <c r="E173" s="177" t="n">
        <f aca="false">H139+H140</f>
        <v>640</v>
      </c>
      <c r="F173" s="31"/>
      <c r="G173" s="31"/>
      <c r="H173" s="12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78" t="n">
        <f aca="false">H147</f>
        <v>57525.004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57525.004</v>
      </c>
      <c r="F179" s="31"/>
      <c r="G179" s="31"/>
      <c r="H179" s="18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22" t="n">
        <v>500</v>
      </c>
      <c r="B182" s="23" t="str">
        <f aca="false">B114</f>
        <v>199.99</v>
      </c>
      <c r="C182" s="23"/>
      <c r="D182" s="31"/>
      <c r="E182" s="23" t="n">
        <f aca="false">E179+A182+B182+A185</f>
        <v>58234.994</v>
      </c>
      <c r="F182" s="31"/>
      <c r="G182" s="31"/>
      <c r="H182" s="18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7" t="n">
        <v>3</v>
      </c>
      <c r="B183" s="14"/>
      <c r="C183" s="14"/>
      <c r="D183" s="31"/>
      <c r="E183" s="14"/>
      <c r="F183" s="31"/>
      <c r="G183" s="31"/>
      <c r="H183" s="12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e">
        <f aca="false">E170+A185</f>
        <v>#VALUE!</v>
      </c>
      <c r="F185" s="31"/>
      <c r="G185" s="31"/>
      <c r="H185" s="18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143.81251</v>
      </c>
      <c r="C188" s="14"/>
      <c r="D188" s="14"/>
      <c r="E188" s="23" t="n">
        <f aca="false">(E40*A108)*0.1</f>
        <v>0</v>
      </c>
      <c r="F188" s="31"/>
      <c r="G188" s="31"/>
      <c r="H188" s="12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243.80251</v>
      </c>
      <c r="C191" s="14"/>
      <c r="D191" s="14"/>
      <c r="E191" s="23" t="n">
        <f aca="false">H148</f>
        <v>-833.33</v>
      </c>
      <c r="F191" s="31"/>
      <c r="G191" s="31"/>
      <c r="H191" s="12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65"/>
      <c r="K195" s="65"/>
      <c r="L195" s="65"/>
      <c r="M195" s="65"/>
      <c r="N195" s="0"/>
      <c r="O195" s="0"/>
      <c r="P195" s="0"/>
      <c r="Q195" s="0"/>
      <c r="R195" s="0"/>
      <c r="S195" s="65"/>
      <c r="T195" s="65"/>
      <c r="U195" s="65"/>
      <c r="V195" s="65"/>
      <c r="W195" s="0"/>
      <c r="X195" s="0"/>
      <c r="Y195" s="0"/>
      <c r="Z195" s="0"/>
      <c r="AA195" s="0"/>
      <c r="AB195" s="65"/>
      <c r="AC195" s="65"/>
      <c r="AD195" s="65"/>
      <c r="AE195" s="65"/>
      <c r="AF195" s="0"/>
      <c r="AG195" s="0"/>
      <c r="AH195" s="0"/>
      <c r="AI195" s="0"/>
    </row>
    <row r="196" customFormat="false" ht="19.5" hidden="false" customHeight="true" outlineLevel="0" collapsed="false">
      <c r="A196" s="186"/>
      <c r="B196" s="188" t="n">
        <f aca="false">K30</f>
        <v>0</v>
      </c>
      <c r="C196" s="188"/>
      <c r="D196" s="188"/>
      <c r="E196" s="31"/>
      <c r="F196" s="31"/>
      <c r="G196" s="31"/>
      <c r="H196" s="12"/>
      <c r="J196" s="65"/>
      <c r="K196" s="65"/>
      <c r="L196" s="65"/>
      <c r="M196" s="65"/>
      <c r="N196" s="0"/>
      <c r="O196" s="0"/>
      <c r="P196" s="0"/>
      <c r="Q196" s="0"/>
      <c r="R196" s="0"/>
      <c r="S196" s="65"/>
      <c r="T196" s="65"/>
      <c r="U196" s="65"/>
      <c r="V196" s="65"/>
      <c r="W196" s="0"/>
      <c r="X196" s="0"/>
      <c r="Y196" s="0"/>
      <c r="Z196" s="0"/>
      <c r="AA196" s="0"/>
      <c r="AB196" s="65"/>
      <c r="AC196" s="65"/>
      <c r="AD196" s="65"/>
      <c r="AE196" s="65"/>
      <c r="AF196" s="0"/>
      <c r="AG196" s="0"/>
      <c r="AH196" s="0"/>
      <c r="AI196" s="0"/>
    </row>
    <row r="197" customFormat="false" ht="17.35" hidden="false" customHeight="false" outlineLevel="0" collapsed="false">
      <c r="A197" s="189" t="n">
        <f aca="false">K29</f>
        <v>0</v>
      </c>
      <c r="B197" s="85" t="n">
        <f aca="false">B96</f>
        <v>1520.65720802426</v>
      </c>
      <c r="C197" s="85"/>
      <c r="D197" s="85"/>
      <c r="E197" s="31"/>
      <c r="F197" s="31"/>
      <c r="G197" s="31"/>
      <c r="H197" s="12"/>
      <c r="J197" s="0"/>
      <c r="K197" s="65"/>
      <c r="L197" s="65"/>
      <c r="M197" s="65"/>
      <c r="N197" s="0"/>
      <c r="O197" s="0"/>
      <c r="P197" s="0"/>
      <c r="Q197" s="0"/>
      <c r="R197" s="0"/>
      <c r="S197" s="0"/>
      <c r="T197" s="65"/>
      <c r="U197" s="65"/>
      <c r="V197" s="65"/>
      <c r="W197" s="0"/>
      <c r="X197" s="0"/>
      <c r="Y197" s="0"/>
      <c r="Z197" s="0"/>
      <c r="AA197" s="0"/>
      <c r="AB197" s="0"/>
      <c r="AC197" s="65"/>
      <c r="AD197" s="65"/>
      <c r="AE197" s="65"/>
      <c r="AF197" s="0"/>
      <c r="AG197" s="0"/>
      <c r="AH197" s="0"/>
      <c r="AI197" s="0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9" colorId="64" zoomScale="65" zoomScaleNormal="6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227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26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228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229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230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231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232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233</v>
      </c>
      <c r="F32" s="14"/>
      <c r="G32" s="14"/>
      <c r="H32" s="12"/>
      <c r="I32" s="2"/>
      <c r="J32" s="261" t="s">
        <v>234</v>
      </c>
      <c r="K32" s="267" t="n">
        <v>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922.920864561026</v>
      </c>
      <c r="F33" s="57"/>
      <c r="G33" s="57"/>
      <c r="H33" s="126"/>
      <c r="I33" s="2"/>
      <c r="J33" s="263" t="s">
        <v>235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236</v>
      </c>
      <c r="B35" s="14" t="s">
        <v>237</v>
      </c>
      <c r="C35" s="14"/>
      <c r="D35" s="32"/>
      <c r="E35" s="14" t="s">
        <v>238</v>
      </c>
      <c r="F35" s="179"/>
      <c r="G35" s="179"/>
      <c r="H35" s="126"/>
      <c r="I35" s="2"/>
      <c r="J35" s="269" t="s">
        <v>239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str">
        <f aca="false">IF(B26="YES", K42, "0.00")</f>
        <v>0.00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240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241</v>
      </c>
      <c r="B39" s="14" t="s">
        <v>242</v>
      </c>
      <c r="C39" s="14"/>
      <c r="D39" s="32"/>
      <c r="E39" s="14" t="s">
        <v>243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44866.9008605665</v>
      </c>
      <c r="N39" s="1" t="n">
        <f aca="false">K39-L39</f>
        <v>4010.59913943349</v>
      </c>
      <c r="P39" s="32"/>
    </row>
    <row r="40" customFormat="false" ht="17.35" hidden="false" customHeight="false" outlineLevel="0" collapsed="false">
      <c r="A40" s="124" t="n">
        <f aca="false">E36*A45/100</f>
        <v>27500</v>
      </c>
      <c r="B40" s="124" t="str">
        <f aca="false">IF(B26="YES",K42,"0")</f>
        <v>0</v>
      </c>
      <c r="C40" s="124"/>
      <c r="D40" s="124"/>
      <c r="E40" s="177" t="n">
        <f aca="false">K32</f>
        <v>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4010.59913943349</v>
      </c>
      <c r="N40" s="1" t="n">
        <f aca="false">N38-N39</f>
        <v>-1098.91913943349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244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245</v>
      </c>
      <c r="K42" s="2" t="n">
        <f aca="false">(K32/K36)*C45/100</f>
        <v>0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246</v>
      </c>
      <c r="K43" s="2"/>
      <c r="L43" s="2"/>
      <c r="P43" s="32"/>
    </row>
    <row r="44" customFormat="false" ht="17.35" hidden="false" customHeight="false" outlineLevel="0" collapsed="false">
      <c r="A44" s="181" t="s">
        <v>247</v>
      </c>
      <c r="B44" s="14"/>
      <c r="C44" s="199" t="s">
        <v>248</v>
      </c>
      <c r="D44" s="199"/>
      <c r="E44" s="14"/>
      <c r="F44" s="14"/>
      <c r="G44" s="14"/>
      <c r="H44" s="12"/>
      <c r="J44" s="2" t="s">
        <v>249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72" t="s">
        <v>250</v>
      </c>
      <c r="B45" s="14"/>
      <c r="C45" s="273" t="s">
        <v>250</v>
      </c>
      <c r="D45" s="273"/>
      <c r="E45" s="273"/>
      <c r="F45" s="14"/>
      <c r="G45" s="14"/>
      <c r="H45" s="12"/>
      <c r="J45" s="2" t="s">
        <v>251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252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253</v>
      </c>
      <c r="K47" s="2" t="n">
        <f aca="false">K45/K46</f>
        <v>922.920864561026</v>
      </c>
      <c r="L47" s="2" t="n">
        <f aca="false">L49-K42</f>
        <v>800</v>
      </c>
      <c r="M47" s="1" t="n">
        <f aca="false">K47-L47</f>
        <v>122.920864561025</v>
      </c>
      <c r="P47" s="32"/>
    </row>
    <row r="48" customFormat="false" ht="31.8" hidden="false" customHeight="false" outlineLevel="0" collapsed="false">
      <c r="A48" s="182" t="s">
        <v>254</v>
      </c>
      <c r="B48" s="14"/>
      <c r="C48" s="14"/>
      <c r="D48" s="183"/>
      <c r="E48" s="183"/>
      <c r="F48" s="183"/>
      <c r="G48" s="183"/>
      <c r="H48" s="184"/>
      <c r="J48" s="79" t="s">
        <v>255</v>
      </c>
      <c r="K48" s="2" t="n">
        <f aca="false">IF(B26="YES", K47+K42, K47)</f>
        <v>922.920864561026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256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922.920864561026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0.024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9431.52556441513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-756.0974340266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0.01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(G158*B67)</f>
        <v>585.25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B73*K29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14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B77/K29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922.920864561026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922.920864561026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45468.749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IF(A111 = "Yes", A40, 0)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11" t="n">
        <f aca="false">B62+B63+B64</f>
        <v>0.089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0.00741666666666667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21076.7652577131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30.7264493562845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37448.2347422869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26865.8831902377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1218.7621911032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927.687248290581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42656.676688612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32469.0536901703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42656.676688612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32469.0536901703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12" t="str">
        <f aca="false">IF(B26="YES",((E40/B85)*(1+A108)),"0")</f>
        <v>0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0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0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0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1218.7621911032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927.687248290581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B94+B95</f>
        <v>1218.7621911032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1477.31306457009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927.687248290581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927.687248290581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225</v>
      </c>
      <c r="B100" s="3"/>
      <c r="C100" s="3"/>
      <c r="D100" s="3"/>
      <c r="E100" s="3"/>
      <c r="F100" s="3"/>
      <c r="G100" s="3"/>
      <c r="H100" s="3"/>
      <c r="J100" s="3" t="s">
        <v>257</v>
      </c>
      <c r="K100" s="3"/>
      <c r="L100" s="3"/>
      <c r="M100" s="3"/>
      <c r="N100" s="3"/>
      <c r="O100" s="3"/>
      <c r="P100" s="3"/>
      <c r="Q100" s="3"/>
      <c r="S100" s="3" t="s">
        <v>111</v>
      </c>
      <c r="T100" s="3"/>
      <c r="U100" s="3"/>
      <c r="V100" s="3"/>
      <c r="W100" s="3"/>
      <c r="X100" s="3"/>
      <c r="Y100" s="3"/>
      <c r="Z100" s="3"/>
      <c r="AB100" s="3" t="s">
        <v>258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226</v>
      </c>
      <c r="C108" s="124"/>
      <c r="D108" s="124"/>
      <c r="E108" s="125" t="n">
        <f aca="false">B83</f>
        <v>0.089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259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259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(U121*U122)+U123</f>
        <v>11713.5425</v>
      </c>
      <c r="V124" s="141" t="n">
        <f aca="false">(V121*V122)+V123</f>
        <v>0</v>
      </c>
      <c r="W124" s="142" t="n">
        <f aca="false">(W121*W122)+W123</f>
        <v>0</v>
      </c>
      <c r="X124" s="141" t="n">
        <f aca="false">(X121*X122)+X123</f>
        <v>0</v>
      </c>
      <c r="Y124" s="142" t="n">
        <f aca="false">(Y121*Y122)+Y123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35140.6275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35973.9575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7304.7915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44468.749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44468.749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0</v>
      </c>
      <c r="I148" s="1" t="n">
        <f aca="false">(H148-G81)/1.2</f>
        <v>0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-14056.251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45468.749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1218.7621911032</v>
      </c>
      <c r="B167" s="173" t="str">
        <f aca="false">B94</f>
        <v>0</v>
      </c>
      <c r="C167" s="171"/>
      <c r="D167" s="171"/>
      <c r="E167" s="173" t="n">
        <f aca="false">B96</f>
        <v>1218.7621911032</v>
      </c>
      <c r="F167" s="31"/>
      <c r="G167" s="31"/>
      <c r="H167" s="12"/>
      <c r="J167" s="172" t="n">
        <f aca="false">K95</f>
        <v>1477.31306457009</v>
      </c>
      <c r="K167" s="173" t="n">
        <f aca="false">K94</f>
        <v>0</v>
      </c>
      <c r="L167" s="171"/>
      <c r="M167" s="171"/>
      <c r="N167" s="173" t="n">
        <f aca="false">K96</f>
        <v>1477.31306457009</v>
      </c>
      <c r="O167" s="31"/>
      <c r="P167" s="31"/>
      <c r="Q167" s="12"/>
      <c r="S167" s="172" t="n">
        <f aca="false">T95</f>
        <v>927.687248290581</v>
      </c>
      <c r="T167" s="173" t="n">
        <f aca="false">T94</f>
        <v>0</v>
      </c>
      <c r="U167" s="171"/>
      <c r="V167" s="171"/>
      <c r="W167" s="173" t="n">
        <f aca="false">T96</f>
        <v>927.687248290581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0</v>
      </c>
      <c r="AD167" s="171"/>
      <c r="AE167" s="171"/>
      <c r="AF167" s="173" t="n">
        <f aca="false">AC96</f>
        <v>927.687248290581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K29</f>
        <v>36</v>
      </c>
      <c r="B170" s="175" t="n">
        <f aca="false">K30</f>
        <v>10000</v>
      </c>
      <c r="C170" s="176"/>
      <c r="D170" s="31"/>
      <c r="E170" s="177" t="n">
        <f aca="false">IF(A111="YES", 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36523.9575</v>
      </c>
      <c r="T173" s="23" t="n">
        <f aca="false">Z137</f>
        <v>7304.7915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H147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44468.749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45468.749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11631.676688612</v>
      </c>
      <c r="B182" s="23" t="str">
        <f aca="false">B114</f>
        <v>199.99</v>
      </c>
      <c r="C182" s="23"/>
      <c r="D182" s="31"/>
      <c r="E182" s="23" t="n">
        <f aca="false">E179+A182+B182+A185</f>
        <v>70366.6666886121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14500.3046901703</v>
      </c>
      <c r="T182" s="23" t="n">
        <f aca="false">T114</f>
        <v>199.99</v>
      </c>
      <c r="U182" s="23"/>
      <c r="V182" s="31"/>
      <c r="W182" s="23" t="n">
        <f aca="false">W179+S182+T182+S185</f>
        <v>60179.0436901703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585.25</v>
      </c>
      <c r="C188" s="14"/>
      <c r="D188" s="14"/>
      <c r="E188" s="23" t="n">
        <f aca="false">(E40*A108)*0.1</f>
        <v>0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0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378.906241666667</v>
      </c>
      <c r="U188" s="14"/>
      <c r="V188" s="14"/>
      <c r="W188" s="23" t="n">
        <f aca="false">(E40*S108)*0.1</f>
        <v>0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0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685.24</v>
      </c>
      <c r="C191" s="14"/>
      <c r="D191" s="14"/>
      <c r="E191" s="23" t="n">
        <f aca="false">H148</f>
        <v>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3493.4275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1478.89624166667</v>
      </c>
      <c r="U191" s="14"/>
      <c r="V191" s="14"/>
      <c r="W191" s="23" t="n">
        <f aca="false">Z148</f>
        <v>-14056.251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1518.89624166667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n">
        <f aca="false">K30</f>
        <v>10000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K29</f>
        <v>36</v>
      </c>
      <c r="B197" s="85" t="n">
        <f aca="false">B96</f>
        <v>1218.7621911032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1477.31306457009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927.687248290581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927.687248290581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7" colorId="64" zoomScale="65" zoomScaleNormal="65" zoomScalePageLayoutView="100" workbookViewId="0">
      <selection pane="topLeft" activeCell="B95" activeCellId="0" sqref="B95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0</v>
      </c>
      <c r="B41" s="71" t="str">
        <f aca="false">IF(B38="YES", D38+A41, D38)</f>
        <v>500</v>
      </c>
      <c r="C41" s="71"/>
      <c r="D41" s="75" t="n">
        <v>6000</v>
      </c>
      <c r="E41" s="75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I44" s="212" t="n">
        <f aca="false">((A41*(B35-1))+D32)/B35</f>
        <v>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179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501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182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183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10767.2833333333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91.211355385236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6858.49468871857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0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571.541224059881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571.541224059881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260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191</v>
      </c>
      <c r="C105" s="249"/>
      <c r="D105" s="250" t="n">
        <v>1000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0</v>
      </c>
      <c r="C111" s="249"/>
      <c r="D111" s="124" t="s">
        <v>196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197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25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571.541224059881</v>
      </c>
      <c r="B136" s="173" t="n">
        <f aca="false">IF(A111="YES", B95*B63, 0)</f>
        <v>0</v>
      </c>
      <c r="C136" s="173"/>
      <c r="D136" s="173" t="n">
        <f aca="false">B97</f>
        <v>571.541224059881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5143.87101653893</v>
      </c>
      <c r="B139" s="23" t="n">
        <f aca="false">IF(A111="YES", B95*B63, 0)</f>
        <v>0</v>
      </c>
      <c r="C139" s="42"/>
      <c r="D139" s="70" t="n">
        <f aca="false">B97*B63</f>
        <v>5143.87101653893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99.99</v>
      </c>
      <c r="C148" s="23"/>
      <c r="D148" s="23" t="n">
        <f aca="false">(B145+D145+A148+B148)-B151</f>
        <v>582.365</v>
      </c>
      <c r="E148" s="180"/>
      <c r="F148" s="34"/>
      <c r="G148" s="22" t="n">
        <f aca="false">IF(G111="YES", ((A41*H111)*0.1)*(G133), 0)</f>
        <v>0</v>
      </c>
      <c r="H148" s="23" t="n">
        <f aca="false">G108-100</f>
        <v>139.988</v>
      </c>
      <c r="I148" s="23"/>
      <c r="J148" s="23" t="n">
        <f aca="false">(H145+J145+G148+H148)-H151</f>
        <v>1461.1755</v>
      </c>
      <c r="K148" s="180"/>
      <c r="L148" s="34"/>
      <c r="M148" s="22" t="n">
        <f aca="false">IF(M111="YES", ((A41*N111)*0.1)*(M133), 0)</f>
        <v>0</v>
      </c>
      <c r="N148" s="23" t="n">
        <f aca="false">M108-100</f>
        <v>99.99</v>
      </c>
      <c r="O148" s="23"/>
      <c r="P148" s="23" t="n">
        <f aca="false">(N145+P145+M148+N148)-N151</f>
        <v>1421.1775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571.541224059881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65" zoomScaleNormal="65" zoomScalePageLayoutView="100" workbookViewId="0">
      <selection pane="topLeft" activeCell="J112" activeCellId="0" sqref="J112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60</v>
      </c>
      <c r="E32" s="47"/>
      <c r="F32" s="34"/>
      <c r="G32" s="48" t="s">
        <v>43</v>
      </c>
      <c r="H32" s="46" t="str">
        <f aca="false">A41</f>
        <v>60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str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560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261</v>
      </c>
      <c r="B41" s="71" t="n">
        <f aca="false">IF(B38="YES", D38+A41, D38)</f>
        <v>560</v>
      </c>
      <c r="C41" s="71"/>
      <c r="D41" s="64" t="s">
        <v>262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500.833333333333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263</v>
      </c>
      <c r="B44" s="64" t="n">
        <v>1</v>
      </c>
      <c r="C44" s="64"/>
      <c r="D44" s="64" t="s">
        <v>264</v>
      </c>
      <c r="E44" s="64"/>
      <c r="F44" s="34"/>
      <c r="G44" s="34" t="s">
        <v>70</v>
      </c>
      <c r="H44" s="67" t="str">
        <f aca="false">H32</f>
        <v>60</v>
      </c>
      <c r="I44" s="212" t="n">
        <f aca="false">((A41*(B35-1))+D32)/B35</f>
        <v>60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560.833333333333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500.833333333333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s">
        <v>265</v>
      </c>
      <c r="C47" s="277"/>
      <c r="D47" s="64" t="s">
        <v>265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179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560.833333333333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 t="s">
        <v>266</v>
      </c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1" t="s">
        <v>182</v>
      </c>
      <c r="B80" s="232" t="n">
        <v>0</v>
      </c>
      <c r="C80" s="36"/>
      <c r="D80" s="36"/>
      <c r="E80" s="230" t="n">
        <f aca="false">E79+D82</f>
        <v>660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3" t="s">
        <v>183</v>
      </c>
      <c r="B81" s="234" t="n">
        <v>0</v>
      </c>
      <c r="C81" s="36"/>
      <c r="D81" s="36"/>
      <c r="E81" s="37" t="n">
        <f aca="false">E80/12</f>
        <v>55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0</v>
      </c>
      <c r="C82" s="36"/>
      <c r="D82" s="199" t="n">
        <f aca="false">IF(A50="YES", 0, B82)</f>
        <v>0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4711.95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392.6625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500.833333333333</v>
      </c>
      <c r="C89" s="36"/>
      <c r="D89" s="36"/>
      <c r="E89" s="37"/>
      <c r="F89" s="34"/>
      <c r="G89" s="241" t="s">
        <v>96</v>
      </c>
      <c r="H89" s="242" t="n">
        <f aca="false">H46</f>
        <v>500.833333333333</v>
      </c>
      <c r="I89" s="36"/>
      <c r="J89" s="36"/>
      <c r="K89" s="37"/>
      <c r="L89" s="34"/>
      <c r="M89" s="241" t="s">
        <v>96</v>
      </c>
      <c r="N89" s="242" t="n">
        <f aca="false">H46</f>
        <v>500.833333333333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10721.95</v>
      </c>
      <c r="C91" s="36"/>
      <c r="D91" s="36"/>
      <c r="E91" s="37"/>
      <c r="F91" s="34"/>
      <c r="G91" s="221" t="s">
        <v>106</v>
      </c>
      <c r="H91" s="142" t="n">
        <f aca="false">((H89*H29)+H87)*1.2</f>
        <v>15858.64</v>
      </c>
      <c r="I91" s="36"/>
      <c r="J91" s="36"/>
      <c r="K91" s="37"/>
      <c r="L91" s="34"/>
      <c r="M91" s="221" t="s">
        <v>106</v>
      </c>
      <c r="N91" s="142" t="n">
        <f aca="false">((N89*H29)+N87)</f>
        <v>13175.95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90.8273295683744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111.950867285196</v>
      </c>
      <c r="I92" s="36"/>
      <c r="J92" s="36"/>
      <c r="K92" s="37"/>
      <c r="L92" s="34"/>
      <c r="M92" s="35" t="s">
        <v>107</v>
      </c>
      <c r="N92" s="198" t="n">
        <f aca="false">(N91/(1-N76))*N76</f>
        <v>111.615550625252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10812.7773295684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17970.5908672852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15287.5655506253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72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901.064777464031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973.064777464031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267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42</v>
      </c>
      <c r="C105" s="249"/>
      <c r="D105" s="250" t="n">
        <v>1000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52" t="n">
        <v>20</v>
      </c>
      <c r="C111" s="252"/>
      <c r="D111" s="124" t="n">
        <v>200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197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26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11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11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901.064777464031</v>
      </c>
      <c r="B136" s="173" t="n">
        <f aca="false">IF(A111="YES", B95*B63, 0)</f>
        <v>72</v>
      </c>
      <c r="C136" s="173"/>
      <c r="D136" s="173" t="n">
        <f aca="false">B97</f>
        <v>973.064777464031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901.064777464031</v>
      </c>
      <c r="B139" s="23" t="n">
        <f aca="false">IF(A111="YES", B95*B63, 0)</f>
        <v>72</v>
      </c>
      <c r="C139" s="42"/>
      <c r="D139" s="70" t="n">
        <f aca="false">B97*B63</f>
        <v>973.064777464031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1440</v>
      </c>
      <c r="B148" s="23" t="n">
        <f aca="false">A108-100</f>
        <v>99.99</v>
      </c>
      <c r="C148" s="23"/>
      <c r="D148" s="23" t="n">
        <f aca="false">(B145+D145+A148+B148)-B151</f>
        <v>2022.365</v>
      </c>
      <c r="E148" s="180"/>
      <c r="F148" s="34"/>
      <c r="G148" s="22" t="n">
        <f aca="false">IF(G111="YES", ((A41*H111)*0.1)*(G133), 0)</f>
        <v>14.4</v>
      </c>
      <c r="H148" s="23" t="n">
        <f aca="false">G108-100</f>
        <v>139.988</v>
      </c>
      <c r="I148" s="23"/>
      <c r="J148" s="23" t="n">
        <f aca="false">(H145+J145+G148+H148)-H151</f>
        <v>1475.5755</v>
      </c>
      <c r="K148" s="180"/>
      <c r="L148" s="34"/>
      <c r="M148" s="22" t="n">
        <f aca="false">IF(M111="YES", ((A41*N111)*0.1)*(M133), 0)</f>
        <v>14.4</v>
      </c>
      <c r="N148" s="23" t="n">
        <f aca="false">M108-100</f>
        <v>99.99</v>
      </c>
      <c r="O148" s="23"/>
      <c r="P148" s="23" t="n">
        <f aca="false">(N145+P145+M148+N148)-N151</f>
        <v>1435.5775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973.064777464031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65" zoomScaleNormal="65" zoomScalePageLayoutView="100" workbookViewId="0">
      <selection pane="topLeft" activeCell="B96" activeCellId="0" sqref="B96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50</v>
      </c>
      <c r="E32" s="47"/>
      <c r="F32" s="34"/>
      <c r="G32" s="48" t="s">
        <v>43</v>
      </c>
      <c r="H32" s="46" t="str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str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268</v>
      </c>
      <c r="B41" s="71" t="n">
        <f aca="false">IF(B38="YES", D38+A41, D38)</f>
        <v>550</v>
      </c>
      <c r="C41" s="71"/>
      <c r="D41" s="64" t="s">
        <v>262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500.833333333333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263</v>
      </c>
      <c r="B44" s="64" t="n">
        <v>1</v>
      </c>
      <c r="C44" s="64"/>
      <c r="D44" s="64" t="s">
        <v>265</v>
      </c>
      <c r="E44" s="64"/>
      <c r="F44" s="34"/>
      <c r="G44" s="34" t="s">
        <v>70</v>
      </c>
      <c r="H44" s="67" t="str">
        <f aca="false">H32</f>
        <v>50</v>
      </c>
      <c r="I44" s="212" t="n">
        <f aca="false">((A41*(B35-1))+D32)/B35</f>
        <v>50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550.833333333333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500.833333333333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s">
        <v>265</v>
      </c>
      <c r="C47" s="277"/>
      <c r="D47" s="64" t="s">
        <v>265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179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550.833333333333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 t="s">
        <v>197</v>
      </c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182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183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500.833333333333</v>
      </c>
      <c r="C89" s="36"/>
      <c r="D89" s="36"/>
      <c r="E89" s="37"/>
      <c r="F89" s="34"/>
      <c r="G89" s="241" t="s">
        <v>96</v>
      </c>
      <c r="H89" s="242" t="n">
        <f aca="false">H46</f>
        <v>500.833333333333</v>
      </c>
      <c r="I89" s="36"/>
      <c r="J89" s="36"/>
      <c r="K89" s="37"/>
      <c r="L89" s="34"/>
      <c r="M89" s="241" t="s">
        <v>96</v>
      </c>
      <c r="N89" s="242" t="n">
        <f aca="false">H46</f>
        <v>500.833333333333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((B89*H29)+B87)*1.2</f>
        <v>12918.34</v>
      </c>
      <c r="C91" s="36"/>
      <c r="D91" s="36"/>
      <c r="E91" s="37"/>
      <c r="F91" s="34"/>
      <c r="G91" s="221" t="s">
        <v>106</v>
      </c>
      <c r="H91" s="142" t="n">
        <f aca="false">((H89*H29)+H87)*1.2</f>
        <v>15858.64</v>
      </c>
      <c r="I91" s="36"/>
      <c r="J91" s="36"/>
      <c r="K91" s="37"/>
      <c r="L91" s="34"/>
      <c r="M91" s="221" t="s">
        <v>106</v>
      </c>
      <c r="N91" s="142" t="n">
        <f aca="false">((N89*H29)+N87)</f>
        <v>13175.95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91.1944130697862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111.950867285196</v>
      </c>
      <c r="I92" s="36"/>
      <c r="J92" s="36"/>
      <c r="K92" s="37"/>
      <c r="L92" s="34"/>
      <c r="M92" s="35" t="s">
        <v>107</v>
      </c>
      <c r="N92" s="198" t="n">
        <f aca="false">(N91/(1-N76))*N76</f>
        <v>111.615550625252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13009.5344130698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17970.5908672852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15287.5655506253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IF(B105=Z104,(((H44*B35)+(H44*B35)*(B111/100))/(B64)),(((H44*B35)+(H44*B35)*(B111/100))/(B63+B64)))*1.2</f>
        <v>72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1084.12786775582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1156.12786775582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189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42</v>
      </c>
      <c r="C105" s="249"/>
      <c r="D105" s="250" t="n">
        <v>1000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239.99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49" t="n">
        <v>20</v>
      </c>
      <c r="C111" s="249"/>
      <c r="D111" s="124" t="n">
        <v>200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197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26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239.99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-2760.01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11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11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1084.12786775582</v>
      </c>
      <c r="B136" s="173" t="n">
        <f aca="false">IF(A111="YES", B95*B63, 0)</f>
        <v>72</v>
      </c>
      <c r="C136" s="173"/>
      <c r="D136" s="173" t="n">
        <f aca="false">B97</f>
        <v>1156.12786775582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1084.12786775582</v>
      </c>
      <c r="B139" s="23" t="n">
        <f aca="false">IF(A111="YES", B95*B63, 0)</f>
        <v>72</v>
      </c>
      <c r="C139" s="42"/>
      <c r="D139" s="70" t="n">
        <f aca="false">B97*B63</f>
        <v>1156.12786775582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239.99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1200</v>
      </c>
      <c r="B148" s="23" t="n">
        <f aca="false">A108-100</f>
        <v>139.99</v>
      </c>
      <c r="C148" s="23"/>
      <c r="D148" s="23" t="n">
        <f aca="false">(B145+D145+A148+B148)-B151</f>
        <v>1822.365</v>
      </c>
      <c r="E148" s="180"/>
      <c r="F148" s="34"/>
      <c r="G148" s="22" t="n">
        <f aca="false">IF(G111="YES", ((A41*H111)*0.1)*(G133), 0)</f>
        <v>12</v>
      </c>
      <c r="H148" s="23" t="n">
        <f aca="false">G108-100</f>
        <v>139.988</v>
      </c>
      <c r="I148" s="23"/>
      <c r="J148" s="23" t="n">
        <f aca="false">(H145+J145+G148+H148)-H151</f>
        <v>1473.1755</v>
      </c>
      <c r="K148" s="180"/>
      <c r="L148" s="34"/>
      <c r="M148" s="22" t="n">
        <f aca="false">IF(M111="YES", ((A41*N111)*0.1)*(M133), 0)</f>
        <v>12</v>
      </c>
      <c r="N148" s="23" t="n">
        <f aca="false">M108-100</f>
        <v>99.99</v>
      </c>
      <c r="O148" s="23"/>
      <c r="P148" s="23" t="n">
        <f aca="false">(N145+P145+M148+N148)-N151</f>
        <v>1433.1775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1156.12786775582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9" colorId="64" zoomScale="65" zoomScaleNormal="65" zoomScalePageLayoutView="100" workbookViewId="0">
      <selection pane="topLeft" activeCell="B112" activeCellId="0" sqref="B112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50</v>
      </c>
      <c r="E32" s="47"/>
      <c r="F32" s="34"/>
      <c r="G32" s="48" t="s">
        <v>43</v>
      </c>
      <c r="H32" s="46" t="str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str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268</v>
      </c>
      <c r="B41" s="71" t="n">
        <f aca="false">IF(B38="YES", D38+A41, D38)</f>
        <v>550</v>
      </c>
      <c r="C41" s="71"/>
      <c r="D41" s="64" t="s">
        <v>262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500.833333333333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263</v>
      </c>
      <c r="B44" s="64" t="n">
        <v>1</v>
      </c>
      <c r="C44" s="64"/>
      <c r="D44" s="64" t="s">
        <v>265</v>
      </c>
      <c r="E44" s="64"/>
      <c r="F44" s="34"/>
      <c r="G44" s="34" t="s">
        <v>70</v>
      </c>
      <c r="H44" s="67" t="str">
        <f aca="false">H32</f>
        <v>50</v>
      </c>
      <c r="I44" s="212" t="n">
        <f aca="false">((A41*(B35-1))+D32)/B35</f>
        <v>50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550.833333333333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500.833333333333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s">
        <v>265</v>
      </c>
      <c r="C47" s="277"/>
      <c r="D47" s="64" t="s">
        <v>265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179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550.833333333333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182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183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500.833333333333</v>
      </c>
      <c r="C89" s="36"/>
      <c r="D89" s="36"/>
      <c r="E89" s="37"/>
      <c r="F89" s="34"/>
      <c r="G89" s="241" t="s">
        <v>96</v>
      </c>
      <c r="H89" s="242" t="n">
        <f aca="false">H46</f>
        <v>500.833333333333</v>
      </c>
      <c r="I89" s="36"/>
      <c r="J89" s="36"/>
      <c r="K89" s="37"/>
      <c r="L89" s="34"/>
      <c r="M89" s="241" t="s">
        <v>96</v>
      </c>
      <c r="N89" s="242" t="n">
        <f aca="false">H46</f>
        <v>500.833333333333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10765.2833333333</v>
      </c>
      <c r="C91" s="36"/>
      <c r="D91" s="36"/>
      <c r="E91" s="37"/>
      <c r="F91" s="34"/>
      <c r="G91" s="221" t="s">
        <v>106</v>
      </c>
      <c r="H91" s="142" t="n">
        <f aca="false">((H89*H29)+H87)*1.2</f>
        <v>15858.64</v>
      </c>
      <c r="I91" s="36"/>
      <c r="J91" s="36"/>
      <c r="K91" s="37"/>
      <c r="L91" s="34"/>
      <c r="M91" s="221" t="s">
        <v>106</v>
      </c>
      <c r="N91" s="142" t="n">
        <f aca="false">((N89*H29)+N87)</f>
        <v>13175.95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91.1944130697862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111.950867285196</v>
      </c>
      <c r="I92" s="36"/>
      <c r="J92" s="36"/>
      <c r="K92" s="37"/>
      <c r="L92" s="34"/>
      <c r="M92" s="35" t="s">
        <v>107</v>
      </c>
      <c r="N92" s="198" t="n">
        <f aca="false">(N91/(1-N76))*N76</f>
        <v>111.615550625252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6856.47774640312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17970.5908672852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15287.5655506253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50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571.373145533593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571.373145533593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260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191</v>
      </c>
      <c r="C105" s="249"/>
      <c r="D105" s="250" t="n">
        <v>1000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0</v>
      </c>
      <c r="C111" s="249"/>
      <c r="D111" s="124" t="s">
        <v>196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197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25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571.373145533593</v>
      </c>
      <c r="B136" s="173" t="n">
        <f aca="false">IF(A111="YES", B95*B63, 0)</f>
        <v>0</v>
      </c>
      <c r="C136" s="173"/>
      <c r="D136" s="173" t="n">
        <f aca="false">B97</f>
        <v>571.373145533593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5142.35830980234</v>
      </c>
      <c r="B139" s="23" t="n">
        <f aca="false">IF(A111="YES", B95*B63, 0)</f>
        <v>0</v>
      </c>
      <c r="C139" s="42"/>
      <c r="D139" s="70" t="n">
        <f aca="false">B97*B63</f>
        <v>5142.35830980234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99.99</v>
      </c>
      <c r="C148" s="23"/>
      <c r="D148" s="23" t="n">
        <f aca="false">(B145+D145+A148+B148)-B151</f>
        <v>582.365</v>
      </c>
      <c r="E148" s="180"/>
      <c r="F148" s="34"/>
      <c r="G148" s="22" t="n">
        <f aca="false">IF(G111="YES", ((A41*H111)*0.1)*(G133), 0)</f>
        <v>12</v>
      </c>
      <c r="H148" s="23" t="n">
        <f aca="false">G108-100</f>
        <v>139.988</v>
      </c>
      <c r="I148" s="23"/>
      <c r="J148" s="23" t="n">
        <f aca="false">(H145+J145+G148+H148)-H151</f>
        <v>1473.1755</v>
      </c>
      <c r="K148" s="180"/>
      <c r="L148" s="34"/>
      <c r="M148" s="22" t="n">
        <f aca="false">IF(M111="YES", ((A41*N111)*0.1)*(M133), 0)</f>
        <v>12</v>
      </c>
      <c r="N148" s="23" t="n">
        <f aca="false">M108-100</f>
        <v>99.99</v>
      </c>
      <c r="O148" s="23"/>
      <c r="P148" s="23" t="n">
        <f aca="false">(N145+P145+M148+N148)-N151</f>
        <v>1433.1775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571.373145533593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65" zoomScaleNormal="65" zoomScalePageLayoutView="100" workbookViewId="0">
      <selection pane="topLeft" activeCell="B89" activeCellId="0" sqref="B89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278" t="n">
        <v>0</v>
      </c>
      <c r="C4" s="278" t="n">
        <v>0</v>
      </c>
      <c r="D4" s="278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(B3*B4)+B5</f>
        <v>0</v>
      </c>
      <c r="C6" s="199" t="n">
        <f aca="false">(C3*C4)+C5</f>
        <v>0</v>
      </c>
      <c r="D6" s="199" t="n">
        <f aca="false">(D3*D4)+D5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(B3+C3+E10+D3+E3)*1.2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IF(A32=Z101,1,IF(A32=Z102,1,IF(A32=Z103,3,IF(A32=Z104,6,IF(A32=Z105,9,IF(A32=Z106,12,IF(A32=Z107,3,IF(A32=Z108,6,IF(A32=Z109,9,0)))))))))</f>
        <v>1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IF(A32=Z101,H29-H27,IF(A32=Z102,H29-H27,IF(A32=Z103,H29-1,IF(A32=Z104,H29-1,IF(A32=Z105,H29-1,IF(A32=Z106,H29-1,IF(A32=Z107,H29-H27,IF(A32=Z108,H29-H27,IF(A32=Z109,H29-H27,0)))))))))</f>
        <v>11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n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n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n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n">
        <f aca="false">IF(A32=Z101,D38,IF(A32=Z102,D38,IF(A32=Z103,(D38*3),IF(A32=Z104,(D38*6),IF(A32=Z105,(D38*9),IF(A32=Z106,(D38*12),IF(A32=Z107,D38,IF(A32=Z108,D38,IF(A32=Z109,D38,0)))))))))</f>
        <v>500</v>
      </c>
      <c r="C32" s="47"/>
      <c r="D32" s="47" t="n">
        <f aca="false">IF(A32=Z101,A41,IF(A32=Z102,A41,IF(A32=Z103,(A41*3),IF(A32=Z104,(A41*6),IF(A32=Z105,(A41*9),IF(A32=Z106,(A41*12),IF(A32=Z107,A41,IF(A32=Z108,A41,IF(A32=Z109,A41,0)))))))))</f>
        <v>0</v>
      </c>
      <c r="E32" s="47"/>
      <c r="F32" s="34"/>
      <c r="G32" s="48" t="s">
        <v>43</v>
      </c>
      <c r="H32" s="46" t="n">
        <f aca="false">A41</f>
        <v>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/>
      <c r="H33" s="39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n">
        <f aca="false">D41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500</v>
      </c>
      <c r="B35" s="44" t="n">
        <v>12</v>
      </c>
      <c r="C35" s="44"/>
      <c r="D35" s="44" t="n">
        <v>5000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26</v>
      </c>
      <c r="C38" s="44"/>
      <c r="D38" s="64" t="n">
        <v>500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65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0</v>
      </c>
      <c r="B41" s="71" t="n">
        <f aca="false">IF(B38="YES", D38+A41, D38)</f>
        <v>500</v>
      </c>
      <c r="C41" s="71"/>
      <c r="D41" s="64" t="n">
        <v>12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66</v>
      </c>
      <c r="B43" s="69" t="s">
        <v>67</v>
      </c>
      <c r="C43" s="53"/>
      <c r="D43" s="69" t="s">
        <v>72</v>
      </c>
      <c r="E43" s="73"/>
      <c r="F43" s="34"/>
      <c r="G43" s="34" t="s">
        <v>68</v>
      </c>
      <c r="H43" s="67" t="n">
        <f aca="false">(((D38*(B35-1))+B32)/B35) + (D41/B35)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n">
        <v>1</v>
      </c>
      <c r="B44" s="64" t="n">
        <v>0</v>
      </c>
      <c r="C44" s="64"/>
      <c r="D44" s="279" t="n">
        <f aca="false">A44+B44</f>
        <v>1</v>
      </c>
      <c r="E44" s="279"/>
      <c r="F44" s="34"/>
      <c r="G44" s="34" t="s">
        <v>70</v>
      </c>
      <c r="H44" s="67" t="n">
        <f aca="false">((A41*(B35-1))+D32)/B35</f>
        <v>0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3" t="s">
        <v>269</v>
      </c>
      <c r="B46" s="53"/>
      <c r="C46" s="53"/>
      <c r="D46" s="53"/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66"/>
      <c r="B47" s="53"/>
      <c r="C47" s="53"/>
      <c r="D47" s="53"/>
      <c r="E47" s="73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254</v>
      </c>
      <c r="B48" s="36"/>
      <c r="C48" s="36"/>
      <c r="D48" s="215"/>
      <c r="E48" s="216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/>
      <c r="H49" s="21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5000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12</v>
      </c>
      <c r="B52" s="85" t="n">
        <f aca="false">H45</f>
        <v>501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IF(B99=Z101,1,IF(B99=Z102,1,IF(B99=Z103,3,IF(B99=Z104,6,IF(B99=Z105,9,IF(B99=Z106,12,IF(B99=Z107,3,IF(B99=Z108,6,IF(B99=Z109,9,0)))))))))</f>
        <v>9</v>
      </c>
      <c r="C57" s="36"/>
      <c r="D57" s="36"/>
      <c r="E57" s="37"/>
      <c r="F57" s="34"/>
      <c r="G57" s="35" t="s">
        <v>30</v>
      </c>
      <c r="H57" s="36" t="n">
        <f aca="false">IF(H99=Z101,1,IF(H99=Z102,1,IF(H99=Z103,3,IF(H99=Z104,6,IF(H99=Z105,9,IF(H99=Z106,12,IF(H99=Z107,3,IF(H99=Z108,6,IF(H99=Z109,9,0)))))))))</f>
        <v>1</v>
      </c>
      <c r="I57" s="36"/>
      <c r="J57" s="36"/>
      <c r="K57" s="37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IF(B99=Z101,H29-B57,IF(B99=Z102,H29-B57,IF(B99=Z103,H29-1,IF(B99=Z104,H29-1,IF(B99=Z105,H29-1,IF(B99=Z106,H29-1,IF(B99=Z107,H29-B57,IF(B99=Z108,H29-B57,IF(B99=Z109,H29-B57,0)))))))))</f>
        <v>3</v>
      </c>
      <c r="C58" s="36" t="s">
        <v>270</v>
      </c>
      <c r="D58" s="36"/>
      <c r="E58" s="37"/>
      <c r="F58" s="34"/>
      <c r="G58" s="35" t="s">
        <v>34</v>
      </c>
      <c r="H58" s="36" t="n">
        <f aca="false">IF(H99=Z101,H29-H57,IF(H99=Z102,H29-H57,IF(H99=Z103,H29-1,IF(H99=Z104,H29-1,IF(H99=Z105,H29-1,IF(H99=Z106,H29-1,IF(H99=Z107,H29-H57,IF(H99=Z108,H29-H57,IF(H99=Z109,H29-H57,0)))))))))</f>
        <v>11</v>
      </c>
      <c r="I58" s="36"/>
      <c r="J58" s="36"/>
      <c r="K58" s="37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180</v>
      </c>
      <c r="B62" s="225" t="n">
        <v>0.07</v>
      </c>
      <c r="C62" s="36"/>
      <c r="D62" s="36"/>
      <c r="E62" s="37"/>
      <c r="F62" s="34"/>
      <c r="G62" s="224" t="s">
        <v>180</v>
      </c>
      <c r="H62" s="225" t="n">
        <v>0.07</v>
      </c>
      <c r="I62" s="36"/>
      <c r="J62" s="36"/>
      <c r="K62" s="37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181</v>
      </c>
      <c r="B63" s="197" t="n">
        <f aca="false">B62+(B62*0.25*(H29/12-1))</f>
        <v>0.07</v>
      </c>
      <c r="C63" s="36"/>
      <c r="D63" s="36"/>
      <c r="E63" s="37"/>
      <c r="F63" s="34"/>
      <c r="G63" s="35" t="s">
        <v>181</v>
      </c>
      <c r="H63" s="197" t="n">
        <f aca="false">H62+(H62*0.25*(H29/12-1))</f>
        <v>0.07</v>
      </c>
      <c r="I63" s="36"/>
      <c r="J63" s="36"/>
      <c r="K63" s="37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4051.95</v>
      </c>
      <c r="C64" s="36"/>
      <c r="D64" s="199" t="n">
        <f aca="false">B64</f>
        <v>4051.95</v>
      </c>
      <c r="E64" s="37"/>
      <c r="F64" s="34"/>
      <c r="G64" s="218" t="s">
        <v>82</v>
      </c>
      <c r="H64" s="144" t="n">
        <f aca="false">H61*H63</f>
        <v>4051.95</v>
      </c>
      <c r="I64" s="36"/>
      <c r="J64" s="199" t="n">
        <f aca="false">H64</f>
        <v>4051.95</v>
      </c>
      <c r="K64" s="37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0.005</v>
      </c>
      <c r="I65" s="36"/>
      <c r="J65" s="36"/>
      <c r="K65" s="37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0.01</v>
      </c>
      <c r="C66" s="36"/>
      <c r="D66" s="36"/>
      <c r="E66" s="37"/>
      <c r="F66" s="34"/>
      <c r="G66" s="35" t="s">
        <v>84</v>
      </c>
      <c r="H66" s="197" t="n">
        <f aca="false">H65+(H65*0.5*(H29/12-1))</f>
        <v>0.005</v>
      </c>
      <c r="I66" s="36"/>
      <c r="J66" s="36"/>
      <c r="K66" s="37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B61*B66</f>
        <v>578.85</v>
      </c>
      <c r="C67" s="36"/>
      <c r="D67" s="199"/>
      <c r="E67" s="37"/>
      <c r="F67" s="34"/>
      <c r="G67" s="218" t="s">
        <v>85</v>
      </c>
      <c r="H67" s="144" t="n">
        <f aca="false">H61*H66</f>
        <v>289.425</v>
      </c>
      <c r="I67" s="36"/>
      <c r="J67" s="199"/>
      <c r="K67" s="37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60</v>
      </c>
      <c r="C73" s="36"/>
      <c r="D73" s="199" t="n">
        <f aca="false">B73+B71</f>
        <v>260</v>
      </c>
      <c r="E73" s="37"/>
      <c r="F73" s="34"/>
      <c r="G73" s="218" t="s">
        <v>91</v>
      </c>
      <c r="H73" s="144" t="n">
        <f aca="false">H72*H29</f>
        <v>54</v>
      </c>
      <c r="I73" s="36"/>
      <c r="J73" s="199" t="n">
        <f aca="false">H73+H71</f>
        <v>214</v>
      </c>
      <c r="K73" s="37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182</v>
      </c>
      <c r="B74" s="228" t="n">
        <v>0</v>
      </c>
      <c r="C74" s="36"/>
      <c r="D74" s="36"/>
      <c r="E74" s="37"/>
      <c r="F74" s="34"/>
      <c r="G74" s="224" t="s">
        <v>182</v>
      </c>
      <c r="H74" s="228" t="n">
        <v>150</v>
      </c>
      <c r="I74" s="36"/>
      <c r="J74" s="36"/>
      <c r="K74" s="37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183</v>
      </c>
      <c r="B75" s="229" t="n">
        <v>0</v>
      </c>
      <c r="C75" s="36" t="n">
        <f aca="false">IF(G18&gt;40000, 325, 0)</f>
        <v>325</v>
      </c>
      <c r="D75" s="36"/>
      <c r="E75" s="37"/>
      <c r="F75" s="34"/>
      <c r="G75" s="191" t="s">
        <v>183</v>
      </c>
      <c r="H75" s="229" t="n">
        <f aca="false">IF(G18&gt;40000, 325, 0)</f>
        <v>325</v>
      </c>
      <c r="I75" s="36"/>
      <c r="J75" s="36"/>
      <c r="K75" s="37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184</v>
      </c>
      <c r="B76" s="144" t="n">
        <f aca="false">((B74+B75)/12)*(H29-11)</f>
        <v>0</v>
      </c>
      <c r="C76" s="36"/>
      <c r="D76" s="199" t="n">
        <f aca="false">B76</f>
        <v>0</v>
      </c>
      <c r="E76" s="37"/>
      <c r="F76" s="34"/>
      <c r="G76" s="218" t="s">
        <v>184</v>
      </c>
      <c r="H76" s="144" t="n">
        <f aca="false">((H74+H75)/12)*(H29-11)</f>
        <v>39.5833333333333</v>
      </c>
      <c r="I76" s="36"/>
      <c r="J76" s="199" t="n">
        <f aca="false">H76</f>
        <v>39.5833333333333</v>
      </c>
      <c r="K76" s="37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185</v>
      </c>
      <c r="B77" s="228" t="n">
        <f aca="false">B102</f>
        <v>0</v>
      </c>
      <c r="C77" s="36"/>
      <c r="D77" s="199" t="n">
        <f aca="false">B77</f>
        <v>0</v>
      </c>
      <c r="E77" s="37"/>
      <c r="F77" s="34"/>
      <c r="G77" s="224" t="s">
        <v>185</v>
      </c>
      <c r="H77" s="228" t="n">
        <f aca="false">H102</f>
        <v>1200</v>
      </c>
      <c r="I77" s="36"/>
      <c r="J77" s="199" t="n">
        <f aca="false">H77</f>
        <v>1200</v>
      </c>
      <c r="K77" s="37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187</v>
      </c>
      <c r="B78" s="198" t="n">
        <f aca="false">D102</f>
        <v>0</v>
      </c>
      <c r="C78" s="36"/>
      <c r="D78" s="199" t="n">
        <f aca="false">B78</f>
        <v>0</v>
      </c>
      <c r="E78" s="37"/>
      <c r="F78" s="34"/>
      <c r="G78" s="35" t="s">
        <v>187</v>
      </c>
      <c r="H78" s="198" t="n">
        <f aca="false">J102</f>
        <v>0</v>
      </c>
      <c r="I78" s="36"/>
      <c r="J78" s="199" t="n">
        <f aca="false">H78</f>
        <v>0</v>
      </c>
      <c r="K78" s="37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7"/>
      <c r="F79" s="34"/>
      <c r="G79" s="191" t="s">
        <v>92</v>
      </c>
      <c r="H79" s="229" t="n">
        <v>100</v>
      </c>
      <c r="I79" s="36"/>
      <c r="J79" s="199" t="n">
        <f aca="false">H79</f>
        <v>100</v>
      </c>
      <c r="K79" s="37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7"/>
      <c r="F80" s="34"/>
      <c r="G80" s="237" t="s">
        <v>93</v>
      </c>
      <c r="H80" s="238" t="n">
        <v>100</v>
      </c>
      <c r="I80" s="36"/>
      <c r="J80" s="199" t="n">
        <f aca="false">H80</f>
        <v>100</v>
      </c>
      <c r="K80" s="37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4711.95</v>
      </c>
      <c r="C81" s="36"/>
      <c r="D81" s="36"/>
      <c r="E81" s="37"/>
      <c r="F81" s="34"/>
      <c r="G81" s="239" t="s">
        <v>94</v>
      </c>
      <c r="H81" s="240" t="n">
        <f aca="false">SUM(J64:J80)</f>
        <v>5705.53333333333</v>
      </c>
      <c r="I81" s="36"/>
      <c r="J81" s="36"/>
      <c r="K81" s="37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392.6625</v>
      </c>
      <c r="C82" s="36"/>
      <c r="D82" s="36"/>
      <c r="E82" s="37"/>
      <c r="F82" s="34"/>
      <c r="G82" s="35" t="s">
        <v>95</v>
      </c>
      <c r="H82" s="198" t="n">
        <f aca="false">H81/H29</f>
        <v>475.461111111111</v>
      </c>
      <c r="I82" s="36"/>
      <c r="J82" s="36"/>
      <c r="K82" s="37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H46</f>
        <v>501</v>
      </c>
      <c r="C83" s="36"/>
      <c r="D83" s="36"/>
      <c r="E83" s="37"/>
      <c r="F83" s="34"/>
      <c r="G83" s="241" t="s">
        <v>96</v>
      </c>
      <c r="H83" s="242" t="n">
        <f aca="false">H46</f>
        <v>501</v>
      </c>
      <c r="I83" s="36"/>
      <c r="J83" s="36"/>
      <c r="K83" s="37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7"/>
      <c r="F84" s="34"/>
      <c r="G84" s="35"/>
      <c r="H84" s="199"/>
      <c r="I84" s="36"/>
      <c r="J84" s="36"/>
      <c r="K84" s="37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((B83*(H29)+B81))*1.2</f>
        <v>12868.74</v>
      </c>
      <c r="C85" s="36"/>
      <c r="D85" s="36"/>
      <c r="E85" s="37"/>
      <c r="F85" s="34"/>
      <c r="G85" s="221" t="s">
        <v>106</v>
      </c>
      <c r="H85" s="142" t="n">
        <f aca="false">((H83*(H27+H28))+H81)*1.2</f>
        <v>14061.04</v>
      </c>
      <c r="I85" s="36"/>
      <c r="J85" s="36"/>
      <c r="K85" s="37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(((B83*(H29))+B81)/(1-B70))*B70</f>
        <v>90.8442718838241</v>
      </c>
      <c r="C86" s="36"/>
      <c r="D86" s="36"/>
      <c r="E86" s="37"/>
      <c r="F86" s="34"/>
      <c r="G86" s="35" t="s">
        <v>107</v>
      </c>
      <c r="H86" s="198" t="n">
        <f aca="false">(((H83*(H27+H28))+H81)/(1-H70))*H70</f>
        <v>99.2610730133118</v>
      </c>
      <c r="I86" s="36"/>
      <c r="J86" s="36"/>
      <c r="K86" s="37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IF(B110="YES",((B85+B86)-E114),((B85+B86)))</f>
        <v>8959.58427188382</v>
      </c>
      <c r="C87" s="36"/>
      <c r="D87" s="36"/>
      <c r="E87" s="37"/>
      <c r="F87" s="34"/>
      <c r="G87" s="218" t="s">
        <v>108</v>
      </c>
      <c r="H87" s="144" t="n">
        <f aca="false">IF(H110="YES",((H85+H86)-A151-K114),((H85+H86)-A151))</f>
        <v>14160.3010730133</v>
      </c>
      <c r="I87" s="36"/>
      <c r="J87" s="36"/>
      <c r="K87" s="37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80" t="n">
        <f aca="false">IF(B99=Z102,(((H44*B35)+(H44*B35)*(B105/100))/(B58))*1.2,(((H44*B35)+(H44*B35)*(B105/100))/(B57+B58))*1.2)</f>
        <v>0</v>
      </c>
      <c r="C89" s="36"/>
      <c r="D89" s="36"/>
      <c r="E89" s="37"/>
      <c r="F89" s="34"/>
      <c r="G89" s="239" t="s">
        <v>109</v>
      </c>
      <c r="H89" s="240" t="n">
        <f aca="false">(A41+(A41*H105))*1.2</f>
        <v>0</v>
      </c>
      <c r="I89" s="36"/>
      <c r="J89" s="36"/>
      <c r="K89" s="37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IF(B99=Z102, (B87-D105)/(B58), B87/(B57+B58))</f>
        <v>746.632022656985</v>
      </c>
      <c r="C90" s="36"/>
      <c r="D90" s="36"/>
      <c r="E90" s="37"/>
      <c r="F90" s="34"/>
      <c r="G90" s="244" t="s">
        <v>110</v>
      </c>
      <c r="H90" s="245" t="n">
        <f aca="false">IF(H99=AE98, (H87-J105)/(H58), H87/(H57+H58))</f>
        <v>1180.02508941778</v>
      </c>
      <c r="I90" s="36"/>
      <c r="J90" s="36"/>
      <c r="K90" s="37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746.632022656985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1180.02508941778</v>
      </c>
      <c r="I91" s="36"/>
      <c r="J91" s="36"/>
      <c r="K91" s="37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46.5" hidden="false" customHeight="true" outlineLevel="0" collapsed="false">
      <c r="A94" s="33" t="s">
        <v>189</v>
      </c>
      <c r="B94" s="33"/>
      <c r="C94" s="33"/>
      <c r="D94" s="33"/>
      <c r="E94" s="33"/>
      <c r="F94" s="34"/>
      <c r="G94" s="33" t="s">
        <v>189</v>
      </c>
      <c r="H94" s="33"/>
      <c r="I94" s="33"/>
      <c r="J94" s="33"/>
      <c r="K94" s="33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190</v>
      </c>
      <c r="E98" s="37"/>
      <c r="F98" s="34"/>
      <c r="G98" s="35" t="s">
        <v>113</v>
      </c>
      <c r="H98" s="36" t="s">
        <v>38</v>
      </c>
      <c r="I98" s="36"/>
      <c r="J98" s="36" t="s">
        <v>190</v>
      </c>
      <c r="K98" s="37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41" t="s">
        <v>192</v>
      </c>
      <c r="B99" s="249" t="s">
        <v>191</v>
      </c>
      <c r="C99" s="249"/>
      <c r="D99" s="124" t="n">
        <v>1000</v>
      </c>
      <c r="E99" s="124"/>
      <c r="F99" s="34"/>
      <c r="G99" s="41" t="s">
        <v>192</v>
      </c>
      <c r="H99" s="249" t="s">
        <v>42</v>
      </c>
      <c r="I99" s="249"/>
      <c r="J99" s="124" t="n">
        <v>0</v>
      </c>
      <c r="K99" s="12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customFormat="false" ht="18.75" hidden="false" customHeight="true" outlineLevel="0" collapsed="false">
      <c r="A101" s="35" t="s">
        <v>193</v>
      </c>
      <c r="B101" s="36" t="s">
        <v>194</v>
      </c>
      <c r="C101" s="36"/>
      <c r="D101" s="36" t="s">
        <v>195</v>
      </c>
      <c r="E101" s="37"/>
      <c r="F101" s="34"/>
      <c r="G101" s="35" t="s">
        <v>193</v>
      </c>
      <c r="H101" s="36" t="s">
        <v>194</v>
      </c>
      <c r="I101" s="36"/>
      <c r="J101" s="36" t="s">
        <v>195</v>
      </c>
      <c r="K101" s="37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 t="s">
        <v>42</v>
      </c>
      <c r="AA101" s="34"/>
    </row>
    <row r="102" customFormat="false" ht="18.75" hidden="false" customHeight="true" outlineLevel="0" collapsed="false">
      <c r="A102" s="251" t="n">
        <f aca="false">199.99*1.2</f>
        <v>239.988</v>
      </c>
      <c r="B102" s="124" t="n">
        <v>0</v>
      </c>
      <c r="C102" s="124"/>
      <c r="D102" s="124" t="n">
        <v>0</v>
      </c>
      <c r="E102" s="124"/>
      <c r="F102" s="34"/>
      <c r="G102" s="251" t="n">
        <f aca="false">199.99*1.2</f>
        <v>239.988</v>
      </c>
      <c r="H102" s="124" t="n">
        <v>1200</v>
      </c>
      <c r="I102" s="124"/>
      <c r="J102" s="124" t="n">
        <v>0</v>
      </c>
      <c r="K102" s="12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 t="s">
        <v>115</v>
      </c>
      <c r="AA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Z103" s="34" t="s">
        <v>117</v>
      </c>
      <c r="AA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Z104" s="34" t="s">
        <v>118</v>
      </c>
      <c r="AA104" s="34"/>
    </row>
    <row r="105" customFormat="false" ht="18.75" hidden="false" customHeight="true" outlineLevel="0" collapsed="false">
      <c r="A105" s="43" t="s">
        <v>26</v>
      </c>
      <c r="B105" s="249" t="n">
        <v>0</v>
      </c>
      <c r="C105" s="249"/>
      <c r="D105" s="124" t="s">
        <v>196</v>
      </c>
      <c r="E105" s="124"/>
      <c r="F105" s="34"/>
      <c r="G105" s="43" t="s">
        <v>25</v>
      </c>
      <c r="H105" s="252" t="n">
        <v>0.2</v>
      </c>
      <c r="I105" s="252"/>
      <c r="J105" s="124" t="n">
        <v>0</v>
      </c>
      <c r="K105" s="12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Z105" s="34" t="s">
        <v>122</v>
      </c>
      <c r="AA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Z106" s="34" t="s">
        <v>124</v>
      </c>
      <c r="AA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Z107" s="34" t="s">
        <v>126</v>
      </c>
      <c r="AA107" s="34"/>
    </row>
    <row r="108" customFormat="false" ht="18.75" hidden="false" customHeight="true" outlineLevel="0" collapsed="false">
      <c r="A108" s="38" t="s">
        <v>199</v>
      </c>
      <c r="B108" s="38"/>
      <c r="C108" s="38"/>
      <c r="D108" s="38"/>
      <c r="E108" s="38"/>
      <c r="F108" s="34"/>
      <c r="G108" s="38" t="s">
        <v>199</v>
      </c>
      <c r="H108" s="38"/>
      <c r="I108" s="38"/>
      <c r="J108" s="38"/>
      <c r="K108" s="38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Z108" s="34" t="s">
        <v>131</v>
      </c>
      <c r="AA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Z109" s="34" t="s">
        <v>132</v>
      </c>
    </row>
    <row r="110" customFormat="false" ht="18.75" hidden="false" customHeight="true" outlineLevel="0" collapsed="false">
      <c r="A110" s="35" t="s">
        <v>200</v>
      </c>
      <c r="B110" s="43" t="s">
        <v>25</v>
      </c>
      <c r="C110" s="36"/>
      <c r="D110" s="36"/>
      <c r="E110" s="37"/>
      <c r="F110" s="34"/>
      <c r="G110" s="35" t="s">
        <v>200</v>
      </c>
      <c r="H110" s="43" t="s">
        <v>26</v>
      </c>
      <c r="I110" s="36"/>
      <c r="J110" s="36"/>
      <c r="K110" s="37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10000</v>
      </c>
      <c r="E112" s="124" t="n">
        <v>6000</v>
      </c>
      <c r="F112" s="34"/>
      <c r="G112" s="35" t="s">
        <v>148</v>
      </c>
      <c r="H112" s="36"/>
      <c r="I112" s="36"/>
      <c r="J112" s="251" t="n">
        <v>10000</v>
      </c>
      <c r="K112" s="124" t="n">
        <v>5000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2000</v>
      </c>
      <c r="E113" s="124" t="n">
        <v>2000</v>
      </c>
      <c r="F113" s="34"/>
      <c r="G113" s="35" t="s">
        <v>149</v>
      </c>
      <c r="H113" s="36"/>
      <c r="I113" s="36"/>
      <c r="J113" s="26" t="n">
        <f aca="false">K113</f>
        <v>7000</v>
      </c>
      <c r="K113" s="124" t="n">
        <v>7000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8000</v>
      </c>
      <c r="E114" s="164" t="n">
        <f aca="false">E112-E113</f>
        <v>4000</v>
      </c>
      <c r="F114" s="34"/>
      <c r="G114" s="35" t="s">
        <v>150</v>
      </c>
      <c r="H114" s="36"/>
      <c r="I114" s="36"/>
      <c r="J114" s="26" t="n">
        <f aca="false">J112-J113</f>
        <v>3000</v>
      </c>
      <c r="K114" s="164" t="n">
        <f aca="false">K112-K113</f>
        <v>-2000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4000</v>
      </c>
      <c r="E115" s="37"/>
      <c r="F115" s="34"/>
      <c r="G115" s="35" t="s">
        <v>151</v>
      </c>
      <c r="H115" s="36"/>
      <c r="I115" s="36"/>
      <c r="J115" s="26" t="n">
        <f aca="false">J114-K114</f>
        <v>5000</v>
      </c>
      <c r="K115" s="37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239.988</v>
      </c>
      <c r="F118" s="34"/>
      <c r="G118" s="35" t="s">
        <v>154</v>
      </c>
      <c r="H118" s="36"/>
      <c r="I118" s="36"/>
      <c r="J118" s="36"/>
      <c r="K118" s="198" t="n">
        <f aca="false">G102</f>
        <v>239.988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201</v>
      </c>
      <c r="B119" s="219"/>
      <c r="C119" s="219"/>
      <c r="D119" s="219"/>
      <c r="E119" s="144" t="n">
        <f aca="false">(E118+E117)-D115</f>
        <v>-2760.012</v>
      </c>
      <c r="F119" s="34"/>
      <c r="G119" s="253" t="s">
        <v>201</v>
      </c>
      <c r="H119" s="219"/>
      <c r="I119" s="219"/>
      <c r="J119" s="219"/>
      <c r="K119" s="144" t="n">
        <f aca="false">(K118+K117)-J115</f>
        <v>-4760.012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202</v>
      </c>
      <c r="B122" s="38"/>
      <c r="C122" s="38"/>
      <c r="D122" s="38"/>
      <c r="E122" s="38"/>
      <c r="F122" s="34"/>
      <c r="G122" s="38" t="s">
        <v>202</v>
      </c>
      <c r="H122" s="38"/>
      <c r="I122" s="38"/>
      <c r="J122" s="38"/>
      <c r="K122" s="38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 t="s">
        <v>76</v>
      </c>
      <c r="B126" s="36" t="s">
        <v>77</v>
      </c>
      <c r="C126" s="36"/>
      <c r="D126" s="36" t="s">
        <v>34</v>
      </c>
      <c r="E126" s="37"/>
      <c r="F126" s="34"/>
      <c r="G126" s="35" t="s">
        <v>76</v>
      </c>
      <c r="H126" s="36" t="s">
        <v>77</v>
      </c>
      <c r="I126" s="36"/>
      <c r="J126" s="36" t="s">
        <v>34</v>
      </c>
      <c r="K126" s="37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51" t="n">
        <f aca="false">A152</f>
        <v>12</v>
      </c>
      <c r="B127" s="52" t="n">
        <f aca="false">A152</f>
        <v>12</v>
      </c>
      <c r="C127" s="53"/>
      <c r="D127" s="52" t="n">
        <f aca="false">B151</f>
        <v>5000</v>
      </c>
      <c r="E127" s="37"/>
      <c r="F127" s="34"/>
      <c r="G127" s="51" t="n">
        <f aca="false">G152</f>
        <v>12</v>
      </c>
      <c r="H127" s="52" t="n">
        <f aca="false">A152</f>
        <v>12</v>
      </c>
      <c r="I127" s="53"/>
      <c r="J127" s="52" t="n">
        <f aca="false">B151</f>
        <v>5000</v>
      </c>
      <c r="K127" s="37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254" t="s">
        <v>204</v>
      </c>
      <c r="B129" s="255" t="s">
        <v>205</v>
      </c>
      <c r="C129" s="255"/>
      <c r="D129" s="255" t="s">
        <v>206</v>
      </c>
      <c r="E129" s="37"/>
      <c r="F129" s="34"/>
      <c r="G129" s="254" t="s">
        <v>204</v>
      </c>
      <c r="H129" s="255" t="s">
        <v>205</v>
      </c>
      <c r="I129" s="255"/>
      <c r="J129" s="255" t="s">
        <v>206</v>
      </c>
      <c r="K129" s="37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281"/>
    </row>
    <row r="130" customFormat="false" ht="18.75" hidden="false" customHeight="true" outlineLevel="0" collapsed="false">
      <c r="A130" s="256" t="n">
        <f aca="false">B90</f>
        <v>746.632022656985</v>
      </c>
      <c r="B130" s="173" t="n">
        <f aca="false">IF(A105="YES", B89*B57, 0)</f>
        <v>0</v>
      </c>
      <c r="C130" s="173"/>
      <c r="D130" s="257" t="n">
        <f aca="false">B91</f>
        <v>746.632022656985</v>
      </c>
      <c r="E130" s="180"/>
      <c r="F130" s="34"/>
      <c r="G130" s="256" t="n">
        <f aca="false">H90</f>
        <v>1180.02508941778</v>
      </c>
      <c r="H130" s="173" t="n">
        <f aca="false">IF(G105="YES", H89*H57, 0)</f>
        <v>0</v>
      </c>
      <c r="I130" s="173"/>
      <c r="J130" s="257" t="n">
        <f aca="false">H91</f>
        <v>1180.02508941778</v>
      </c>
      <c r="K130" s="180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281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281"/>
    </row>
    <row r="132" customFormat="false" ht="18.75" hidden="false" customHeight="true" outlineLevel="0" collapsed="false">
      <c r="A132" s="35" t="s">
        <v>208</v>
      </c>
      <c r="B132" s="36" t="s">
        <v>209</v>
      </c>
      <c r="C132" s="36"/>
      <c r="D132" s="36" t="s">
        <v>210</v>
      </c>
      <c r="E132" s="37"/>
      <c r="F132" s="34"/>
      <c r="G132" s="35" t="s">
        <v>208</v>
      </c>
      <c r="H132" s="36" t="s">
        <v>209</v>
      </c>
      <c r="I132" s="36"/>
      <c r="J132" s="36" t="s">
        <v>210</v>
      </c>
      <c r="K132" s="37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6719.68820391287</v>
      </c>
      <c r="B133" s="23" t="n">
        <f aca="false">IF(A105="YES", B89*B57, 0)</f>
        <v>0</v>
      </c>
      <c r="C133" s="42"/>
      <c r="D133" s="70" t="n">
        <f aca="false">B91*B57</f>
        <v>6719.68820391287</v>
      </c>
      <c r="E133" s="37"/>
      <c r="F133" s="34"/>
      <c r="G133" s="178" t="n">
        <f aca="false">H90*H57</f>
        <v>1180.02508941778</v>
      </c>
      <c r="H133" s="23" t="n">
        <f aca="false">IF(G105="YES", H89*H57, 0)</f>
        <v>0</v>
      </c>
      <c r="I133" s="42"/>
      <c r="J133" s="70" t="n">
        <f aca="false">H91*H57</f>
        <v>1180.02508941778</v>
      </c>
      <c r="K133" s="37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211</v>
      </c>
      <c r="B135" s="36" t="s">
        <v>212</v>
      </c>
      <c r="C135" s="36"/>
      <c r="D135" s="36" t="s">
        <v>213</v>
      </c>
      <c r="E135" s="37"/>
      <c r="F135" s="34"/>
      <c r="G135" s="35" t="s">
        <v>211</v>
      </c>
      <c r="H135" s="36" t="s">
        <v>212</v>
      </c>
      <c r="I135" s="36"/>
      <c r="J135" s="36" t="s">
        <v>213</v>
      </c>
      <c r="K135" s="37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</v>
      </c>
      <c r="C136" s="23"/>
      <c r="D136" s="23" t="n">
        <f aca="false">A136+B136</f>
        <v>0.35115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216</v>
      </c>
      <c r="B138" s="36" t="s">
        <v>214</v>
      </c>
      <c r="C138" s="36"/>
      <c r="D138" s="36" t="s">
        <v>215</v>
      </c>
      <c r="E138" s="37"/>
      <c r="F138" s="34"/>
      <c r="G138" s="35" t="s">
        <v>216</v>
      </c>
      <c r="H138" s="36" t="s">
        <v>214</v>
      </c>
      <c r="I138" s="36"/>
      <c r="J138" s="36" t="s">
        <v>215</v>
      </c>
      <c r="K138" s="37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239.988</v>
      </c>
      <c r="B139" s="23" t="n">
        <f aca="false">B67</f>
        <v>578.85</v>
      </c>
      <c r="C139" s="23"/>
      <c r="D139" s="23" t="n">
        <f aca="false">B102*0.9</f>
        <v>0</v>
      </c>
      <c r="E139" s="180"/>
      <c r="F139" s="34"/>
      <c r="G139" s="22" t="n">
        <f aca="false">G102</f>
        <v>239.988</v>
      </c>
      <c r="H139" s="23" t="n">
        <f aca="false">H67</f>
        <v>289.425</v>
      </c>
      <c r="I139" s="23"/>
      <c r="J139" s="23" t="n">
        <f aca="false">H102*0.9</f>
        <v>1080</v>
      </c>
      <c r="K139" s="180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217</v>
      </c>
      <c r="B141" s="36" t="s">
        <v>218</v>
      </c>
      <c r="C141" s="36"/>
      <c r="D141" s="36" t="s">
        <v>219</v>
      </c>
      <c r="E141" s="37"/>
      <c r="F141" s="34"/>
      <c r="G141" s="35" t="s">
        <v>217</v>
      </c>
      <c r="H141" s="36" t="s">
        <v>218</v>
      </c>
      <c r="I141" s="36"/>
      <c r="J141" s="36" t="s">
        <v>219</v>
      </c>
      <c r="K141" s="37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B89*0.1, 0)</f>
        <v>0</v>
      </c>
      <c r="B142" s="23" t="n">
        <f aca="false">A102-100</f>
        <v>139.988</v>
      </c>
      <c r="C142" s="23"/>
      <c r="D142" s="23" t="n">
        <f aca="false">(B139+D139+A142+B142)-B145</f>
        <v>505.951463887758</v>
      </c>
      <c r="E142" s="180"/>
      <c r="F142" s="34"/>
      <c r="G142" s="22" t="n">
        <f aca="false">IF(G105="YES", H89*0.1, 0)</f>
        <v>0</v>
      </c>
      <c r="H142" s="23" t="n">
        <f aca="false">G102-100</f>
        <v>139.988</v>
      </c>
      <c r="I142" s="23"/>
      <c r="J142" s="23" t="n">
        <f aca="false">(H139+J139+G142+H142)-H145</f>
        <v>1509.413</v>
      </c>
      <c r="K142" s="180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220</v>
      </c>
      <c r="B144" s="36" t="s">
        <v>221</v>
      </c>
      <c r="C144" s="36"/>
      <c r="D144" s="36"/>
      <c r="E144" s="37"/>
      <c r="F144" s="34"/>
      <c r="G144" s="35" t="s">
        <v>220</v>
      </c>
      <c r="H144" s="36" t="s">
        <v>221</v>
      </c>
      <c r="I144" s="36"/>
      <c r="J144" s="36"/>
      <c r="K144" s="37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IF((1200-B102) &lt;= 0, 0, (1200-B102))</f>
        <v>1200</v>
      </c>
      <c r="B145" s="23" t="n">
        <f aca="false">(B139+D139+A142+B142)*(A145/B64)</f>
        <v>212.886536112242</v>
      </c>
      <c r="C145" s="36"/>
      <c r="D145" s="36"/>
      <c r="E145" s="37"/>
      <c r="F145" s="34"/>
      <c r="G145" s="22" t="n">
        <f aca="false">IF((1200-H102) &lt;= 0, 0, (1200-H102))</f>
        <v>0</v>
      </c>
      <c r="H145" s="23" t="n">
        <f aca="false">(H139+J139+G142+H142)*(G145/H64)</f>
        <v>0</v>
      </c>
      <c r="I145" s="36"/>
      <c r="J145" s="36"/>
      <c r="K145" s="37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224</v>
      </c>
      <c r="B148" s="36"/>
      <c r="C148" s="36"/>
      <c r="D148" s="215"/>
      <c r="E148" s="216"/>
      <c r="F148" s="34"/>
      <c r="G148" s="214" t="s">
        <v>224</v>
      </c>
      <c r="H148" s="36"/>
      <c r="I148" s="36"/>
      <c r="J148" s="215"/>
      <c r="K148" s="216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5000</v>
      </c>
      <c r="C151" s="83"/>
      <c r="D151" s="36"/>
      <c r="E151" s="37"/>
      <c r="F151" s="34"/>
      <c r="G151" s="81"/>
      <c r="H151" s="83" t="n">
        <f aca="false">B51</f>
        <v>5000</v>
      </c>
      <c r="I151" s="83"/>
      <c r="J151" s="36"/>
      <c r="K151" s="37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12</v>
      </c>
      <c r="B152" s="85" t="n">
        <f aca="false">B91</f>
        <v>746.632022656985</v>
      </c>
      <c r="C152" s="85"/>
      <c r="D152" s="36"/>
      <c r="E152" s="37"/>
      <c r="F152" s="34"/>
      <c r="G152" s="84" t="n">
        <f aca="false">A52</f>
        <v>12</v>
      </c>
      <c r="H152" s="85" t="n">
        <f aca="false">H91</f>
        <v>1180.02508941778</v>
      </c>
      <c r="I152" s="85"/>
      <c r="J152" s="36"/>
      <c r="K152" s="37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9.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75" colorId="64" zoomScale="65" zoomScaleNormal="65" zoomScalePageLayoutView="100" workbookViewId="0">
      <selection pane="topLeft" activeCell="A109" activeCellId="0" sqref="A109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555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227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25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228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229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230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231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232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233</v>
      </c>
      <c r="F32" s="14"/>
      <c r="G32" s="14"/>
      <c r="H32" s="12"/>
      <c r="I32" s="2" t="n">
        <v>0</v>
      </c>
      <c r="J32" s="261" t="s">
        <v>234</v>
      </c>
      <c r="K32" s="267" t="n">
        <v>1030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951.531975672137</v>
      </c>
      <c r="F33" s="57"/>
      <c r="G33" s="57"/>
      <c r="H33" s="126"/>
      <c r="I33" s="2"/>
      <c r="J33" s="263" t="s">
        <v>235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236</v>
      </c>
      <c r="B35" s="14" t="s">
        <v>237</v>
      </c>
      <c r="C35" s="14"/>
      <c r="D35" s="32"/>
      <c r="E35" s="14" t="s">
        <v>238</v>
      </c>
      <c r="F35" s="179"/>
      <c r="G35" s="179"/>
      <c r="H35" s="126"/>
      <c r="I35" s="2"/>
      <c r="J35" s="269" t="s">
        <v>239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n">
        <f aca="false">IF(B26="YES", K42, "0.00")</f>
        <v>28.6111111111111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240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241</v>
      </c>
      <c r="B39" s="14" t="s">
        <v>242</v>
      </c>
      <c r="C39" s="14"/>
      <c r="D39" s="32"/>
      <c r="E39" s="14" t="s">
        <v>243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43933.392151445</v>
      </c>
      <c r="N39" s="1" t="n">
        <f aca="false">K39-L39</f>
        <v>4944.10784855496</v>
      </c>
      <c r="P39" s="32"/>
    </row>
    <row r="40" customFormat="false" ht="17.35" hidden="false" customHeight="false" outlineLevel="0" collapsed="false">
      <c r="A40" s="251" t="n">
        <f aca="false">E36*A45/100</f>
        <v>27500</v>
      </c>
      <c r="B40" s="124" t="n">
        <f aca="false">IF(B26="YES", K42, "0.00")</f>
        <v>28.6111111111111</v>
      </c>
      <c r="C40" s="124"/>
      <c r="D40" s="124"/>
      <c r="E40" s="177" t="n">
        <f aca="false">K32</f>
        <v>1030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4944.10784855496</v>
      </c>
      <c r="N40" s="1" t="n">
        <f aca="false">N38-N39</f>
        <v>-2032.42784855496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244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245</v>
      </c>
      <c r="K42" s="2" t="n">
        <f aca="false">(K32/K36/100)*C45</f>
        <v>28.6111111111111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246</v>
      </c>
      <c r="K43" s="2"/>
      <c r="L43" s="2"/>
      <c r="P43" s="32"/>
    </row>
    <row r="44" customFormat="false" ht="17.35" hidden="false" customHeight="false" outlineLevel="0" collapsed="false">
      <c r="A44" s="181" t="s">
        <v>247</v>
      </c>
      <c r="B44" s="14"/>
      <c r="C44" s="199" t="s">
        <v>248</v>
      </c>
      <c r="D44" s="199"/>
      <c r="E44" s="14"/>
      <c r="F44" s="14"/>
      <c r="G44" s="14"/>
      <c r="H44" s="12"/>
      <c r="J44" s="2" t="s">
        <v>249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82" t="s">
        <v>250</v>
      </c>
      <c r="B45" s="14"/>
      <c r="C45" s="283" t="s">
        <v>250</v>
      </c>
      <c r="D45" s="283"/>
      <c r="E45" s="283"/>
      <c r="F45" s="14"/>
      <c r="G45" s="14"/>
      <c r="H45" s="12"/>
      <c r="J45" s="2" t="s">
        <v>251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252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253</v>
      </c>
      <c r="K47" s="2" t="n">
        <f aca="false">K45/K46</f>
        <v>922.920864561026</v>
      </c>
      <c r="L47" s="2" t="n">
        <f aca="false">L49-K42</f>
        <v>771.388888888889</v>
      </c>
      <c r="M47" s="1" t="n">
        <f aca="false">K47-L47</f>
        <v>151.531975672137</v>
      </c>
      <c r="P47" s="32"/>
    </row>
    <row r="48" customFormat="false" ht="31.8" hidden="false" customHeight="false" outlineLevel="0" collapsed="false">
      <c r="A48" s="182" t="s">
        <v>254</v>
      </c>
      <c r="B48" s="14"/>
      <c r="C48" s="14"/>
      <c r="D48" s="183"/>
      <c r="E48" s="183"/>
      <c r="F48" s="183"/>
      <c r="G48" s="183"/>
      <c r="H48" s="184"/>
      <c r="J48" s="79" t="s">
        <v>255</v>
      </c>
      <c r="K48" s="2" t="n">
        <f aca="false">IF(B26="YES", K47+K42, K47)</f>
        <v>951.531975672137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256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951.531975672137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0.024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9431.52556441513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16061.8583918841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B66+(B66*0.25*(B29/12-1))</f>
        <v>0.00375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B61*B67</f>
        <v>214.59375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B73*B29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91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91"/>
      <c r="G77" s="91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B77/K29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951.531975672137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951.531975672137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59384.43749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A40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02" t="n">
        <f aca="false">B62+B63+B64</f>
        <v>0.089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0.00741666666666667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21076.7652577131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30.7264493562845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37448.2347422869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40781.5716802377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1218.7621911032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1408.20027188803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42656.676688612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49287.009516081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(B90/(1-B71))*B71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42656.676688612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49287.009516081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08" t="n">
        <f aca="false">IF(B26="YES",((E40/B85)*(1+A108)*1.2),"0")</f>
        <v>42.3771428571428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44.6333333333333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35.3142857142857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42.3771428571428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1218.7621911032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1408.20027188803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(B94+B95)</f>
        <v>1261.13933396034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1521.94639790342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1443.51455760232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970.064391147723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258</v>
      </c>
      <c r="B100" s="3"/>
      <c r="C100" s="3"/>
      <c r="D100" s="3"/>
      <c r="E100" s="3"/>
      <c r="F100" s="3"/>
      <c r="G100" s="3"/>
      <c r="H100" s="3"/>
      <c r="J100" s="3" t="s">
        <v>257</v>
      </c>
      <c r="K100" s="3"/>
      <c r="L100" s="3"/>
      <c r="M100" s="3"/>
      <c r="N100" s="3"/>
      <c r="O100" s="3"/>
      <c r="P100" s="3"/>
      <c r="Q100" s="3"/>
      <c r="S100" s="3" t="s">
        <v>111</v>
      </c>
      <c r="T100" s="3"/>
      <c r="U100" s="3"/>
      <c r="V100" s="3"/>
      <c r="W100" s="3"/>
      <c r="X100" s="3"/>
      <c r="Y100" s="3"/>
      <c r="Z100" s="3"/>
      <c r="AB100" s="3" t="s">
        <v>258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25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226</v>
      </c>
      <c r="C108" s="124"/>
      <c r="D108" s="124"/>
      <c r="E108" s="125" t="n">
        <f aca="false">B83</f>
        <v>0.089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259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259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271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f aca="false">D122</f>
        <v>0</v>
      </c>
      <c r="F122" s="139" t="n">
        <f aca="false">F4</f>
        <v>0</v>
      </c>
      <c r="G122" s="140" t="n">
        <f aca="false">F122</f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f aca="false">D123</f>
        <v>0</v>
      </c>
      <c r="F123" s="141" t="n">
        <f aca="false">F5</f>
        <v>0</v>
      </c>
      <c r="G123" s="137" t="n">
        <f aca="false">F123</f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(U121*U122/100)+U123</f>
        <v>117.135425</v>
      </c>
      <c r="V124" s="141" t="n">
        <f aca="false">(V121*V122)+V123</f>
        <v>0</v>
      </c>
      <c r="W124" s="142" t="n">
        <f aca="false">(W121*W122/100)+W123</f>
        <v>0</v>
      </c>
      <c r="X124" s="141" t="n">
        <f aca="false">(X121*X122)+X123</f>
        <v>0</v>
      </c>
      <c r="Y124" s="142" t="n">
        <f aca="false">(Y121*Y122/100)+Y123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46737.034575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47570.364575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9624.072915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f aca="false">G138</f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58384.43749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s">
        <v>23</v>
      </c>
      <c r="C144" s="25"/>
      <c r="D144" s="25"/>
      <c r="E144" s="25"/>
      <c r="F144" s="25"/>
      <c r="G144" s="13" t="n">
        <f aca="false">H18</f>
        <v>0</v>
      </c>
      <c r="H144" s="127" t="n">
        <f aca="false">G144</f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f aca="false">G145</f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f aca="false">G146</f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58384.43749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Q147-P147</f>
        <v>-21870</v>
      </c>
      <c r="I148" s="1" t="n">
        <f aca="false">(H148-G81)/1.2</f>
        <v>-18225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-140.562510000003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59384.43749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239.99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1218.7621911032</v>
      </c>
      <c r="B167" s="173" t="n">
        <f aca="false">B94</f>
        <v>42.3771428571428</v>
      </c>
      <c r="C167" s="171"/>
      <c r="D167" s="171"/>
      <c r="E167" s="173" t="n">
        <f aca="false">B96</f>
        <v>1261.13933396034</v>
      </c>
      <c r="F167" s="31"/>
      <c r="G167" s="31"/>
      <c r="H167" s="12"/>
      <c r="J167" s="172" t="n">
        <f aca="false">K95</f>
        <v>1477.31306457009</v>
      </c>
      <c r="K167" s="173" t="n">
        <f aca="false">K94</f>
        <v>44.6333333333333</v>
      </c>
      <c r="L167" s="171"/>
      <c r="M167" s="171"/>
      <c r="N167" s="173" t="n">
        <f aca="false">K96</f>
        <v>1521.94639790342</v>
      </c>
      <c r="O167" s="31"/>
      <c r="P167" s="31"/>
      <c r="Q167" s="12"/>
      <c r="S167" s="172" t="n">
        <f aca="false">T95</f>
        <v>1408.20027188803</v>
      </c>
      <c r="T167" s="173" t="n">
        <f aca="false">T94</f>
        <v>35.3142857142857</v>
      </c>
      <c r="U167" s="171"/>
      <c r="V167" s="171"/>
      <c r="W167" s="173" t="n">
        <f aca="false">T96</f>
        <v>1443.51455760232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42.3771428571428</v>
      </c>
      <c r="AD167" s="171"/>
      <c r="AE167" s="171"/>
      <c r="AF167" s="173" t="n">
        <f aca="false">AC96</f>
        <v>970.064391147723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B29</f>
        <v>0</v>
      </c>
      <c r="B170" s="54" t="str">
        <f aca="false">B30</f>
        <v>0</v>
      </c>
      <c r="C170" s="176"/>
      <c r="D170" s="31"/>
      <c r="E170" s="177" t="n">
        <f aca="false">IF(A111="YES",A40,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48120.364575</v>
      </c>
      <c r="T173" s="23" t="n">
        <f aca="false">Z137</f>
        <v>9624.072915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H141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58384.43749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59384.43749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11631.676688612</v>
      </c>
      <c r="B182" s="23" t="str">
        <f aca="false">B114</f>
        <v>239.99</v>
      </c>
      <c r="C182" s="23"/>
      <c r="D182" s="31"/>
      <c r="E182" s="23" t="n">
        <f aca="false">E179+A182+B182+A185</f>
        <v>70406.6666886121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17402.5720260811</v>
      </c>
      <c r="T182" s="23" t="n">
        <f aca="false">T114</f>
        <v>199.99</v>
      </c>
      <c r="U182" s="23"/>
      <c r="V182" s="31"/>
      <c r="W182" s="23" t="n">
        <f aca="false">W179+S182+T182+S185</f>
        <v>76996.9995160811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239.99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0.11705</v>
      </c>
      <c r="B188" s="23" t="n">
        <f aca="false">(G158*B67)/1.2</f>
        <v>182.890625</v>
      </c>
      <c r="C188" s="14"/>
      <c r="D188" s="14"/>
      <c r="E188" s="23" t="n">
        <f aca="false">(E40*A108)*0.1</f>
        <v>20.6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30.9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494.870312416667</v>
      </c>
      <c r="U188" s="14"/>
      <c r="V188" s="14"/>
      <c r="W188" s="23" t="n">
        <f aca="false">(E40*S108)*0.1</f>
        <v>20.6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20.6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139.99</v>
      </c>
      <c r="B191" s="23" t="n">
        <f aca="false">B188+E188+A191</f>
        <v>343.480625</v>
      </c>
      <c r="C191" s="14"/>
      <c r="D191" s="14"/>
      <c r="E191" s="23" t="n">
        <f aca="false">H148</f>
        <v>-21870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3524.3275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1615.46031241667</v>
      </c>
      <c r="U191" s="14"/>
      <c r="V191" s="14"/>
      <c r="W191" s="23" t="n">
        <f aca="false">Z148</f>
        <v>-140.562510000003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1539.49624166667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str">
        <f aca="false">B30</f>
        <v>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B29</f>
        <v>0</v>
      </c>
      <c r="B197" s="85" t="n">
        <f aca="false">B96</f>
        <v>1261.13933396034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1521.94639790342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1443.51455760232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970.064391147723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24" colorId="64" zoomScale="65" zoomScaleNormal="6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227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25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228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229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230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231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232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233</v>
      </c>
      <c r="F32" s="14"/>
      <c r="G32" s="14"/>
      <c r="H32" s="12"/>
      <c r="I32" s="2" t="n">
        <v>0</v>
      </c>
      <c r="J32" s="261" t="s">
        <v>234</v>
      </c>
      <c r="K32" s="267" t="n">
        <v>1030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951.531975672137</v>
      </c>
      <c r="F33" s="57"/>
      <c r="G33" s="57"/>
      <c r="H33" s="126"/>
      <c r="I33" s="2"/>
      <c r="J33" s="263" t="s">
        <v>235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236</v>
      </c>
      <c r="B35" s="14" t="s">
        <v>237</v>
      </c>
      <c r="C35" s="14"/>
      <c r="D35" s="32"/>
      <c r="E35" s="14" t="s">
        <v>238</v>
      </c>
      <c r="F35" s="179"/>
      <c r="G35" s="179"/>
      <c r="H35" s="126"/>
      <c r="I35" s="2"/>
      <c r="J35" s="269" t="s">
        <v>239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n">
        <f aca="false">IF(B26="YES", K42, "0.00")</f>
        <v>28.6111111111111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240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241</v>
      </c>
      <c r="B39" s="14" t="s">
        <v>242</v>
      </c>
      <c r="C39" s="14"/>
      <c r="D39" s="32"/>
      <c r="E39" s="14" t="s">
        <v>243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43933.392151445</v>
      </c>
      <c r="N39" s="1" t="n">
        <f aca="false">K39-L39</f>
        <v>4944.10784855496</v>
      </c>
      <c r="P39" s="32"/>
    </row>
    <row r="40" customFormat="false" ht="17.35" hidden="false" customHeight="false" outlineLevel="0" collapsed="false">
      <c r="A40" s="251" t="n">
        <f aca="false">E36*A45/100</f>
        <v>27500</v>
      </c>
      <c r="B40" s="124" t="n">
        <f aca="false">IF(B26="YES", K42, "0.00")</f>
        <v>28.6111111111111</v>
      </c>
      <c r="C40" s="124"/>
      <c r="D40" s="124"/>
      <c r="E40" s="177" t="n">
        <f aca="false">K32</f>
        <v>1030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4944.10784855496</v>
      </c>
      <c r="N40" s="1" t="n">
        <f aca="false">N38-N39</f>
        <v>-2032.42784855496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244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245</v>
      </c>
      <c r="K42" s="2" t="n">
        <f aca="false">(K32/K36/100)*C45</f>
        <v>28.6111111111111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246</v>
      </c>
      <c r="K43" s="2"/>
      <c r="L43" s="2"/>
      <c r="P43" s="32"/>
    </row>
    <row r="44" customFormat="false" ht="17.35" hidden="false" customHeight="false" outlineLevel="0" collapsed="false">
      <c r="A44" s="181" t="s">
        <v>247</v>
      </c>
      <c r="B44" s="14"/>
      <c r="C44" s="199" t="s">
        <v>248</v>
      </c>
      <c r="D44" s="199"/>
      <c r="E44" s="14"/>
      <c r="F44" s="14"/>
      <c r="G44" s="14"/>
      <c r="H44" s="12"/>
      <c r="J44" s="2" t="s">
        <v>249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82" t="s">
        <v>250</v>
      </c>
      <c r="B45" s="14"/>
      <c r="C45" s="283" t="s">
        <v>250</v>
      </c>
      <c r="D45" s="283"/>
      <c r="E45" s="283"/>
      <c r="F45" s="14"/>
      <c r="G45" s="14"/>
      <c r="H45" s="12"/>
      <c r="J45" s="2" t="s">
        <v>251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252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253</v>
      </c>
      <c r="K47" s="2" t="n">
        <f aca="false">K45/K46</f>
        <v>922.920864561026</v>
      </c>
      <c r="L47" s="2" t="n">
        <f aca="false">L49-K42</f>
        <v>771.388888888889</v>
      </c>
      <c r="M47" s="1" t="n">
        <f aca="false">K47-L47</f>
        <v>151.531975672137</v>
      </c>
      <c r="P47" s="32"/>
    </row>
    <row r="48" customFormat="false" ht="31.8" hidden="false" customHeight="false" outlineLevel="0" collapsed="false">
      <c r="A48" s="182" t="s">
        <v>254</v>
      </c>
      <c r="B48" s="14"/>
      <c r="C48" s="14"/>
      <c r="D48" s="183"/>
      <c r="E48" s="183"/>
      <c r="F48" s="183"/>
      <c r="G48" s="183"/>
      <c r="H48" s="184"/>
      <c r="J48" s="79" t="s">
        <v>255</v>
      </c>
      <c r="K48" s="2" t="n">
        <f aca="false">IF(B26="YES", K47+K42, K47)</f>
        <v>951.531975672137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256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951.531975672137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15827.3446084403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16061.8583918841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B66+(B66*0.25*(B29/12-1))</f>
        <v>0.00375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B61*B67</f>
        <v>214.59375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B73*B29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91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91"/>
      <c r="G77" s="91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B77/H29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951.531975672137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951.531975672137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59384.43749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A40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02" t="n">
        <f aca="false">B62+B63+B64</f>
        <v>0.137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18274.642159497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28.719487222345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40250.357840503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40781.5716802377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1401.49987807535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1408.20027188803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49052.4957326372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49287.009516081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(B90/(1-B71))*B71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49052.4957326372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49287.009516081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08" t="n">
        <f aca="false">IF(B26="YES",((E40/B85)*(1+A108)),"0")</f>
        <v>35.3142857142857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44.6333333333333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35.3142857142857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42.3771428571428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1401.49987807535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1408.20027188803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(B94+B95)</f>
        <v>1436.81416378963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1521.94639790342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1443.51455760232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970.064391147723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111</v>
      </c>
      <c r="B100" s="3"/>
      <c r="C100" s="3"/>
      <c r="D100" s="3"/>
      <c r="E100" s="3"/>
      <c r="F100" s="3"/>
      <c r="G100" s="3"/>
      <c r="H100" s="3"/>
      <c r="J100" s="3" t="s">
        <v>257</v>
      </c>
      <c r="K100" s="3"/>
      <c r="L100" s="3"/>
      <c r="M100" s="3"/>
      <c r="N100" s="3"/>
      <c r="O100" s="3"/>
      <c r="P100" s="3"/>
      <c r="Q100" s="3"/>
      <c r="S100" s="3" t="s">
        <v>111</v>
      </c>
      <c r="T100" s="3"/>
      <c r="U100" s="3"/>
      <c r="V100" s="3"/>
      <c r="W100" s="3"/>
      <c r="X100" s="3"/>
      <c r="Y100" s="3"/>
      <c r="Z100" s="3"/>
      <c r="AB100" s="3" t="s">
        <v>258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123</v>
      </c>
      <c r="C108" s="124"/>
      <c r="D108" s="124"/>
      <c r="E108" s="125" t="n">
        <f aca="false">B83</f>
        <v>0.137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259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259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f aca="false">D122</f>
        <v>0</v>
      </c>
      <c r="F122" s="139" t="n">
        <f aca="false">F4</f>
        <v>0</v>
      </c>
      <c r="G122" s="140" t="n">
        <f aca="false">F122</f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f aca="false">D123</f>
        <v>0</v>
      </c>
      <c r="F123" s="141" t="n">
        <f aca="false">F5</f>
        <v>0</v>
      </c>
      <c r="G123" s="137" t="n">
        <f aca="false">F123</f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(U121*U122/100)+U123</f>
        <v>117.135425</v>
      </c>
      <c r="V124" s="141" t="n">
        <f aca="false">(V121*V122)+V123</f>
        <v>0</v>
      </c>
      <c r="W124" s="142" t="n">
        <f aca="false">(W121*W122/100)+W123</f>
        <v>0</v>
      </c>
      <c r="X124" s="141" t="n">
        <f aca="false">(X121*X122)+X123</f>
        <v>0</v>
      </c>
      <c r="Y124" s="142" t="n">
        <f aca="false">(Y121*Y122/100)+Y123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46737.034575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47570.364575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9624.072915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f aca="false">G138</f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58384.43749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s">
        <v>23</v>
      </c>
      <c r="C144" s="25"/>
      <c r="D144" s="25"/>
      <c r="E144" s="25"/>
      <c r="F144" s="25"/>
      <c r="G144" s="13" t="n">
        <f aca="false">H18</f>
        <v>0</v>
      </c>
      <c r="H144" s="127" t="n">
        <f aca="false">G144</f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f aca="false">G145</f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f aca="false">G146</f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58384.43749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Q147-P147</f>
        <v>-21870</v>
      </c>
      <c r="I148" s="1" t="n">
        <f aca="false">(H148-G81)/1.2</f>
        <v>-18225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-140.562510000003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59384.43749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1401.49987807535</v>
      </c>
      <c r="B167" s="173" t="n">
        <f aca="false">B94</f>
        <v>35.3142857142857</v>
      </c>
      <c r="C167" s="171"/>
      <c r="D167" s="171"/>
      <c r="E167" s="173" t="n">
        <f aca="false">B96</f>
        <v>1436.81416378963</v>
      </c>
      <c r="F167" s="31"/>
      <c r="G167" s="31"/>
      <c r="H167" s="12"/>
      <c r="J167" s="172" t="n">
        <f aca="false">K95</f>
        <v>1477.31306457009</v>
      </c>
      <c r="K167" s="173" t="n">
        <f aca="false">K94</f>
        <v>44.6333333333333</v>
      </c>
      <c r="L167" s="171"/>
      <c r="M167" s="171"/>
      <c r="N167" s="173" t="n">
        <f aca="false">K96</f>
        <v>1521.94639790342</v>
      </c>
      <c r="O167" s="31"/>
      <c r="P167" s="31"/>
      <c r="Q167" s="12"/>
      <c r="S167" s="172" t="n">
        <f aca="false">T95</f>
        <v>1408.20027188803</v>
      </c>
      <c r="T167" s="173" t="n">
        <f aca="false">T94</f>
        <v>35.3142857142857</v>
      </c>
      <c r="U167" s="171"/>
      <c r="V167" s="171"/>
      <c r="W167" s="173" t="n">
        <f aca="false">T96</f>
        <v>1443.51455760232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42.3771428571428</v>
      </c>
      <c r="AD167" s="171"/>
      <c r="AE167" s="171"/>
      <c r="AF167" s="173" t="n">
        <f aca="false">AC96</f>
        <v>970.064391147723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B29</f>
        <v>0</v>
      </c>
      <c r="B170" s="54" t="str">
        <f aca="false">B30</f>
        <v>0</v>
      </c>
      <c r="C170" s="176"/>
      <c r="D170" s="31"/>
      <c r="E170" s="177" t="n">
        <f aca="false">IF(A111="YES",A40,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48120.364575</v>
      </c>
      <c r="T173" s="23" t="n">
        <f aca="false">Z137</f>
        <v>9624.072915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H141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58384.43749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59384.43749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18027.4957326372</v>
      </c>
      <c r="B182" s="23" t="str">
        <f aca="false">B114</f>
        <v>199.99</v>
      </c>
      <c r="C182" s="23"/>
      <c r="D182" s="31"/>
      <c r="E182" s="23" t="n">
        <f aca="false">E179+A182+B182+A185</f>
        <v>76762.4857326372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17402.5720260811</v>
      </c>
      <c r="T182" s="23" t="n">
        <f aca="false">T114</f>
        <v>199.99</v>
      </c>
      <c r="U182" s="23"/>
      <c r="V182" s="31"/>
      <c r="W182" s="23" t="n">
        <f aca="false">W179+S182+T182+S185</f>
        <v>76996.9995160811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(G158*B67)/1.2</f>
        <v>182.890625</v>
      </c>
      <c r="C188" s="14"/>
      <c r="D188" s="14"/>
      <c r="E188" s="23" t="n">
        <f aca="false">(E40*A108)*0.1</f>
        <v>20.6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30.9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494.870312416667</v>
      </c>
      <c r="U188" s="14"/>
      <c r="V188" s="14"/>
      <c r="W188" s="23" t="n">
        <f aca="false">(E40*S108)*0.1</f>
        <v>20.6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20.6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303.480625</v>
      </c>
      <c r="C191" s="14"/>
      <c r="D191" s="14"/>
      <c r="E191" s="23" t="n">
        <f aca="false">H148</f>
        <v>-21870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3524.3275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1615.46031241667</v>
      </c>
      <c r="U191" s="14"/>
      <c r="V191" s="14"/>
      <c r="W191" s="23" t="n">
        <f aca="false">Z148</f>
        <v>-140.562510000003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1539.49624166667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str">
        <f aca="false">B30</f>
        <v>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B29</f>
        <v>0</v>
      </c>
      <c r="B197" s="85" t="n">
        <f aca="false">B96</f>
        <v>1436.81416378963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1521.94639790342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1443.51455760232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970.064391147723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0" colorId="64" zoomScale="65" zoomScaleNormal="6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227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25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228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229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230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231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232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233</v>
      </c>
      <c r="F32" s="14"/>
      <c r="G32" s="14"/>
      <c r="H32" s="12"/>
      <c r="I32" s="2" t="n">
        <v>0</v>
      </c>
      <c r="J32" s="261" t="s">
        <v>234</v>
      </c>
      <c r="K32" s="267" t="n">
        <v>1030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951.531975672137</v>
      </c>
      <c r="F33" s="57"/>
      <c r="G33" s="57"/>
      <c r="H33" s="126"/>
      <c r="I33" s="2"/>
      <c r="J33" s="263" t="s">
        <v>235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236</v>
      </c>
      <c r="B35" s="14" t="s">
        <v>237</v>
      </c>
      <c r="C35" s="14"/>
      <c r="D35" s="32"/>
      <c r="E35" s="14" t="s">
        <v>238</v>
      </c>
      <c r="F35" s="179"/>
      <c r="G35" s="179"/>
      <c r="H35" s="126"/>
      <c r="I35" s="2"/>
      <c r="J35" s="269" t="s">
        <v>239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n">
        <f aca="false">IF(B26="YES", K42, "0.00")</f>
        <v>28.6111111111111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240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241</v>
      </c>
      <c r="B39" s="14" t="s">
        <v>242</v>
      </c>
      <c r="C39" s="14"/>
      <c r="D39" s="32"/>
      <c r="E39" s="14" t="s">
        <v>243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43933.392151445</v>
      </c>
      <c r="N39" s="1" t="n">
        <f aca="false">K39-L39</f>
        <v>4944.10784855496</v>
      </c>
      <c r="P39" s="32"/>
    </row>
    <row r="40" customFormat="false" ht="17.35" hidden="false" customHeight="false" outlineLevel="0" collapsed="false">
      <c r="A40" s="124" t="n">
        <f aca="false">E36*A45/100</f>
        <v>27500</v>
      </c>
      <c r="B40" s="124" t="n">
        <f aca="false">IF(B26="YES", K42, "0.00")</f>
        <v>28.6111111111111</v>
      </c>
      <c r="C40" s="124"/>
      <c r="D40" s="124"/>
      <c r="E40" s="177" t="n">
        <f aca="false">K32</f>
        <v>1030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4944.10784855496</v>
      </c>
      <c r="N40" s="1" t="n">
        <f aca="false">N38-N39</f>
        <v>-2032.42784855496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244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245</v>
      </c>
      <c r="K42" s="2" t="n">
        <f aca="false">(K32/K36/100)*C45</f>
        <v>28.6111111111111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246</v>
      </c>
      <c r="K43" s="2"/>
      <c r="L43" s="2"/>
      <c r="P43" s="32"/>
    </row>
    <row r="44" customFormat="false" ht="17.35" hidden="false" customHeight="false" outlineLevel="0" collapsed="false">
      <c r="A44" s="181" t="s">
        <v>247</v>
      </c>
      <c r="B44" s="14"/>
      <c r="C44" s="199" t="s">
        <v>248</v>
      </c>
      <c r="D44" s="199"/>
      <c r="E44" s="14"/>
      <c r="F44" s="14"/>
      <c r="G44" s="14"/>
      <c r="H44" s="12"/>
      <c r="J44" s="2" t="s">
        <v>249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84" t="s">
        <v>250</v>
      </c>
      <c r="B45" s="14"/>
      <c r="C45" s="283" t="s">
        <v>250</v>
      </c>
      <c r="D45" s="283"/>
      <c r="E45" s="283"/>
      <c r="F45" s="14"/>
      <c r="G45" s="14"/>
      <c r="H45" s="12"/>
      <c r="J45" s="2" t="s">
        <v>251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252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253</v>
      </c>
      <c r="K47" s="2" t="n">
        <f aca="false">K45/K46</f>
        <v>922.920864561026</v>
      </c>
      <c r="L47" s="2" t="n">
        <f aca="false">L49-K42</f>
        <v>771.388888888889</v>
      </c>
      <c r="M47" s="1" t="n">
        <f aca="false">K47-L47</f>
        <v>151.531975672137</v>
      </c>
      <c r="P47" s="32"/>
    </row>
    <row r="48" customFormat="false" ht="31.8" hidden="false" customHeight="false" outlineLevel="0" collapsed="false">
      <c r="A48" s="182" t="s">
        <v>254</v>
      </c>
      <c r="B48" s="14"/>
      <c r="C48" s="14"/>
      <c r="D48" s="183"/>
      <c r="E48" s="183"/>
      <c r="F48" s="183"/>
      <c r="G48" s="183"/>
      <c r="H48" s="184"/>
      <c r="J48" s="79" t="s">
        <v>255</v>
      </c>
      <c r="K48" s="2" t="n">
        <f aca="false">IF(B26="YES", K47+K42, K47)</f>
        <v>951.531975672137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256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951.531975672137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0.024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9431.52556441513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16061.8583918841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B66+(B66*0.25*(B29/12-1))</f>
        <v>0.00375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B61*B67</f>
        <v>214.59375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B73*B29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91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91"/>
      <c r="G77" s="91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B77/H29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951.531975672137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951.531975672137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59384.43749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IF(A111 = "YES", A40, 0)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02" t="n">
        <f aca="false">B62+B63+B64</f>
        <v>0.089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0.00741666666666667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21076.7652577131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30.7264493562845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37448.2347422869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40781.5716802377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1218.7621911032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1408.20027188803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42656.676688612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49287.009516081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(B90/(1-B71))*B71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42656.676688612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49287.009516081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08" t="n">
        <f aca="false">IF(B26="YES",((E40/B85)*(1+A108)*1.2),"0")</f>
        <v>42.3771428571428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44.6333333333333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35.3142857142857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42.3771428571428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1218.7621911032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1408.20027188803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(B94+B95)</f>
        <v>1261.13933396034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1521.94639790342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1443.51455760232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970.064391147723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257</v>
      </c>
      <c r="B100" s="3"/>
      <c r="C100" s="3"/>
      <c r="D100" s="3"/>
      <c r="E100" s="3"/>
      <c r="F100" s="3"/>
      <c r="G100" s="3"/>
      <c r="H100" s="3"/>
      <c r="J100" s="3" t="s">
        <v>257</v>
      </c>
      <c r="K100" s="3"/>
      <c r="L100" s="3"/>
      <c r="M100" s="3"/>
      <c r="N100" s="3"/>
      <c r="O100" s="3"/>
      <c r="P100" s="3"/>
      <c r="Q100" s="3"/>
      <c r="S100" s="3" t="s">
        <v>111</v>
      </c>
      <c r="T100" s="3"/>
      <c r="U100" s="3"/>
      <c r="V100" s="3"/>
      <c r="W100" s="3"/>
      <c r="X100" s="3"/>
      <c r="Y100" s="3"/>
      <c r="Z100" s="3"/>
      <c r="AB100" s="3" t="s">
        <v>258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25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226</v>
      </c>
      <c r="C108" s="124"/>
      <c r="D108" s="124"/>
      <c r="E108" s="125" t="n">
        <f aca="false">B83</f>
        <v>0.089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259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259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271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f aca="false">D122</f>
        <v>0</v>
      </c>
      <c r="F122" s="139" t="n">
        <f aca="false">F4</f>
        <v>0</v>
      </c>
      <c r="G122" s="140" t="n">
        <f aca="false">F122</f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f aca="false">D123</f>
        <v>0</v>
      </c>
      <c r="F123" s="141" t="n">
        <f aca="false">F5</f>
        <v>0</v>
      </c>
      <c r="G123" s="137" t="n">
        <f aca="false">F123</f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(U121*U122/100)+U123</f>
        <v>117.135425</v>
      </c>
      <c r="V124" s="141" t="n">
        <f aca="false">(V121*V122)+V123</f>
        <v>0</v>
      </c>
      <c r="W124" s="142" t="n">
        <f aca="false">(W121*W122/100)+W123</f>
        <v>0</v>
      </c>
      <c r="X124" s="141" t="n">
        <f aca="false">(X121*X122)+X123</f>
        <v>0</v>
      </c>
      <c r="Y124" s="142" t="n">
        <f aca="false">(Y121*Y122/100)+Y123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46737.034575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47570.364575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9624.072915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f aca="false">G138</f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58384.43749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s">
        <v>23</v>
      </c>
      <c r="C144" s="25"/>
      <c r="D144" s="25"/>
      <c r="E144" s="25"/>
      <c r="F144" s="25"/>
      <c r="G144" s="13" t="n">
        <f aca="false">H18</f>
        <v>0</v>
      </c>
      <c r="H144" s="127" t="n">
        <f aca="false">G144</f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f aca="false">G145</f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f aca="false">G146</f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58384.43749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Q147-P147</f>
        <v>-21870</v>
      </c>
      <c r="I148" s="1" t="n">
        <f aca="false">(H148-G81)/1.2</f>
        <v>-18225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-140.562510000003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59384.43749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239.99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1218.7621911032</v>
      </c>
      <c r="B167" s="173" t="n">
        <f aca="false">B94</f>
        <v>42.3771428571428</v>
      </c>
      <c r="C167" s="171"/>
      <c r="D167" s="171"/>
      <c r="E167" s="173" t="n">
        <f aca="false">B96</f>
        <v>1261.13933396034</v>
      </c>
      <c r="F167" s="31"/>
      <c r="G167" s="31"/>
      <c r="H167" s="12"/>
      <c r="J167" s="172" t="n">
        <f aca="false">K95</f>
        <v>1477.31306457009</v>
      </c>
      <c r="K167" s="173" t="n">
        <f aca="false">K94</f>
        <v>44.6333333333333</v>
      </c>
      <c r="L167" s="171"/>
      <c r="M167" s="171"/>
      <c r="N167" s="173" t="n">
        <f aca="false">K96</f>
        <v>1521.94639790342</v>
      </c>
      <c r="O167" s="31"/>
      <c r="P167" s="31"/>
      <c r="Q167" s="12"/>
      <c r="S167" s="172" t="n">
        <f aca="false">T95</f>
        <v>1408.20027188803</v>
      </c>
      <c r="T167" s="173" t="n">
        <f aca="false">T94</f>
        <v>35.3142857142857</v>
      </c>
      <c r="U167" s="171"/>
      <c r="V167" s="171"/>
      <c r="W167" s="173" t="n">
        <f aca="false">T96</f>
        <v>1443.51455760232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42.3771428571428</v>
      </c>
      <c r="AD167" s="171"/>
      <c r="AE167" s="171"/>
      <c r="AF167" s="173" t="n">
        <f aca="false">AC96</f>
        <v>970.064391147723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B29</f>
        <v>0</v>
      </c>
      <c r="B170" s="54" t="str">
        <f aca="false">B30</f>
        <v>0</v>
      </c>
      <c r="C170" s="176"/>
      <c r="D170" s="31"/>
      <c r="E170" s="177" t="n">
        <f aca="false">IF(A111="YES",A40,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48120.364575</v>
      </c>
      <c r="T173" s="23" t="n">
        <f aca="false">Z137</f>
        <v>9624.072915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H141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58384.43749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59384.43749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11631.676688612</v>
      </c>
      <c r="B182" s="23" t="str">
        <f aca="false">B114</f>
        <v>239.99</v>
      </c>
      <c r="C182" s="23"/>
      <c r="D182" s="31"/>
      <c r="E182" s="23" t="n">
        <f aca="false">E179+A182+B182+A185</f>
        <v>70406.6666886121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17402.5720260811</v>
      </c>
      <c r="T182" s="23" t="n">
        <f aca="false">T114</f>
        <v>199.99</v>
      </c>
      <c r="U182" s="23"/>
      <c r="V182" s="31"/>
      <c r="W182" s="23" t="n">
        <f aca="false">W179+S182+T182+S185</f>
        <v>76996.9995160811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239.99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0.11705</v>
      </c>
      <c r="B188" s="23" t="n">
        <f aca="false">(G158*B67)/1.2</f>
        <v>182.890625</v>
      </c>
      <c r="C188" s="14"/>
      <c r="D188" s="14"/>
      <c r="E188" s="23" t="n">
        <f aca="false">(E40*A108)*0.1</f>
        <v>20.6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30.9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494.870312416667</v>
      </c>
      <c r="U188" s="14"/>
      <c r="V188" s="14"/>
      <c r="W188" s="23" t="n">
        <f aca="false">(E40*S108)*0.1</f>
        <v>20.6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20.6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139.99</v>
      </c>
      <c r="B191" s="23" t="n">
        <f aca="false">B188+E188+A191</f>
        <v>343.480625</v>
      </c>
      <c r="C191" s="14"/>
      <c r="D191" s="14"/>
      <c r="E191" s="23" t="n">
        <f aca="false">H148</f>
        <v>-21870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3524.3275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1615.46031241667</v>
      </c>
      <c r="U191" s="14"/>
      <c r="V191" s="14"/>
      <c r="W191" s="23" t="n">
        <f aca="false">Z148</f>
        <v>-140.562510000003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1539.49624166667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n">
        <f aca="false">K30</f>
        <v>10000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K29</f>
        <v>36</v>
      </c>
      <c r="B197" s="85" t="n">
        <f aca="false">B96</f>
        <v>1261.13933396034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1521.94639790342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1443.51455760232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970.064391147723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B30" colorId="64" zoomScale="65" zoomScaleNormal="65" zoomScalePageLayoutView="100" workbookViewId="0">
      <selection pane="topLeft" activeCell="M30" activeCellId="0" sqref="M30"/>
    </sheetView>
  </sheetViews>
  <sheetFormatPr defaultColWidth="11.11718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285" t="n">
        <v>46854.17</v>
      </c>
      <c r="C3" s="194" t="n">
        <v>0</v>
      </c>
      <c r="D3" s="285" t="n">
        <v>833.33</v>
      </c>
      <c r="E3" s="195" t="n">
        <v>0</v>
      </c>
      <c r="F3" s="34"/>
      <c r="G3" s="34" t="n">
        <v>25000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0" t="n">
        <v>0</v>
      </c>
      <c r="C4" s="0" t="n">
        <v>0</v>
      </c>
      <c r="D4" s="0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286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287" t="n">
        <f aca="false">G9*100/B3</f>
        <v>-222.685622218897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88" t="n">
        <f aca="false">(B7+C7+D7+E3)</f>
        <v>47687.5</v>
      </c>
      <c r="F9" s="34"/>
      <c r="G9" s="286" t="n">
        <f aca="false">E9-G11</f>
        <v>-104337.5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28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 E9 + E10 ) * 0.2</f>
        <v>9647.5</v>
      </c>
      <c r="F11" s="34"/>
      <c r="G11" s="286" t="n">
        <f aca="false">G13/1.2</f>
        <v>152025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286" t="n">
        <f aca="false">G15-E14-E13-E12</f>
        <v>182430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89" t="n">
        <f aca="false">(E9+E10+E13+E14+E11) - E12</f>
        <v>58525</v>
      </c>
      <c r="F15" s="34"/>
      <c r="G15" s="204" t="n">
        <v>183070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290" t="n">
        <f aca="false">(B3+C3+E10)*1.2</f>
        <v>56885.004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 t="n">
        <v>0</v>
      </c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227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41" t="s">
        <v>114</v>
      </c>
      <c r="B26" s="43" t="s">
        <v>25</v>
      </c>
      <c r="C26" s="36"/>
      <c r="D26" s="36"/>
      <c r="E26" s="37"/>
      <c r="F26" s="34"/>
      <c r="G26" s="39" t="s">
        <v>38</v>
      </c>
      <c r="H26" s="39" t="s">
        <v>228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229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38" t="s">
        <v>155</v>
      </c>
      <c r="B28" s="38"/>
      <c r="C28" s="38"/>
      <c r="D28" s="38"/>
      <c r="E28" s="38"/>
      <c r="F28" s="34"/>
      <c r="G28" s="40" t="s">
        <v>230</v>
      </c>
      <c r="H28" s="4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35"/>
      <c r="B29" s="36"/>
      <c r="C29" s="36"/>
      <c r="D29" s="36"/>
      <c r="E29" s="37"/>
      <c r="F29" s="34"/>
      <c r="G29" s="39" t="s">
        <v>36</v>
      </c>
      <c r="H29" s="291" t="n">
        <v>36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 t="s">
        <v>156</v>
      </c>
      <c r="B30" s="169" t="s">
        <v>231</v>
      </c>
      <c r="C30" s="169"/>
      <c r="D30" s="36"/>
      <c r="E30" s="37"/>
      <c r="F30" s="34"/>
      <c r="G30" s="39" t="s">
        <v>37</v>
      </c>
      <c r="H30" s="291" t="n">
        <v>10000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35"/>
      <c r="B31" s="36"/>
      <c r="C31" s="36"/>
      <c r="D31" s="36"/>
      <c r="E31" s="37"/>
      <c r="F31" s="34"/>
      <c r="G31" s="39" t="s">
        <v>232</v>
      </c>
      <c r="H31" s="267" t="n">
        <v>27500</v>
      </c>
      <c r="I31" s="67" t="n">
        <f aca="false">IF(C107="YES",H31,0)</f>
        <v>27500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35" t="s">
        <v>76</v>
      </c>
      <c r="B32" s="36" t="s">
        <v>77</v>
      </c>
      <c r="C32" s="36"/>
      <c r="D32" s="292" t="s">
        <v>233</v>
      </c>
      <c r="E32" s="37"/>
      <c r="F32" s="34"/>
      <c r="G32" s="39" t="s">
        <v>234</v>
      </c>
      <c r="I32" s="267" t="n">
        <v>1030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31.6" hidden="false" customHeight="true" outlineLevel="0" collapsed="false">
      <c r="A33" s="51" t="n">
        <f aca="false">A52</f>
        <v>36</v>
      </c>
      <c r="B33" s="52" t="n">
        <v>10000</v>
      </c>
      <c r="C33" s="53"/>
      <c r="D33" s="293" t="n">
        <f aca="false">H48</f>
        <v>951.531975672137</v>
      </c>
      <c r="E33" s="37"/>
      <c r="F33" s="34"/>
      <c r="G33" s="40" t="s">
        <v>235</v>
      </c>
      <c r="H33" s="294" t="n">
        <f aca="false">E21-E11+((E16*20%)+(E19*20%)+(E20*20%))</f>
        <v>48877.5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35"/>
      <c r="B34" s="36"/>
      <c r="C34" s="36"/>
      <c r="D34" s="36"/>
      <c r="E34" s="37"/>
      <c r="F34" s="34"/>
      <c r="G34" s="34" t="s">
        <v>272</v>
      </c>
      <c r="H34" s="34" t="n">
        <f aca="false">H29</f>
        <v>36</v>
      </c>
      <c r="I34" s="34" t="n">
        <v>43957.29</v>
      </c>
      <c r="J34" s="34" t="n">
        <v>841.24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35" t="s">
        <v>236</v>
      </c>
      <c r="B35" s="36" t="s">
        <v>237</v>
      </c>
      <c r="C35" s="36"/>
      <c r="D35" s="36" t="s">
        <v>238</v>
      </c>
      <c r="E35" s="37"/>
      <c r="F35" s="34"/>
      <c r="G35" s="59" t="s">
        <v>239</v>
      </c>
      <c r="H35" s="60" t="n">
        <v>0.065</v>
      </c>
      <c r="I35" s="34" t="n">
        <v>46215.83</v>
      </c>
      <c r="J35" s="34" t="n">
        <v>909.69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178" t="n">
        <f aca="false">H47</f>
        <v>922.920864561026</v>
      </c>
      <c r="B36" s="23" t="n">
        <f aca="false">IF(B26="YES", H42, "")</f>
        <v>28.6111111111111</v>
      </c>
      <c r="C36" s="42"/>
      <c r="D36" s="70" t="n">
        <f aca="false">I31</f>
        <v>27500</v>
      </c>
      <c r="E36" s="37"/>
      <c r="F36" s="34"/>
      <c r="G36" s="34"/>
      <c r="H36" s="34"/>
      <c r="I36" s="34" t="n">
        <f aca="false">I35-I34</f>
        <v>2258.54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22"/>
      <c r="B37" s="23"/>
      <c r="C37" s="42"/>
      <c r="D37" s="23"/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35"/>
      <c r="B38" s="36"/>
      <c r="C38" s="36"/>
      <c r="D38" s="36"/>
      <c r="E38" s="37"/>
      <c r="F38" s="34"/>
      <c r="G38" s="74" t="s">
        <v>64</v>
      </c>
      <c r="H38" s="7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35" t="s">
        <v>241</v>
      </c>
      <c r="B39" s="36" t="s">
        <v>242</v>
      </c>
      <c r="C39" s="36"/>
      <c r="D39" s="36" t="s">
        <v>243</v>
      </c>
      <c r="E39" s="37"/>
      <c r="F39" s="34"/>
      <c r="G39" s="34" t="s">
        <v>30</v>
      </c>
      <c r="H39" s="67" t="n">
        <f aca="false">H33</f>
        <v>48877.5</v>
      </c>
      <c r="I39" s="67" t="n">
        <f aca="false">(I48*H46)+H44</f>
        <v>63509.8854689439</v>
      </c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124" t="n">
        <f aca="false">D36*A45/100</f>
        <v>27500</v>
      </c>
      <c r="B40" s="124" t="n">
        <f aca="false">IF(B26="YES",H42,"0")</f>
        <v>28.6111111111111</v>
      </c>
      <c r="C40" s="124"/>
      <c r="D40" s="70" t="n">
        <f aca="false">I32</f>
        <v>1030</v>
      </c>
      <c r="E40" s="37"/>
      <c r="F40" s="34"/>
      <c r="G40" s="34" t="s">
        <v>98</v>
      </c>
      <c r="H40" s="67" t="n">
        <f aca="false">(A40)/1.2</f>
        <v>22916.6666666667</v>
      </c>
      <c r="I40" s="67" t="n">
        <f aca="false">H39-I39</f>
        <v>-14632.3854689439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35"/>
      <c r="B41" s="36"/>
      <c r="C41" s="36"/>
      <c r="D41" s="36"/>
      <c r="E41" s="37"/>
      <c r="F41" s="34"/>
      <c r="G41" s="34" t="s">
        <v>244</v>
      </c>
      <c r="H41" s="72" t="n">
        <f aca="false">H35/12</f>
        <v>0.00541666666666667</v>
      </c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35"/>
      <c r="B42" s="36"/>
      <c r="C42" s="36"/>
      <c r="D42" s="36"/>
      <c r="E42" s="37"/>
      <c r="F42" s="34"/>
      <c r="G42" s="34" t="s">
        <v>245</v>
      </c>
      <c r="H42" s="67" t="n">
        <f aca="false">(I32/H34)*(C45/100)</f>
        <v>28.6111111111111</v>
      </c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221"/>
      <c r="B43" s="222"/>
      <c r="C43" s="222"/>
      <c r="D43" s="222"/>
      <c r="E43" s="223"/>
      <c r="F43" s="34"/>
      <c r="G43" s="34" t="s">
        <v>246</v>
      </c>
      <c r="H43" s="34"/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295" t="s">
        <v>247</v>
      </c>
      <c r="B44" s="36"/>
      <c r="C44" s="296" t="s">
        <v>248</v>
      </c>
      <c r="D44" s="296"/>
      <c r="E44" s="37"/>
      <c r="F44" s="34"/>
      <c r="G44" s="34" t="s">
        <v>273</v>
      </c>
      <c r="H44" s="67" t="n">
        <f aca="false">(H40/(1+H41)^(H34+1))</f>
        <v>18764.9097705681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297" t="s">
        <v>250</v>
      </c>
      <c r="B45" s="36"/>
      <c r="C45" s="298" t="s">
        <v>250</v>
      </c>
      <c r="D45" s="298"/>
      <c r="E45" s="37"/>
      <c r="F45" s="34"/>
      <c r="G45" s="34" t="s">
        <v>274</v>
      </c>
      <c r="H45" s="67" t="n">
        <f aca="false">(H39-H44)</f>
        <v>30112.5902294319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8"/>
      <c r="B46" s="219"/>
      <c r="C46" s="219"/>
      <c r="D46" s="219"/>
      <c r="E46" s="220"/>
      <c r="F46" s="34"/>
      <c r="G46" s="34" t="s">
        <v>275</v>
      </c>
      <c r="H46" s="67" t="n">
        <f aca="false">((1-(1/((1+H41)^H34)))/H41)</f>
        <v>32.627488862498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35"/>
      <c r="B47" s="36"/>
      <c r="C47" s="36"/>
      <c r="D47" s="36"/>
      <c r="E47" s="37"/>
      <c r="F47" s="34"/>
      <c r="G47" s="34" t="s">
        <v>253</v>
      </c>
      <c r="H47" s="67" t="n">
        <f aca="false">H45/H46</f>
        <v>922.920864561026</v>
      </c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254</v>
      </c>
      <c r="B48" s="36"/>
      <c r="C48" s="36"/>
      <c r="D48" s="215"/>
      <c r="E48" s="216"/>
      <c r="F48" s="34"/>
      <c r="G48" s="299" t="s">
        <v>255</v>
      </c>
      <c r="H48" s="67" t="n">
        <f aca="false">IF(B26="YES", H47+H42, H47)</f>
        <v>951.531975672137</v>
      </c>
      <c r="I48" s="67" t="n">
        <f aca="false">I49-H42</f>
        <v>1371.38888888889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 t="s">
        <v>256</v>
      </c>
      <c r="H49" s="217"/>
      <c r="I49" s="67" t="n">
        <v>1400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10000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36</v>
      </c>
      <c r="B52" s="85" t="n">
        <f aca="false">H48</f>
        <v>951.531975672137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6"/>
      <c r="N55" s="36"/>
      <c r="O55" s="36"/>
      <c r="P55" s="36"/>
      <c r="Q55" s="36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221"/>
      <c r="N56" s="222"/>
      <c r="O56" s="222"/>
      <c r="P56" s="222"/>
      <c r="Q56" s="223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IF(B99=Y97,1,IF(B99=Y98,1,IF(B99=Y99,3,IF(B99=Y100,6,IF(B99=Y101,9,IF(B99=Y102,12,IF(B99=Y103,3,IF(B99=Y104,6,IF(B99=Y105,9,0)))))))))</f>
        <v>9</v>
      </c>
      <c r="C57" s="36"/>
      <c r="D57" s="36"/>
      <c r="E57" s="37"/>
      <c r="F57" s="34"/>
      <c r="G57" s="35" t="s">
        <v>30</v>
      </c>
      <c r="H57" s="36" t="n">
        <f aca="false">IF(H99=Y97,1,IF(H99=Y98,1,IF(H99=Y99,3,IF(H99=Y100,6,IF(H99=Y101,9,IF(H99=Y102,12,IF(H99=Y103,3,IF(H99=Y104,6,IF(H99=Y105,9,0)))))))))</f>
        <v>6</v>
      </c>
      <c r="I57" s="36"/>
      <c r="J57" s="36"/>
      <c r="K57" s="37"/>
      <c r="L57" s="34"/>
      <c r="M57" s="35" t="s">
        <v>30</v>
      </c>
      <c r="N57" s="36" t="n">
        <f aca="false">IF(N99=Y97,1,IF(N99=Y98,1,IF(N99=Y99,3,IF(N99=Y100,6,IF(N99=Y101,9,IF(N99=Y102,12,IF(N99=Y103,3,IF(N99=Y104,6,IF(N99=Y105,9,0)))))))))</f>
        <v>6</v>
      </c>
      <c r="O57" s="36"/>
      <c r="P57" s="36"/>
      <c r="Q57" s="37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IF(B99=Y97,H29-B57,IF(B99=Y98,H29-B57,IF(B99=Y99,H29-1,IF(B99=Y100,H29-1,IF(B99=Y101,H29-1,IF(B99=Y102,H29-1,IF(B99=Y103,H29-B57,IF(B99=Y104,H29-B57,IF(B99=Y105,H29-B57,0)))))))))</f>
        <v>27</v>
      </c>
      <c r="C58" s="36"/>
      <c r="D58" s="36"/>
      <c r="E58" s="37"/>
      <c r="F58" s="34"/>
      <c r="G58" s="35" t="s">
        <v>34</v>
      </c>
      <c r="H58" s="36" t="n">
        <f aca="false">IF(H99=Y97,H29-H57,IF(H99=Y98,H29-H57,IF(H99=Y99,H29-1,IF(H99=Y100,H29-1,IF(H99=Y101,H29-1,IF(H99=Y102,H29-1,IF(H99=Y103,H29-H57,IF(H99=Y104,H29-H57,IF(H99=Y105,H29-H57,0)))))))))</f>
        <v>35</v>
      </c>
      <c r="I58" s="36"/>
      <c r="J58" s="36"/>
      <c r="K58" s="37"/>
      <c r="L58" s="34"/>
      <c r="M58" s="35" t="s">
        <v>34</v>
      </c>
      <c r="N58" s="36" t="n">
        <f aca="false">IF(N99=Y97,H29-N57,IF(N99=Y98,H29-N57,IF(N99=Y99,H29-1,IF(N99=Y100,H29-1,IF(N99=Y101,H29-1,IF(N99=Y102,H29-1,IF(N99=Y103,H29-N57,IF(N99=Y104,H29-N57,IF(N99=Y105,H29-N57,0)))))))))</f>
        <v>35</v>
      </c>
      <c r="O58" s="36"/>
      <c r="P58" s="36"/>
      <c r="Q58" s="37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5"/>
      <c r="N59" s="36"/>
      <c r="O59" s="36"/>
      <c r="P59" s="36"/>
      <c r="Q59" s="37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5"/>
      <c r="N60" s="36"/>
      <c r="O60" s="36"/>
      <c r="P60" s="36"/>
      <c r="Q60" s="37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5" t="s">
        <v>21</v>
      </c>
      <c r="N61" s="199" t="n">
        <f aca="false">G18</f>
        <v>57885</v>
      </c>
      <c r="O61" s="36"/>
      <c r="P61" s="36"/>
      <c r="Q61" s="37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180</v>
      </c>
      <c r="B62" s="225" t="n">
        <v>0.07</v>
      </c>
      <c r="C62" s="36"/>
      <c r="D62" s="36"/>
      <c r="E62" s="37"/>
      <c r="F62" s="34"/>
      <c r="G62" s="224" t="s">
        <v>180</v>
      </c>
      <c r="H62" s="225" t="n">
        <v>0.07</v>
      </c>
      <c r="I62" s="36"/>
      <c r="J62" s="36"/>
      <c r="K62" s="37"/>
      <c r="L62" s="34"/>
      <c r="M62" s="224" t="s">
        <v>180</v>
      </c>
      <c r="N62" s="225" t="n">
        <v>0.07</v>
      </c>
      <c r="O62" s="36"/>
      <c r="P62" s="36"/>
      <c r="Q62" s="37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181</v>
      </c>
      <c r="B63" s="197" t="n">
        <f aca="false">B62+(B62*0.25*(H29/12-1))</f>
        <v>0.105</v>
      </c>
      <c r="C63" s="36"/>
      <c r="D63" s="36"/>
      <c r="E63" s="37"/>
      <c r="F63" s="34"/>
      <c r="G63" s="35" t="s">
        <v>181</v>
      </c>
      <c r="H63" s="197" t="n">
        <f aca="false">H62+(H62*0.25*(H29/12-1))</f>
        <v>0.105</v>
      </c>
      <c r="I63" s="36"/>
      <c r="J63" s="36"/>
      <c r="K63" s="37"/>
      <c r="L63" s="34"/>
      <c r="M63" s="35" t="s">
        <v>181</v>
      </c>
      <c r="N63" s="197" t="n">
        <f aca="false">N62+(N62*0.25*(H29/12-1))</f>
        <v>0.105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6077.925</v>
      </c>
      <c r="C64" s="36"/>
      <c r="D64" s="199" t="n">
        <f aca="false">B64-A145</f>
        <v>6077.925</v>
      </c>
      <c r="E64" s="37"/>
      <c r="F64" s="34"/>
      <c r="G64" s="218" t="s">
        <v>82</v>
      </c>
      <c r="H64" s="144" t="n">
        <f aca="false">H61*H63</f>
        <v>6077.925</v>
      </c>
      <c r="I64" s="36"/>
      <c r="J64" s="199" t="n">
        <f aca="false">H64-G145</f>
        <v>6077.925</v>
      </c>
      <c r="K64" s="37"/>
      <c r="L64" s="34"/>
      <c r="M64" s="218" t="s">
        <v>82</v>
      </c>
      <c r="N64" s="144" t="n">
        <f aca="false">N61*N63</f>
        <v>6077.925</v>
      </c>
      <c r="O64" s="36"/>
      <c r="P64" s="199" t="n">
        <f aca="false">N64-M145</f>
        <v>6077.925</v>
      </c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0.01</v>
      </c>
      <c r="I65" s="36"/>
      <c r="J65" s="36"/>
      <c r="K65" s="37"/>
      <c r="L65" s="34"/>
      <c r="M65" s="224" t="s">
        <v>83</v>
      </c>
      <c r="N65" s="225" t="n">
        <v>0.01</v>
      </c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0.02</v>
      </c>
      <c r="C66" s="36"/>
      <c r="D66" s="36"/>
      <c r="E66" s="37"/>
      <c r="F66" s="34"/>
      <c r="G66" s="35" t="s">
        <v>84</v>
      </c>
      <c r="H66" s="197" t="n">
        <f aca="false">H65+(H65*0.5*(H29/12-1))</f>
        <v>0.02</v>
      </c>
      <c r="I66" s="36"/>
      <c r="J66" s="36"/>
      <c r="K66" s="37"/>
      <c r="L66" s="34"/>
      <c r="M66" s="35" t="s">
        <v>84</v>
      </c>
      <c r="N66" s="197" t="n">
        <f aca="false">N65+(N65*0.5*(H29/12-1))</f>
        <v>0.02</v>
      </c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(B61*B66)/1.2</f>
        <v>964.75</v>
      </c>
      <c r="C67" s="36"/>
      <c r="D67" s="199"/>
      <c r="E67" s="37"/>
      <c r="F67" s="34"/>
      <c r="G67" s="218" t="s">
        <v>85</v>
      </c>
      <c r="H67" s="144" t="n">
        <f aca="false">(H61*H66)/1.2</f>
        <v>964.75</v>
      </c>
      <c r="I67" s="36"/>
      <c r="J67" s="199"/>
      <c r="K67" s="37"/>
      <c r="L67" s="34"/>
      <c r="M67" s="218" t="s">
        <v>85</v>
      </c>
      <c r="N67" s="144" t="n">
        <f aca="false">(N61*N66)/1.2</f>
        <v>964.75</v>
      </c>
      <c r="O67" s="36"/>
      <c r="P67" s="199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224" t="s">
        <v>86</v>
      </c>
      <c r="N68" s="225" t="n">
        <v>0.0075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191" t="s">
        <v>87</v>
      </c>
      <c r="N69" s="226" t="n">
        <v>0.12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300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218" t="s">
        <v>88</v>
      </c>
      <c r="N70" s="300" t="n">
        <f aca="false">N68*(1+N69)</f>
        <v>0.0084</v>
      </c>
      <c r="O70" s="36"/>
      <c r="P70" s="36"/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224" t="s">
        <v>89</v>
      </c>
      <c r="N71" s="228" t="n">
        <v>160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191" t="s">
        <v>90</v>
      </c>
      <c r="N72" s="229" t="n">
        <v>4.5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180</v>
      </c>
      <c r="C73" s="36"/>
      <c r="D73" s="199" t="n">
        <f aca="false">B73+B71</f>
        <v>380</v>
      </c>
      <c r="E73" s="37"/>
      <c r="F73" s="34"/>
      <c r="G73" s="218" t="s">
        <v>91</v>
      </c>
      <c r="H73" s="144" t="n">
        <f aca="false">H72*H29</f>
        <v>162</v>
      </c>
      <c r="I73" s="36"/>
      <c r="J73" s="199" t="n">
        <f aca="false">H73+H71</f>
        <v>322</v>
      </c>
      <c r="K73" s="37"/>
      <c r="L73" s="34"/>
      <c r="M73" s="218" t="s">
        <v>91</v>
      </c>
      <c r="N73" s="144" t="n">
        <f aca="false">N72*H29</f>
        <v>162</v>
      </c>
      <c r="O73" s="36"/>
      <c r="P73" s="199" t="n">
        <f aca="false">N73+N71</f>
        <v>322</v>
      </c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31" t="s">
        <v>182</v>
      </c>
      <c r="B74" s="232" t="n">
        <v>0</v>
      </c>
      <c r="C74" s="36"/>
      <c r="D74" s="36"/>
      <c r="E74" s="37"/>
      <c r="F74" s="34"/>
      <c r="G74" s="224" t="s">
        <v>182</v>
      </c>
      <c r="H74" s="228" t="n">
        <v>165</v>
      </c>
      <c r="I74" s="36"/>
      <c r="J74" s="36"/>
      <c r="K74" s="37"/>
      <c r="L74" s="34"/>
      <c r="M74" s="231" t="s">
        <v>182</v>
      </c>
      <c r="N74" s="232" t="n">
        <v>0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233" t="s">
        <v>183</v>
      </c>
      <c r="B75" s="234" t="n">
        <v>0</v>
      </c>
      <c r="C75" s="36"/>
      <c r="D75" s="36"/>
      <c r="E75" s="37"/>
      <c r="F75" s="34"/>
      <c r="G75" s="191" t="s">
        <v>183</v>
      </c>
      <c r="H75" s="229" t="n">
        <v>0</v>
      </c>
      <c r="I75" s="36"/>
      <c r="J75" s="36"/>
      <c r="K75" s="37"/>
      <c r="L75" s="34"/>
      <c r="M75" s="233" t="s">
        <v>183</v>
      </c>
      <c r="N75" s="234" t="n">
        <v>0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35" t="s">
        <v>184</v>
      </c>
      <c r="B76" s="236" t="n">
        <f aca="false">((B74+B75)/12)*(H29-11)</f>
        <v>0</v>
      </c>
      <c r="C76" s="36"/>
      <c r="D76" s="199" t="n">
        <f aca="false">B76</f>
        <v>0</v>
      </c>
      <c r="E76" s="37"/>
      <c r="F76" s="34"/>
      <c r="G76" s="218" t="s">
        <v>184</v>
      </c>
      <c r="H76" s="144" t="n">
        <f aca="false">((H74+H75)/12)*(H29-11)</f>
        <v>343.75</v>
      </c>
      <c r="I76" s="36"/>
      <c r="J76" s="199" t="n">
        <f aca="false">H76</f>
        <v>343.75</v>
      </c>
      <c r="K76" s="37"/>
      <c r="L76" s="34"/>
      <c r="M76" s="235" t="s">
        <v>184</v>
      </c>
      <c r="N76" s="236" t="n">
        <f aca="false">((N74+N75)/12)*(H29-11)</f>
        <v>0</v>
      </c>
      <c r="O76" s="36"/>
      <c r="P76" s="199" t="n">
        <f aca="false">N76</f>
        <v>0</v>
      </c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185</v>
      </c>
      <c r="B77" s="142" t="n">
        <f aca="false">B102*1.1</f>
        <v>0</v>
      </c>
      <c r="C77" s="36"/>
      <c r="D77" s="199" t="n">
        <f aca="false">B77</f>
        <v>0</v>
      </c>
      <c r="E77" s="37"/>
      <c r="F77" s="34"/>
      <c r="G77" s="224" t="s">
        <v>185</v>
      </c>
      <c r="H77" s="228" t="n">
        <v>0</v>
      </c>
      <c r="I77" s="36"/>
      <c r="J77" s="199" t="n">
        <f aca="false">H77</f>
        <v>0</v>
      </c>
      <c r="K77" s="37"/>
      <c r="L77" s="34"/>
      <c r="M77" s="224" t="s">
        <v>185</v>
      </c>
      <c r="N77" s="228" t="n">
        <v>0</v>
      </c>
      <c r="O77" s="36"/>
      <c r="P77" s="199" t="n">
        <f aca="false">N77</f>
        <v>0</v>
      </c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187</v>
      </c>
      <c r="B78" s="198" t="n">
        <v>0</v>
      </c>
      <c r="C78" s="36"/>
      <c r="D78" s="199" t="n">
        <f aca="false">B78</f>
        <v>0</v>
      </c>
      <c r="E78" s="37"/>
      <c r="F78" s="34"/>
      <c r="G78" s="35" t="s">
        <v>187</v>
      </c>
      <c r="H78" s="198" t="n">
        <v>0</v>
      </c>
      <c r="I78" s="36"/>
      <c r="J78" s="199" t="n">
        <f aca="false">H78</f>
        <v>0</v>
      </c>
      <c r="K78" s="37"/>
      <c r="L78" s="34"/>
      <c r="M78" s="35" t="s">
        <v>187</v>
      </c>
      <c r="N78" s="198" t="n">
        <v>0</v>
      </c>
      <c r="O78" s="36"/>
      <c r="P78" s="199" t="n">
        <f aca="false">N78</f>
        <v>0</v>
      </c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7"/>
      <c r="F79" s="34"/>
      <c r="G79" s="191" t="s">
        <v>92</v>
      </c>
      <c r="H79" s="229" t="n">
        <v>200</v>
      </c>
      <c r="I79" s="36"/>
      <c r="J79" s="199" t="n">
        <f aca="false">H79</f>
        <v>200</v>
      </c>
      <c r="K79" s="37"/>
      <c r="L79" s="34"/>
      <c r="M79" s="191" t="s">
        <v>92</v>
      </c>
      <c r="N79" s="229" t="n">
        <v>200</v>
      </c>
      <c r="O79" s="36"/>
      <c r="P79" s="199" t="n">
        <f aca="false">N79</f>
        <v>200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7"/>
      <c r="F80" s="34"/>
      <c r="G80" s="237" t="s">
        <v>93</v>
      </c>
      <c r="H80" s="238" t="n">
        <v>200</v>
      </c>
      <c r="I80" s="36"/>
      <c r="J80" s="199" t="n">
        <f aca="false">H80</f>
        <v>200</v>
      </c>
      <c r="K80" s="37"/>
      <c r="L80" s="34"/>
      <c r="M80" s="237" t="s">
        <v>93</v>
      </c>
      <c r="N80" s="238" t="n">
        <v>200</v>
      </c>
      <c r="O80" s="36"/>
      <c r="P80" s="199" t="n">
        <f aca="false">N80</f>
        <v>200</v>
      </c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6857.925</v>
      </c>
      <c r="C81" s="36"/>
      <c r="D81" s="36"/>
      <c r="E81" s="37"/>
      <c r="F81" s="34"/>
      <c r="G81" s="239" t="s">
        <v>94</v>
      </c>
      <c r="H81" s="240" t="n">
        <f aca="false">SUM(J64:J80)</f>
        <v>7143.675</v>
      </c>
      <c r="I81" s="36"/>
      <c r="J81" s="36"/>
      <c r="K81" s="37"/>
      <c r="L81" s="34"/>
      <c r="M81" s="239" t="s">
        <v>94</v>
      </c>
      <c r="N81" s="240" t="n">
        <f aca="false">SUM(P64:P80)</f>
        <v>6799.925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190.497916666667</v>
      </c>
      <c r="C82" s="36"/>
      <c r="D82" s="36"/>
      <c r="E82" s="37"/>
      <c r="F82" s="34"/>
      <c r="G82" s="35" t="s">
        <v>95</v>
      </c>
      <c r="H82" s="198" t="n">
        <f aca="false">H81/H29</f>
        <v>198.435416666667</v>
      </c>
      <c r="I82" s="36"/>
      <c r="J82" s="36"/>
      <c r="K82" s="37"/>
      <c r="L82" s="34"/>
      <c r="M82" s="35" t="s">
        <v>95</v>
      </c>
      <c r="N82" s="198" t="n">
        <f aca="false">N81/H29</f>
        <v>188.886805555556</v>
      </c>
      <c r="O82" s="36"/>
      <c r="P82" s="36"/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H47</f>
        <v>922.920864561026</v>
      </c>
      <c r="C83" s="36"/>
      <c r="D83" s="36"/>
      <c r="E83" s="37"/>
      <c r="F83" s="34"/>
      <c r="G83" s="241" t="s">
        <v>96</v>
      </c>
      <c r="H83" s="242" t="n">
        <f aca="false">H47</f>
        <v>922.920864561026</v>
      </c>
      <c r="I83" s="36"/>
      <c r="J83" s="36"/>
      <c r="K83" s="37"/>
      <c r="L83" s="34"/>
      <c r="M83" s="241" t="s">
        <v>96</v>
      </c>
      <c r="N83" s="242" t="n">
        <f aca="false">H47</f>
        <v>922.920864561026</v>
      </c>
      <c r="O83" s="36"/>
      <c r="P83" s="36"/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7"/>
      <c r="F84" s="34"/>
      <c r="G84" s="35"/>
      <c r="H84" s="199"/>
      <c r="I84" s="36"/>
      <c r="J84" s="36"/>
      <c r="K84" s="37"/>
      <c r="L84" s="34"/>
      <c r="M84" s="35"/>
      <c r="N84" s="199"/>
      <c r="O84" s="36"/>
      <c r="P84" s="36"/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((B83*H29)+B81)</f>
        <v>40083.0761241969</v>
      </c>
      <c r="C85" s="36"/>
      <c r="D85" s="36"/>
      <c r="E85" s="37"/>
      <c r="F85" s="34"/>
      <c r="G85" s="221" t="s">
        <v>106</v>
      </c>
      <c r="H85" s="142" t="n">
        <f aca="false">((H83*H29)+H81)*1.2</f>
        <v>48442.5913490363</v>
      </c>
      <c r="I85" s="36"/>
      <c r="J85" s="36"/>
      <c r="K85" s="37"/>
      <c r="L85" s="34"/>
      <c r="M85" s="221" t="s">
        <v>106</v>
      </c>
      <c r="N85" s="142" t="n">
        <f aca="false">((N83*H29)+N81)</f>
        <v>40025.0761241969</v>
      </c>
      <c r="O85" s="36"/>
      <c r="P85" s="36"/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(B85/(1-B70))*B70</f>
        <v>339.550059946807</v>
      </c>
      <c r="C86" s="36"/>
      <c r="D86" s="36"/>
      <c r="E86" s="37"/>
      <c r="F86" s="34"/>
      <c r="G86" s="35" t="s">
        <v>107</v>
      </c>
      <c r="H86" s="198" t="n">
        <f aca="false">((((H83*H29)+H81))/(1-H70))*H70</f>
        <v>341.970693266694</v>
      </c>
      <c r="I86" s="36"/>
      <c r="J86" s="36"/>
      <c r="K86" s="37"/>
      <c r="L86" s="34"/>
      <c r="M86" s="35" t="s">
        <v>107</v>
      </c>
      <c r="N86" s="198" t="n">
        <f aca="false">(N85/(1-N70))*N70</f>
        <v>339.058732798764</v>
      </c>
      <c r="O86" s="36"/>
      <c r="P86" s="36"/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IF(B110="YES",((B85+B86)-E114),(B85+B86))</f>
        <v>40422.6261841437</v>
      </c>
      <c r="C87" s="36"/>
      <c r="D87" s="36"/>
      <c r="E87" s="37"/>
      <c r="F87" s="34"/>
      <c r="G87" s="218" t="s">
        <v>108</v>
      </c>
      <c r="H87" s="144" t="n">
        <f aca="false">IF(H110="YES",((H85+H86)-K114),(H85+H86))</f>
        <v>48784.562042303</v>
      </c>
      <c r="I87" s="36"/>
      <c r="J87" s="36"/>
      <c r="K87" s="37"/>
      <c r="L87" s="34"/>
      <c r="M87" s="218" t="s">
        <v>108</v>
      </c>
      <c r="N87" s="144" t="n">
        <f aca="false">IF(N110="YES",((N85+N86)-Q114),(N85+N86))</f>
        <v>40364.1348569957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5"/>
      <c r="N88" s="199"/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40" t="n">
        <f aca="false">IF(B99=Y98, (D40+(D40*B105))/(B58), (D40+(D40*B105))/(B57+B58))</f>
        <v>34.3333333333333</v>
      </c>
      <c r="C89" s="36"/>
      <c r="D89" s="36"/>
      <c r="E89" s="37"/>
      <c r="F89" s="34"/>
      <c r="G89" s="239" t="s">
        <v>109</v>
      </c>
      <c r="H89" s="240" t="n">
        <f aca="false">IF(H99=Y98, (D40+(D40*H105))/(H58), (D40+(D40*H105))/(H57+H58))*1.2</f>
        <v>36.1756097560976</v>
      </c>
      <c r="I89" s="36"/>
      <c r="J89" s="36"/>
      <c r="K89" s="37"/>
      <c r="L89" s="34"/>
      <c r="M89" s="239" t="s">
        <v>109</v>
      </c>
      <c r="N89" s="240" t="n">
        <f aca="false">IF(N99=Y98, (D40+(D40*N105))/(N58), (D40+(D40*N105))/(N57+N58))</f>
        <v>30.1463414634146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IF(B99=Y98, (B87-D105)/(B58), B87/(B57+B58))</f>
        <v>1122.85072733733</v>
      </c>
      <c r="C90" s="36"/>
      <c r="D90" s="36"/>
      <c r="E90" s="37"/>
      <c r="F90" s="34"/>
      <c r="G90" s="244" t="s">
        <v>110</v>
      </c>
      <c r="H90" s="245" t="n">
        <f aca="false">IF(H99=Y98, (H87-J105)/(H58), H87/(H57+H58))</f>
        <v>1189.86736688544</v>
      </c>
      <c r="I90" s="36"/>
      <c r="J90" s="36"/>
      <c r="K90" s="37"/>
      <c r="L90" s="34"/>
      <c r="M90" s="244" t="s">
        <v>110</v>
      </c>
      <c r="N90" s="245" t="n">
        <f aca="false">IF(N99=Y98, (N87-P105)/(N58), N87/(N57+N58))</f>
        <v>984.491094073066</v>
      </c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1157.18406067066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1226.04297664154</v>
      </c>
      <c r="I91" s="36"/>
      <c r="J91" s="36"/>
      <c r="K91" s="37"/>
      <c r="L91" s="34"/>
      <c r="M91" s="246" t="s">
        <v>62</v>
      </c>
      <c r="N91" s="247" t="n">
        <f aca="false">IF(M105="YES", N90+N89, N90)</f>
        <v>1014.63743553648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218"/>
      <c r="N92" s="219"/>
      <c r="O92" s="219"/>
      <c r="P92" s="219"/>
      <c r="Q92" s="220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6"/>
      <c r="N93" s="36"/>
      <c r="O93" s="36"/>
      <c r="P93" s="36"/>
      <c r="Q93" s="36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56.25" hidden="false" customHeight="true" outlineLevel="0" collapsed="false">
      <c r="A94" s="33" t="s">
        <v>188</v>
      </c>
      <c r="B94" s="33"/>
      <c r="C94" s="33"/>
      <c r="D94" s="33"/>
      <c r="E94" s="33"/>
      <c r="F94" s="34"/>
      <c r="G94" s="33" t="s">
        <v>189</v>
      </c>
      <c r="H94" s="33"/>
      <c r="I94" s="33"/>
      <c r="J94" s="33"/>
      <c r="K94" s="33"/>
      <c r="L94" s="34"/>
      <c r="M94" s="33" t="s">
        <v>188</v>
      </c>
      <c r="N94" s="33"/>
      <c r="O94" s="33"/>
      <c r="P94" s="33"/>
      <c r="Q94" s="33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5"/>
      <c r="N95" s="36"/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8" t="s">
        <v>112</v>
      </c>
      <c r="N96" s="38"/>
      <c r="O96" s="38"/>
      <c r="P96" s="38"/>
      <c r="Q96" s="38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5"/>
      <c r="N97" s="36"/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 t="s">
        <v>42</v>
      </c>
      <c r="Z97" s="34"/>
      <c r="AC97" s="301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190</v>
      </c>
      <c r="E98" s="37"/>
      <c r="F98" s="34"/>
      <c r="G98" s="35" t="s">
        <v>113</v>
      </c>
      <c r="H98" s="36" t="s">
        <v>38</v>
      </c>
      <c r="I98" s="36"/>
      <c r="J98" s="36" t="s">
        <v>190</v>
      </c>
      <c r="K98" s="37"/>
      <c r="L98" s="34"/>
      <c r="M98" s="35" t="s">
        <v>113</v>
      </c>
      <c r="N98" s="36" t="s">
        <v>38</v>
      </c>
      <c r="O98" s="36"/>
      <c r="P98" s="36" t="s">
        <v>190</v>
      </c>
      <c r="Q98" s="37"/>
      <c r="R98" s="34"/>
      <c r="S98" s="34"/>
      <c r="T98" s="34"/>
      <c r="U98" s="34"/>
      <c r="V98" s="34"/>
      <c r="W98" s="34"/>
      <c r="X98" s="34"/>
      <c r="Y98" s="34" t="s">
        <v>115</v>
      </c>
      <c r="Z98" s="34"/>
    </row>
    <row r="99" customFormat="false" ht="18.75" hidden="false" customHeight="true" outlineLevel="0" collapsed="false">
      <c r="A99" s="41" t="s">
        <v>192</v>
      </c>
      <c r="B99" s="249" t="s">
        <v>191</v>
      </c>
      <c r="C99" s="249"/>
      <c r="D99" s="124" t="n">
        <v>1000</v>
      </c>
      <c r="E99" s="124"/>
      <c r="F99" s="34"/>
      <c r="G99" s="41" t="s">
        <v>192</v>
      </c>
      <c r="H99" s="249" t="s">
        <v>118</v>
      </c>
      <c r="I99" s="249"/>
      <c r="J99" s="124" t="n">
        <v>0</v>
      </c>
      <c r="K99" s="124"/>
      <c r="L99" s="34"/>
      <c r="M99" s="41" t="s">
        <v>192</v>
      </c>
      <c r="N99" s="249" t="s">
        <v>118</v>
      </c>
      <c r="O99" s="249"/>
      <c r="P99" s="124" t="n">
        <v>0</v>
      </c>
      <c r="Q99" s="124"/>
      <c r="R99" s="34"/>
      <c r="S99" s="34"/>
      <c r="T99" s="34"/>
      <c r="U99" s="34"/>
      <c r="V99" s="34"/>
      <c r="W99" s="34"/>
      <c r="X99" s="34"/>
      <c r="Y99" s="34" t="s">
        <v>117</v>
      </c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5"/>
      <c r="N100" s="36"/>
      <c r="O100" s="36"/>
      <c r="P100" s="36"/>
      <c r="Q100" s="37"/>
      <c r="R100" s="34"/>
      <c r="S100" s="34"/>
      <c r="T100" s="34"/>
      <c r="U100" s="34"/>
      <c r="V100" s="34"/>
      <c r="W100" s="34"/>
      <c r="X100" s="34"/>
      <c r="Y100" s="34" t="s">
        <v>118</v>
      </c>
      <c r="Z100" s="34"/>
    </row>
    <row r="101" customFormat="false" ht="18.75" hidden="false" customHeight="true" outlineLevel="0" collapsed="false">
      <c r="A101" s="35" t="s">
        <v>193</v>
      </c>
      <c r="B101" s="36" t="s">
        <v>194</v>
      </c>
      <c r="C101" s="36"/>
      <c r="D101" s="36" t="s">
        <v>195</v>
      </c>
      <c r="E101" s="37"/>
      <c r="F101" s="34"/>
      <c r="G101" s="35" t="s">
        <v>193</v>
      </c>
      <c r="H101" s="36" t="s">
        <v>194</v>
      </c>
      <c r="I101" s="36"/>
      <c r="J101" s="36" t="s">
        <v>195</v>
      </c>
      <c r="K101" s="37"/>
      <c r="L101" s="34"/>
      <c r="M101" s="35" t="s">
        <v>193</v>
      </c>
      <c r="N101" s="36" t="s">
        <v>194</v>
      </c>
      <c r="O101" s="36"/>
      <c r="P101" s="36" t="s">
        <v>195</v>
      </c>
      <c r="Q101" s="37"/>
      <c r="R101" s="34"/>
      <c r="S101" s="34"/>
      <c r="T101" s="34"/>
      <c r="U101" s="34"/>
      <c r="V101" s="34"/>
      <c r="W101" s="34"/>
      <c r="X101" s="34"/>
      <c r="Y101" s="34" t="s">
        <v>122</v>
      </c>
      <c r="Z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v>199.99</v>
      </c>
      <c r="H102" s="124" t="n">
        <v>0</v>
      </c>
      <c r="I102" s="124"/>
      <c r="J102" s="124" t="n">
        <v>0</v>
      </c>
      <c r="K102" s="124"/>
      <c r="L102" s="34"/>
      <c r="M102" s="251" t="n">
        <v>199.99</v>
      </c>
      <c r="N102" s="124" t="n">
        <v>0</v>
      </c>
      <c r="O102" s="124"/>
      <c r="P102" s="124" t="n">
        <v>0</v>
      </c>
      <c r="Q102" s="124"/>
      <c r="R102" s="34"/>
      <c r="S102" s="34"/>
      <c r="T102" s="34"/>
      <c r="U102" s="34"/>
      <c r="V102" s="34"/>
      <c r="W102" s="34"/>
      <c r="X102" s="34"/>
      <c r="Y102" s="34" t="s">
        <v>124</v>
      </c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 t="s">
        <v>126</v>
      </c>
      <c r="Z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41" t="s">
        <v>114</v>
      </c>
      <c r="N104" s="34" t="s">
        <v>119</v>
      </c>
      <c r="O104" s="36"/>
      <c r="P104" s="36" t="s">
        <v>134</v>
      </c>
      <c r="Q104" s="37"/>
      <c r="R104" s="34"/>
      <c r="S104" s="34"/>
      <c r="T104" s="34"/>
      <c r="U104" s="34"/>
      <c r="V104" s="34"/>
      <c r="W104" s="34"/>
      <c r="X104" s="34"/>
      <c r="Y104" s="34" t="s">
        <v>131</v>
      </c>
      <c r="Z104" s="34"/>
    </row>
    <row r="105" customFormat="false" ht="18.75" hidden="false" customHeight="true" outlineLevel="0" collapsed="false">
      <c r="A105" s="43" t="s">
        <v>25</v>
      </c>
      <c r="B105" s="252" t="n">
        <v>0.2</v>
      </c>
      <c r="C105" s="252"/>
      <c r="D105" s="124" t="s">
        <v>196</v>
      </c>
      <c r="E105" s="124"/>
      <c r="F105" s="34"/>
      <c r="G105" s="43" t="s">
        <v>25</v>
      </c>
      <c r="H105" s="252" t="n">
        <v>0.2</v>
      </c>
      <c r="I105" s="252"/>
      <c r="J105" s="124"/>
      <c r="K105" s="124"/>
      <c r="L105" s="34"/>
      <c r="M105" s="43" t="s">
        <v>25</v>
      </c>
      <c r="N105" s="252" t="n">
        <v>0.2</v>
      </c>
      <c r="O105" s="252"/>
      <c r="P105" s="124" t="n">
        <v>0</v>
      </c>
      <c r="Q105" s="124"/>
      <c r="R105" s="34"/>
      <c r="S105" s="34"/>
      <c r="T105" s="34"/>
      <c r="U105" s="34"/>
      <c r="V105" s="34"/>
      <c r="W105" s="34"/>
      <c r="X105" s="34"/>
      <c r="Y105" s="34" t="s">
        <v>132</v>
      </c>
      <c r="Z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8.75" hidden="false" customHeight="true" outlineLevel="0" collapsed="false">
      <c r="A107" s="35"/>
      <c r="B107" s="36" t="s">
        <v>198</v>
      </c>
      <c r="C107" s="43" t="s">
        <v>25</v>
      </c>
      <c r="D107" s="36"/>
      <c r="E107" s="37"/>
      <c r="F107" s="34"/>
      <c r="G107" s="35"/>
      <c r="H107" s="36"/>
      <c r="I107" s="36"/>
      <c r="J107" s="36"/>
      <c r="K107" s="37"/>
      <c r="L107" s="34"/>
      <c r="M107" s="35"/>
      <c r="N107" s="36" t="s">
        <v>198</v>
      </c>
      <c r="O107" s="43" t="s">
        <v>25</v>
      </c>
      <c r="P107" s="36"/>
      <c r="Q107" s="37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8.75" hidden="false" customHeight="true" outlineLevel="0" collapsed="false">
      <c r="A108" s="38" t="s">
        <v>199</v>
      </c>
      <c r="B108" s="38"/>
      <c r="C108" s="38"/>
      <c r="D108" s="38"/>
      <c r="E108" s="38"/>
      <c r="F108" s="34"/>
      <c r="G108" s="38" t="s">
        <v>199</v>
      </c>
      <c r="H108" s="38"/>
      <c r="I108" s="38"/>
      <c r="J108" s="38"/>
      <c r="K108" s="38"/>
      <c r="L108" s="34"/>
      <c r="M108" s="38" t="s">
        <v>199</v>
      </c>
      <c r="N108" s="38"/>
      <c r="O108" s="38"/>
      <c r="P108" s="38"/>
      <c r="Q108" s="38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8.75" hidden="false" customHeight="true" outlineLevel="0" collapsed="false">
      <c r="A110" s="35" t="s">
        <v>200</v>
      </c>
      <c r="B110" s="43" t="s">
        <v>26</v>
      </c>
      <c r="C110" s="36"/>
      <c r="D110" s="36"/>
      <c r="E110" s="37"/>
      <c r="F110" s="34"/>
      <c r="G110" s="35" t="s">
        <v>200</v>
      </c>
      <c r="H110" s="43" t="s">
        <v>26</v>
      </c>
      <c r="I110" s="36"/>
      <c r="J110" s="36"/>
      <c r="K110" s="37"/>
      <c r="L110" s="34"/>
      <c r="M110" s="35" t="s">
        <v>200</v>
      </c>
      <c r="N110" s="43" t="s">
        <v>26</v>
      </c>
      <c r="O110" s="36"/>
      <c r="P110" s="36"/>
      <c r="Q110" s="37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5"/>
      <c r="N111" s="36"/>
      <c r="O111" s="36"/>
      <c r="P111" s="36"/>
      <c r="Q111" s="37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500</v>
      </c>
      <c r="E112" s="124" t="n">
        <v>300</v>
      </c>
      <c r="F112" s="34"/>
      <c r="G112" s="35" t="s">
        <v>148</v>
      </c>
      <c r="H112" s="36"/>
      <c r="I112" s="36"/>
      <c r="J112" s="251" t="n">
        <v>0</v>
      </c>
      <c r="K112" s="124" t="n">
        <v>0</v>
      </c>
      <c r="L112" s="34"/>
      <c r="M112" s="35" t="s">
        <v>148</v>
      </c>
      <c r="N112" s="36"/>
      <c r="O112" s="36"/>
      <c r="P112" s="251" t="n">
        <v>500</v>
      </c>
      <c r="Q112" s="124" t="n">
        <v>300</v>
      </c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100</v>
      </c>
      <c r="E113" s="124" t="n">
        <v>100</v>
      </c>
      <c r="F113" s="34"/>
      <c r="G113" s="35" t="s">
        <v>149</v>
      </c>
      <c r="H113" s="36"/>
      <c r="I113" s="36"/>
      <c r="J113" s="26" t="n">
        <f aca="false">K113</f>
        <v>0</v>
      </c>
      <c r="K113" s="124" t="n">
        <v>0</v>
      </c>
      <c r="L113" s="34"/>
      <c r="M113" s="35" t="s">
        <v>149</v>
      </c>
      <c r="N113" s="36"/>
      <c r="O113" s="36"/>
      <c r="P113" s="26" t="n">
        <f aca="false">Q113</f>
        <v>100</v>
      </c>
      <c r="Q113" s="124" t="n">
        <v>100</v>
      </c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400</v>
      </c>
      <c r="E114" s="164" t="n">
        <f aca="false">E112-E113</f>
        <v>200</v>
      </c>
      <c r="F114" s="34"/>
      <c r="G114" s="35" t="s">
        <v>150</v>
      </c>
      <c r="H114" s="36"/>
      <c r="I114" s="36"/>
      <c r="J114" s="26" t="n">
        <f aca="false">J112-J113</f>
        <v>0</v>
      </c>
      <c r="K114" s="164" t="n">
        <f aca="false">K112-K113</f>
        <v>0</v>
      </c>
      <c r="L114" s="34"/>
      <c r="M114" s="35" t="s">
        <v>150</v>
      </c>
      <c r="N114" s="36"/>
      <c r="O114" s="36"/>
      <c r="P114" s="26" t="n">
        <f aca="false">P112-P113</f>
        <v>400</v>
      </c>
      <c r="Q114" s="164" t="n">
        <f aca="false">Q112-Q113</f>
        <v>200</v>
      </c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200</v>
      </c>
      <c r="E115" s="37"/>
      <c r="F115" s="34"/>
      <c r="G115" s="35" t="s">
        <v>151</v>
      </c>
      <c r="H115" s="36"/>
      <c r="I115" s="36"/>
      <c r="J115" s="26" t="n">
        <f aca="false">J114-K114</f>
        <v>0</v>
      </c>
      <c r="K115" s="37"/>
      <c r="L115" s="34"/>
      <c r="M115" s="35" t="s">
        <v>151</v>
      </c>
      <c r="N115" s="36"/>
      <c r="O115" s="36"/>
      <c r="P115" s="26" t="n">
        <f aca="false">P114-Q114</f>
        <v>200</v>
      </c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5"/>
      <c r="N116" s="36"/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221" t="s">
        <v>129</v>
      </c>
      <c r="N117" s="222"/>
      <c r="O117" s="222"/>
      <c r="P117" s="222"/>
      <c r="Q117" s="142" t="n">
        <f aca="false">P99</f>
        <v>0</v>
      </c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199.99</v>
      </c>
      <c r="L118" s="34"/>
      <c r="M118" s="35" t="s">
        <v>154</v>
      </c>
      <c r="N118" s="36"/>
      <c r="O118" s="36"/>
      <c r="P118" s="36"/>
      <c r="Q118" s="198" t="n">
        <f aca="false">M102</f>
        <v>199.99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201</v>
      </c>
      <c r="B119" s="219"/>
      <c r="C119" s="219"/>
      <c r="D119" s="219"/>
      <c r="E119" s="144" t="n">
        <f aca="false">(E118+E117)-D115</f>
        <v>999.99</v>
      </c>
      <c r="F119" s="34"/>
      <c r="G119" s="253" t="s">
        <v>201</v>
      </c>
      <c r="H119" s="219"/>
      <c r="I119" s="219"/>
      <c r="J119" s="219"/>
      <c r="K119" s="144" t="n">
        <f aca="false">((K118/1.2)+K117)-(J115-K113)</f>
        <v>166.658333333333</v>
      </c>
      <c r="L119" s="34"/>
      <c r="M119" s="253" t="s">
        <v>201</v>
      </c>
      <c r="N119" s="219"/>
      <c r="O119" s="219"/>
      <c r="P119" s="219"/>
      <c r="Q119" s="144" t="n">
        <f aca="false">(Q118+Q117)-P115</f>
        <v>-0.00999999999999091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5"/>
      <c r="N120" s="36"/>
      <c r="O120" s="36"/>
      <c r="P120" s="36"/>
      <c r="Q120" s="37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5"/>
      <c r="N121" s="36"/>
      <c r="O121" s="36"/>
      <c r="P121" s="36"/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202</v>
      </c>
      <c r="B122" s="38"/>
      <c r="C122" s="38"/>
      <c r="D122" s="38"/>
      <c r="E122" s="38"/>
      <c r="F122" s="34"/>
      <c r="G122" s="38" t="s">
        <v>202</v>
      </c>
      <c r="H122" s="38"/>
      <c r="I122" s="38"/>
      <c r="J122" s="38"/>
      <c r="K122" s="38"/>
      <c r="L122" s="34"/>
      <c r="M122" s="38" t="s">
        <v>202</v>
      </c>
      <c r="N122" s="38"/>
      <c r="O122" s="38"/>
      <c r="P122" s="38"/>
      <c r="Q122" s="38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5"/>
      <c r="N123" s="36"/>
      <c r="O123" s="36"/>
      <c r="P123" s="36"/>
      <c r="Q123" s="37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5" t="s">
        <v>156</v>
      </c>
      <c r="N124" s="169" t="n">
        <v>0</v>
      </c>
      <c r="O124" s="169"/>
      <c r="P124" s="36"/>
      <c r="Q124" s="37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5"/>
      <c r="N125" s="36"/>
      <c r="O125" s="36"/>
      <c r="P125" s="36"/>
      <c r="Q125" s="37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254" t="s">
        <v>203</v>
      </c>
      <c r="B126" s="255" t="s">
        <v>61</v>
      </c>
      <c r="C126" s="255"/>
      <c r="D126" s="255" t="s">
        <v>62</v>
      </c>
      <c r="E126" s="37"/>
      <c r="F126" s="34"/>
      <c r="G126" s="254" t="s">
        <v>204</v>
      </c>
      <c r="H126" s="255" t="s">
        <v>205</v>
      </c>
      <c r="I126" s="255"/>
      <c r="J126" s="255" t="s">
        <v>206</v>
      </c>
      <c r="K126" s="37"/>
      <c r="L126" s="34"/>
      <c r="M126" s="254" t="s">
        <v>203</v>
      </c>
      <c r="N126" s="255" t="s">
        <v>61</v>
      </c>
      <c r="O126" s="255"/>
      <c r="P126" s="255" t="s">
        <v>62</v>
      </c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256" t="n">
        <f aca="false">B90</f>
        <v>1122.85072733733</v>
      </c>
      <c r="B127" s="173" t="n">
        <f aca="false">IF(A105="YES", B89*B57, 0)</f>
        <v>309</v>
      </c>
      <c r="C127" s="173"/>
      <c r="D127" s="173" t="n">
        <f aca="false">B91</f>
        <v>1157.18406067066</v>
      </c>
      <c r="E127" s="37"/>
      <c r="F127" s="34"/>
      <c r="G127" s="256" t="n">
        <f aca="false">H90</f>
        <v>1189.86736688544</v>
      </c>
      <c r="H127" s="173" t="n">
        <f aca="false">IF(G105="YES", H89*H57, 0)</f>
        <v>217.053658536585</v>
      </c>
      <c r="I127" s="173"/>
      <c r="J127" s="257" t="n">
        <f aca="false">H91</f>
        <v>1226.04297664154</v>
      </c>
      <c r="K127" s="37"/>
      <c r="L127" s="34"/>
      <c r="M127" s="256" t="n">
        <f aca="false">N90</f>
        <v>984.491094073066</v>
      </c>
      <c r="N127" s="173" t="n">
        <f aca="false">IF(M105="YES", N89*N57, 0)</f>
        <v>180.878048780488</v>
      </c>
      <c r="O127" s="173"/>
      <c r="P127" s="173" t="n">
        <f aca="false">N91</f>
        <v>1014.63743553648</v>
      </c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5"/>
      <c r="N128" s="36"/>
      <c r="O128" s="36"/>
      <c r="P128" s="36"/>
      <c r="Q128" s="37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 t="s">
        <v>76</v>
      </c>
      <c r="B129" s="36" t="s">
        <v>77</v>
      </c>
      <c r="C129" s="36"/>
      <c r="D129" s="36" t="s">
        <v>34</v>
      </c>
      <c r="E129" s="37"/>
      <c r="F129" s="34"/>
      <c r="G129" s="35" t="s">
        <v>76</v>
      </c>
      <c r="H129" s="36" t="s">
        <v>77</v>
      </c>
      <c r="I129" s="36"/>
      <c r="J129" s="36" t="s">
        <v>34</v>
      </c>
      <c r="K129" s="37"/>
      <c r="L129" s="34"/>
      <c r="M129" s="35" t="s">
        <v>76</v>
      </c>
      <c r="N129" s="36" t="s">
        <v>77</v>
      </c>
      <c r="O129" s="36"/>
      <c r="P129" s="36" t="s">
        <v>34</v>
      </c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51" t="n">
        <f aca="false">A155</f>
        <v>36</v>
      </c>
      <c r="B130" s="52" t="n">
        <f aca="false">B151</f>
        <v>0</v>
      </c>
      <c r="C130" s="53"/>
      <c r="D130" s="52" t="n">
        <f aca="false">B58</f>
        <v>27</v>
      </c>
      <c r="E130" s="37"/>
      <c r="F130" s="34"/>
      <c r="G130" s="51" t="n">
        <f aca="false">G152</f>
        <v>36</v>
      </c>
      <c r="H130" s="52" t="n">
        <f aca="false">B151</f>
        <v>0</v>
      </c>
      <c r="I130" s="53"/>
      <c r="J130" s="52" t="n">
        <f aca="false">B58</f>
        <v>27</v>
      </c>
      <c r="K130" s="37"/>
      <c r="L130" s="34"/>
      <c r="M130" s="51" t="n">
        <f aca="false">M155</f>
        <v>36</v>
      </c>
      <c r="N130" s="52" t="n">
        <f aca="false">B151</f>
        <v>0</v>
      </c>
      <c r="O130" s="53"/>
      <c r="P130" s="52" t="n">
        <f aca="false">B58</f>
        <v>27</v>
      </c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207</v>
      </c>
      <c r="B132" s="36" t="s">
        <v>40</v>
      </c>
      <c r="C132" s="36"/>
      <c r="D132" s="36" t="s">
        <v>47</v>
      </c>
      <c r="E132" s="37"/>
      <c r="F132" s="34"/>
      <c r="G132" s="35" t="s">
        <v>208</v>
      </c>
      <c r="H132" s="36" t="s">
        <v>209</v>
      </c>
      <c r="I132" s="36"/>
      <c r="J132" s="36" t="s">
        <v>210</v>
      </c>
      <c r="K132" s="37"/>
      <c r="L132" s="34"/>
      <c r="M132" s="35" t="s">
        <v>207</v>
      </c>
      <c r="N132" s="36" t="s">
        <v>40</v>
      </c>
      <c r="O132" s="36"/>
      <c r="P132" s="36" t="s">
        <v>47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10105.6565460359</v>
      </c>
      <c r="B133" s="23" t="n">
        <f aca="false">IF(A105="YES", B89*B57, 0)</f>
        <v>309</v>
      </c>
      <c r="C133" s="42"/>
      <c r="D133" s="70" t="n">
        <f aca="false">B91*B57</f>
        <v>10414.6565460359</v>
      </c>
      <c r="E133" s="37"/>
      <c r="F133" s="34"/>
      <c r="G133" s="178" t="n">
        <f aca="false">H90*H57</f>
        <v>7139.20420131264</v>
      </c>
      <c r="H133" s="23" t="n">
        <f aca="false">IF(G105="YES", H89*H57, 0)</f>
        <v>217.053658536585</v>
      </c>
      <c r="I133" s="42"/>
      <c r="J133" s="70" t="n">
        <f aca="false">H91*H57</f>
        <v>7356.25785984922</v>
      </c>
      <c r="K133" s="37"/>
      <c r="L133" s="34"/>
      <c r="M133" s="178" t="n">
        <f aca="false">N90*N57</f>
        <v>5906.94656443839</v>
      </c>
      <c r="N133" s="23" t="n">
        <f aca="false">IF(M105="YES", N89*N57, 0)</f>
        <v>180.878048780488</v>
      </c>
      <c r="O133" s="42"/>
      <c r="P133" s="70" t="n">
        <f aca="false">N91*N57</f>
        <v>6087.82461321888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66</v>
      </c>
      <c r="B135" s="36" t="s">
        <v>67</v>
      </c>
      <c r="C135" s="36"/>
      <c r="D135" s="36" t="s">
        <v>72</v>
      </c>
      <c r="E135" s="37"/>
      <c r="F135" s="34"/>
      <c r="G135" s="35" t="s">
        <v>211</v>
      </c>
      <c r="H135" s="36" t="s">
        <v>212</v>
      </c>
      <c r="I135" s="36"/>
      <c r="J135" s="36" t="s">
        <v>213</v>
      </c>
      <c r="K135" s="37"/>
      <c r="L135" s="34"/>
      <c r="M135" s="35" t="s">
        <v>66</v>
      </c>
      <c r="N135" s="36" t="s">
        <v>67</v>
      </c>
      <c r="O135" s="36"/>
      <c r="P135" s="36" t="s">
        <v>72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0.11705</v>
      </c>
      <c r="C136" s="23"/>
      <c r="D136" s="23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22" t="n">
        <f aca="false">E15*0.000006</f>
        <v>0.35115</v>
      </c>
      <c r="N136" s="23" t="n">
        <f aca="false">IF(M105="YES", E15*0.000002, 0)</f>
        <v>0.11705</v>
      </c>
      <c r="O136" s="23"/>
      <c r="P136" s="23" t="n">
        <f aca="false">M136+N136</f>
        <v>0.4682</v>
      </c>
      <c r="Q136" s="180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65</v>
      </c>
      <c r="B138" s="36" t="s">
        <v>214</v>
      </c>
      <c r="C138" s="36"/>
      <c r="D138" s="36" t="s">
        <v>215</v>
      </c>
      <c r="E138" s="37"/>
      <c r="F138" s="34"/>
      <c r="G138" s="35" t="s">
        <v>216</v>
      </c>
      <c r="H138" s="36" t="s">
        <v>214</v>
      </c>
      <c r="I138" s="36"/>
      <c r="J138" s="36" t="s">
        <v>215</v>
      </c>
      <c r="K138" s="37"/>
      <c r="L138" s="34"/>
      <c r="M138" s="35" t="s">
        <v>65</v>
      </c>
      <c r="N138" s="36" t="s">
        <v>214</v>
      </c>
      <c r="O138" s="36"/>
      <c r="P138" s="36" t="s">
        <v>215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964.75</v>
      </c>
      <c r="C139" s="23"/>
      <c r="D139" s="23" t="n">
        <f aca="false">B102*0.9</f>
        <v>0</v>
      </c>
      <c r="E139" s="180"/>
      <c r="F139" s="34"/>
      <c r="G139" s="22" t="n">
        <f aca="false">G102</f>
        <v>199.99</v>
      </c>
      <c r="H139" s="23" t="n">
        <f aca="false">H67</f>
        <v>964.75</v>
      </c>
      <c r="I139" s="23"/>
      <c r="J139" s="23" t="n">
        <f aca="false">H102*0.9</f>
        <v>0</v>
      </c>
      <c r="K139" s="180"/>
      <c r="L139" s="34"/>
      <c r="M139" s="22" t="n">
        <f aca="false">M102</f>
        <v>199.99</v>
      </c>
      <c r="N139" s="23" t="n">
        <f aca="false">N67</f>
        <v>964.75</v>
      </c>
      <c r="O139" s="23"/>
      <c r="P139" s="23" t="n">
        <f aca="false">N102*0.9</f>
        <v>0</v>
      </c>
      <c r="Q139" s="180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217</v>
      </c>
      <c r="B141" s="36" t="s">
        <v>218</v>
      </c>
      <c r="C141" s="36"/>
      <c r="D141" s="36" t="s">
        <v>219</v>
      </c>
      <c r="E141" s="37"/>
      <c r="F141" s="34"/>
      <c r="G141" s="35" t="s">
        <v>217</v>
      </c>
      <c r="H141" s="36" t="s">
        <v>218</v>
      </c>
      <c r="I141" s="36"/>
      <c r="J141" s="36" t="s">
        <v>219</v>
      </c>
      <c r="K141" s="37"/>
      <c r="L141" s="34"/>
      <c r="M141" s="35" t="s">
        <v>217</v>
      </c>
      <c r="N141" s="36" t="s">
        <v>218</v>
      </c>
      <c r="O141" s="36"/>
      <c r="P141" s="36" t="s">
        <v>219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((B36*B105)*0.1)*(A130), 0)</f>
        <v>20.6</v>
      </c>
      <c r="B142" s="23" t="n">
        <f aca="false">A102-100</f>
        <v>99.99</v>
      </c>
      <c r="C142" s="23"/>
      <c r="D142" s="23" t="n">
        <f aca="false">(B139+D139+A142+B142)-B145</f>
        <v>1085.34</v>
      </c>
      <c r="E142" s="180"/>
      <c r="F142" s="34"/>
      <c r="G142" s="22" t="n">
        <f aca="false">IF(G105="YES", ((B36*H105)*0.1)*(G130), 0)</f>
        <v>20.6</v>
      </c>
      <c r="H142" s="23" t="n">
        <f aca="false">G102-100</f>
        <v>99.99</v>
      </c>
      <c r="I142" s="23"/>
      <c r="J142" s="23" t="n">
        <f aca="false">(H139+J139+G142+H142)-H145</f>
        <v>1085.34</v>
      </c>
      <c r="K142" s="180"/>
      <c r="L142" s="34"/>
      <c r="M142" s="22" t="n">
        <f aca="false">IF(M105="YES", ((B36*N105)*0.1)*(M130), 0)</f>
        <v>20.6</v>
      </c>
      <c r="N142" s="23" t="n">
        <f aca="false">M102-100</f>
        <v>99.99</v>
      </c>
      <c r="O142" s="23"/>
      <c r="P142" s="23" t="n">
        <f aca="false">(N139+P139+M142+N142)-N145</f>
        <v>1085.34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220</v>
      </c>
      <c r="B144" s="36" t="s">
        <v>221</v>
      </c>
      <c r="C144" s="36"/>
      <c r="D144" s="36"/>
      <c r="E144" s="37"/>
      <c r="F144" s="34"/>
      <c r="G144" s="35" t="s">
        <v>220</v>
      </c>
      <c r="H144" s="36" t="s">
        <v>221</v>
      </c>
      <c r="I144" s="36"/>
      <c r="J144" s="36"/>
      <c r="K144" s="37"/>
      <c r="L144" s="34"/>
      <c r="M144" s="35" t="s">
        <v>220</v>
      </c>
      <c r="N144" s="36" t="s">
        <v>221</v>
      </c>
      <c r="O144" s="36"/>
      <c r="P144" s="36"/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v>0</v>
      </c>
      <c r="B145" s="23" t="n">
        <f aca="false">(B139+D139+A142+B142)*(A145/B64)</f>
        <v>0</v>
      </c>
      <c r="C145" s="36"/>
      <c r="D145" s="36"/>
      <c r="E145" s="37"/>
      <c r="F145" s="34"/>
      <c r="G145" s="22" t="n">
        <v>0</v>
      </c>
      <c r="H145" s="23" t="n">
        <f aca="false">(H139+J139+G142+H142)*(G145/H64)</f>
        <v>0</v>
      </c>
      <c r="I145" s="36"/>
      <c r="J145" s="36"/>
      <c r="K145" s="37"/>
      <c r="L145" s="34"/>
      <c r="M145" s="22" t="n">
        <v>0</v>
      </c>
      <c r="N145" s="23" t="n">
        <f aca="false">(N139+P139+M142+N142)*(M145/N64)</f>
        <v>0</v>
      </c>
      <c r="O145" s="36"/>
      <c r="P145" s="36"/>
      <c r="Q145" s="37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22"/>
      <c r="B146" s="23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22"/>
      <c r="N146" s="23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181" t="s">
        <v>222</v>
      </c>
      <c r="B147" s="26" t="s">
        <v>223</v>
      </c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181" t="s">
        <v>222</v>
      </c>
      <c r="N147" s="26" t="s">
        <v>223</v>
      </c>
      <c r="O147" s="36"/>
      <c r="P147" s="36"/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58" t="n">
        <v>18000</v>
      </c>
      <c r="B148" s="259" t="n">
        <v>0.99</v>
      </c>
      <c r="C148" s="259"/>
      <c r="D148" s="36"/>
      <c r="E148" s="37"/>
      <c r="F148" s="34"/>
      <c r="G148" s="214" t="s">
        <v>224</v>
      </c>
      <c r="H148" s="36"/>
      <c r="I148" s="36"/>
      <c r="J148" s="215"/>
      <c r="K148" s="216"/>
      <c r="L148" s="34"/>
      <c r="M148" s="258" t="n">
        <v>18000</v>
      </c>
      <c r="N148" s="259" t="n">
        <v>0.99</v>
      </c>
      <c r="O148" s="259"/>
      <c r="P148" s="36"/>
      <c r="Q148" s="37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80"/>
      <c r="I149" s="80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/>
      <c r="B150" s="36"/>
      <c r="C150" s="36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5"/>
      <c r="N150" s="36"/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14" t="s">
        <v>224</v>
      </c>
      <c r="B151" s="36"/>
      <c r="C151" s="36"/>
      <c r="D151" s="215"/>
      <c r="E151" s="216"/>
      <c r="F151" s="34"/>
      <c r="G151" s="81"/>
      <c r="H151" s="83" t="n">
        <f aca="false">B51</f>
        <v>10000</v>
      </c>
      <c r="I151" s="83"/>
      <c r="J151" s="36"/>
      <c r="K151" s="37"/>
      <c r="L151" s="34"/>
      <c r="M151" s="214" t="s">
        <v>224</v>
      </c>
      <c r="N151" s="36"/>
      <c r="O151" s="36"/>
      <c r="P151" s="215"/>
      <c r="Q151" s="216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80"/>
      <c r="C152" s="80"/>
      <c r="D152" s="36"/>
      <c r="E152" s="37"/>
      <c r="F152" s="34"/>
      <c r="G152" s="84" t="n">
        <f aca="false">A52</f>
        <v>36</v>
      </c>
      <c r="H152" s="85" t="n">
        <f aca="false">H91</f>
        <v>1226.04297664154</v>
      </c>
      <c r="I152" s="85"/>
      <c r="J152" s="36"/>
      <c r="K152" s="37"/>
      <c r="L152" s="34"/>
      <c r="M152" s="35"/>
      <c r="N152" s="80"/>
      <c r="O152" s="80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81" t="s">
        <v>76</v>
      </c>
      <c r="B153" s="82" t="s">
        <v>77</v>
      </c>
      <c r="C153" s="82"/>
      <c r="D153" s="36"/>
      <c r="E153" s="37"/>
      <c r="F153" s="34"/>
      <c r="G153" s="35"/>
      <c r="H153" s="36"/>
      <c r="I153" s="36"/>
      <c r="J153" s="36"/>
      <c r="K153" s="37"/>
      <c r="L153" s="34"/>
      <c r="M153" s="81" t="s">
        <v>76</v>
      </c>
      <c r="N153" s="82" t="s">
        <v>77</v>
      </c>
      <c r="O153" s="82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81"/>
      <c r="B154" s="83" t="n">
        <f aca="false">A51</f>
        <v>0</v>
      </c>
      <c r="C154" s="83"/>
      <c r="D154" s="36"/>
      <c r="E154" s="37"/>
      <c r="F154" s="34"/>
      <c r="G154" s="35"/>
      <c r="H154" s="36"/>
      <c r="I154" s="36"/>
      <c r="J154" s="36"/>
      <c r="K154" s="37"/>
      <c r="L154" s="34"/>
      <c r="M154" s="81"/>
      <c r="N154" s="83" t="n">
        <f aca="false">B51</f>
        <v>10000</v>
      </c>
      <c r="O154" s="83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84" t="n">
        <f aca="false">A52</f>
        <v>36</v>
      </c>
      <c r="B155" s="85" t="n">
        <f aca="false">B91</f>
        <v>1157.18406067066</v>
      </c>
      <c r="C155" s="85"/>
      <c r="D155" s="36"/>
      <c r="E155" s="37"/>
      <c r="F155" s="34"/>
      <c r="G155" s="35"/>
      <c r="H155" s="36"/>
      <c r="I155" s="36"/>
      <c r="J155" s="36"/>
      <c r="K155" s="37"/>
      <c r="L155" s="34"/>
      <c r="M155" s="84" t="n">
        <f aca="false">A52</f>
        <v>36</v>
      </c>
      <c r="N155" s="85" t="n">
        <f aca="false">N91</f>
        <v>1014.63743553648</v>
      </c>
      <c r="O155" s="85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5"/>
      <c r="N157" s="36"/>
      <c r="O157" s="36"/>
      <c r="P157" s="36"/>
      <c r="Q157" s="37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6"/>
      <c r="O158" s="36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6"/>
      <c r="O159" s="36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6"/>
      <c r="O160" s="36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6"/>
      <c r="O161" s="36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218"/>
      <c r="N162" s="219"/>
      <c r="O162" s="219"/>
      <c r="P162" s="219"/>
      <c r="Q162" s="220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B148:C148"/>
    <mergeCell ref="N148:O148"/>
    <mergeCell ref="G150:G151"/>
    <mergeCell ref="H150:I150"/>
    <mergeCell ref="H151:I151"/>
    <mergeCell ref="H152:I152"/>
    <mergeCell ref="A153:A154"/>
    <mergeCell ref="B153:C153"/>
    <mergeCell ref="M153:M154"/>
    <mergeCell ref="N153:O153"/>
    <mergeCell ref="B154:C154"/>
    <mergeCell ref="N154:O154"/>
    <mergeCell ref="B155:C155"/>
    <mergeCell ref="N155:O155"/>
  </mergeCells>
  <dataValidations count="5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0" colorId="64" zoomScale="65" zoomScaleNormal="65" zoomScalePageLayoutView="100" workbookViewId="0">
      <selection pane="topLeft" activeCell="B89" activeCellId="0" sqref="B89"/>
    </sheetView>
  </sheetViews>
  <sheetFormatPr defaultColWidth="11.11718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285" t="n">
        <v>46854.17</v>
      </c>
      <c r="C3" s="194" t="n">
        <v>0</v>
      </c>
      <c r="D3" s="285" t="n">
        <v>833.33</v>
      </c>
      <c r="E3" s="195" t="n">
        <v>0</v>
      </c>
      <c r="F3" s="34"/>
      <c r="G3" s="34" t="n">
        <v>25000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0" t="n">
        <v>0</v>
      </c>
      <c r="C4" s="0" t="n">
        <v>0</v>
      </c>
      <c r="D4" s="0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286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287" t="n">
        <f aca="false">G9*100/B3</f>
        <v>-222.685622218897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88" t="n">
        <f aca="false">(B7+C7+D7+E3)</f>
        <v>47687.5</v>
      </c>
      <c r="F9" s="34"/>
      <c r="G9" s="286" t="n">
        <f aca="false">E9-G11</f>
        <v>-104337.5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28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 E9 + E10 ) * 0.2</f>
        <v>9647.5</v>
      </c>
      <c r="F11" s="34"/>
      <c r="G11" s="286" t="n">
        <f aca="false">G13/1.2</f>
        <v>152025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286" t="n">
        <f aca="false">G15-E14-E13-E12</f>
        <v>182430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89" t="n">
        <f aca="false">(E9+E10+E13+E14+E11) - E12</f>
        <v>58525</v>
      </c>
      <c r="F15" s="34"/>
      <c r="G15" s="204" t="n">
        <v>183070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290" t="n">
        <f aca="false">(B3+C3+E10)*1.2</f>
        <v>56885.004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 t="n">
        <v>0</v>
      </c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227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41" t="s">
        <v>114</v>
      </c>
      <c r="B26" s="43" t="s">
        <v>26</v>
      </c>
      <c r="C26" s="36"/>
      <c r="D26" s="36"/>
      <c r="E26" s="37"/>
      <c r="F26" s="34"/>
      <c r="G26" s="39" t="s">
        <v>38</v>
      </c>
      <c r="H26" s="39" t="s">
        <v>228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229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38" t="s">
        <v>155</v>
      </c>
      <c r="B28" s="38"/>
      <c r="C28" s="38"/>
      <c r="D28" s="38"/>
      <c r="E28" s="38"/>
      <c r="F28" s="34"/>
      <c r="G28" s="40" t="s">
        <v>230</v>
      </c>
      <c r="H28" s="4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35"/>
      <c r="B29" s="36"/>
      <c r="C29" s="36"/>
      <c r="D29" s="36"/>
      <c r="E29" s="37"/>
      <c r="F29" s="34"/>
      <c r="G29" s="39" t="s">
        <v>36</v>
      </c>
      <c r="H29" s="291" t="n">
        <v>36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 t="s">
        <v>156</v>
      </c>
      <c r="B30" s="169" t="s">
        <v>231</v>
      </c>
      <c r="C30" s="169"/>
      <c r="D30" s="36"/>
      <c r="E30" s="37"/>
      <c r="F30" s="34"/>
      <c r="G30" s="39" t="s">
        <v>37</v>
      </c>
      <c r="H30" s="291" t="n">
        <v>10000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35"/>
      <c r="B31" s="36"/>
      <c r="C31" s="36"/>
      <c r="D31" s="36"/>
      <c r="E31" s="37"/>
      <c r="F31" s="34"/>
      <c r="G31" s="39" t="s">
        <v>232</v>
      </c>
      <c r="H31" s="267" t="n">
        <v>27500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35" t="s">
        <v>76</v>
      </c>
      <c r="B32" s="36" t="s">
        <v>77</v>
      </c>
      <c r="C32" s="36"/>
      <c r="D32" s="292" t="s">
        <v>233</v>
      </c>
      <c r="E32" s="37"/>
      <c r="F32" s="34"/>
      <c r="G32" s="39" t="s">
        <v>234</v>
      </c>
      <c r="I32" s="267" t="n">
        <v>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31.6" hidden="false" customHeight="true" outlineLevel="0" collapsed="false">
      <c r="A33" s="51" t="n">
        <f aca="false">A52</f>
        <v>36</v>
      </c>
      <c r="B33" s="52" t="n">
        <v>10000</v>
      </c>
      <c r="C33" s="53"/>
      <c r="D33" s="293" t="n">
        <f aca="false">H48</f>
        <v>922.920864561026</v>
      </c>
      <c r="E33" s="37"/>
      <c r="F33" s="34"/>
      <c r="G33" s="40" t="s">
        <v>235</v>
      </c>
      <c r="H33" s="294" t="n">
        <f aca="false">E21-E11+((E16*20%)+(E19*20%)+(E20*20%))</f>
        <v>48877.5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35"/>
      <c r="B34" s="36"/>
      <c r="C34" s="36"/>
      <c r="D34" s="36"/>
      <c r="E34" s="37"/>
      <c r="F34" s="34"/>
      <c r="G34" s="34" t="s">
        <v>272</v>
      </c>
      <c r="H34" s="34" t="n">
        <f aca="false">H29</f>
        <v>36</v>
      </c>
      <c r="I34" s="34" t="n">
        <v>43957.29</v>
      </c>
      <c r="J34" s="34" t="n">
        <v>841.24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35" t="s">
        <v>236</v>
      </c>
      <c r="B35" s="36" t="s">
        <v>237</v>
      </c>
      <c r="C35" s="36"/>
      <c r="D35" s="36" t="s">
        <v>238</v>
      </c>
      <c r="E35" s="37"/>
      <c r="F35" s="34"/>
      <c r="G35" s="59" t="s">
        <v>239</v>
      </c>
      <c r="H35" s="60" t="n">
        <v>0.065</v>
      </c>
      <c r="I35" s="34" t="n">
        <v>46215.83</v>
      </c>
      <c r="J35" s="34" t="n">
        <v>909.69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178" t="n">
        <f aca="false">H47</f>
        <v>922.920864561026</v>
      </c>
      <c r="B36" s="23" t="str">
        <f aca="false">IF(B26="YES", H42, "")</f>
        <v/>
      </c>
      <c r="C36" s="42"/>
      <c r="D36" s="70" t="n">
        <f aca="false">H31</f>
        <v>27500</v>
      </c>
      <c r="E36" s="37"/>
      <c r="F36" s="34"/>
      <c r="G36" s="34"/>
      <c r="H36" s="34"/>
      <c r="I36" s="34" t="n">
        <f aca="false">I35-I34</f>
        <v>2258.54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22"/>
      <c r="B37" s="23"/>
      <c r="C37" s="42"/>
      <c r="D37" s="23"/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35"/>
      <c r="B38" s="36"/>
      <c r="C38" s="36"/>
      <c r="D38" s="36"/>
      <c r="E38" s="37"/>
      <c r="F38" s="34"/>
      <c r="G38" s="74" t="s">
        <v>64</v>
      </c>
      <c r="H38" s="7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35" t="s">
        <v>241</v>
      </c>
      <c r="B39" s="36" t="s">
        <v>242</v>
      </c>
      <c r="C39" s="36"/>
      <c r="D39" s="36" t="s">
        <v>243</v>
      </c>
      <c r="E39" s="37"/>
      <c r="F39" s="34"/>
      <c r="G39" s="34" t="s">
        <v>30</v>
      </c>
      <c r="H39" s="67" t="n">
        <f aca="false">H33</f>
        <v>48877.5</v>
      </c>
      <c r="I39" s="67" t="n">
        <f aca="false">(I48*H46)+H44</f>
        <v>64443.3941780653</v>
      </c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124" t="n">
        <f aca="false">D36*A45/100</f>
        <v>27500</v>
      </c>
      <c r="B40" s="124" t="str">
        <f aca="false">IF(B26="YES",H42,"0")</f>
        <v>0</v>
      </c>
      <c r="C40" s="124"/>
      <c r="D40" s="70" t="n">
        <f aca="false">I32</f>
        <v>0</v>
      </c>
      <c r="E40" s="37"/>
      <c r="F40" s="34"/>
      <c r="G40" s="34" t="s">
        <v>98</v>
      </c>
      <c r="H40" s="67" t="n">
        <f aca="false">(A40)/1.2</f>
        <v>22916.6666666667</v>
      </c>
      <c r="I40" s="67" t="n">
        <f aca="false">H39-I39</f>
        <v>-15565.8941780653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35"/>
      <c r="B41" s="36"/>
      <c r="C41" s="36"/>
      <c r="D41" s="36"/>
      <c r="E41" s="37"/>
      <c r="F41" s="34"/>
      <c r="G41" s="34" t="s">
        <v>244</v>
      </c>
      <c r="H41" s="72" t="n">
        <f aca="false">H35/12</f>
        <v>0.00541666666666667</v>
      </c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35"/>
      <c r="B42" s="36"/>
      <c r="C42" s="36"/>
      <c r="D42" s="36"/>
      <c r="E42" s="37"/>
      <c r="F42" s="34"/>
      <c r="G42" s="34" t="s">
        <v>245</v>
      </c>
      <c r="H42" s="67" t="n">
        <f aca="false">(I32/H34)*(C45/100)</f>
        <v>0</v>
      </c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221"/>
      <c r="B43" s="222"/>
      <c r="C43" s="222"/>
      <c r="D43" s="222"/>
      <c r="E43" s="223"/>
      <c r="F43" s="34"/>
      <c r="G43" s="34" t="s">
        <v>246</v>
      </c>
      <c r="H43" s="34"/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295" t="s">
        <v>247</v>
      </c>
      <c r="B44" s="36"/>
      <c r="C44" s="296" t="s">
        <v>248</v>
      </c>
      <c r="D44" s="296"/>
      <c r="E44" s="37"/>
      <c r="F44" s="34"/>
      <c r="G44" s="34" t="s">
        <v>273</v>
      </c>
      <c r="H44" s="67" t="n">
        <f aca="false">(H40/(1+H41)^(H34+1))</f>
        <v>18764.9097705681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297" t="s">
        <v>250</v>
      </c>
      <c r="B45" s="36"/>
      <c r="C45" s="302" t="s">
        <v>250</v>
      </c>
      <c r="D45" s="302"/>
      <c r="E45" s="37"/>
      <c r="F45" s="34"/>
      <c r="G45" s="34" t="s">
        <v>274</v>
      </c>
      <c r="H45" s="67" t="n">
        <f aca="false">(H39-H44)</f>
        <v>30112.5902294319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8"/>
      <c r="B46" s="219"/>
      <c r="C46" s="219"/>
      <c r="D46" s="219"/>
      <c r="E46" s="220"/>
      <c r="F46" s="34"/>
      <c r="G46" s="34" t="s">
        <v>275</v>
      </c>
      <c r="H46" s="67" t="n">
        <f aca="false">((1-(1/((1+H41)^H34)))/H41)</f>
        <v>32.627488862498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35"/>
      <c r="B47" s="36"/>
      <c r="C47" s="36"/>
      <c r="D47" s="36"/>
      <c r="E47" s="37"/>
      <c r="F47" s="34"/>
      <c r="G47" s="34" t="s">
        <v>253</v>
      </c>
      <c r="H47" s="67" t="n">
        <f aca="false">H45/H46</f>
        <v>922.920864561026</v>
      </c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254</v>
      </c>
      <c r="B48" s="36"/>
      <c r="C48" s="36"/>
      <c r="D48" s="215"/>
      <c r="E48" s="216"/>
      <c r="F48" s="34"/>
      <c r="G48" s="299" t="s">
        <v>255</v>
      </c>
      <c r="H48" s="67" t="n">
        <f aca="false">IF(B26="YES", H47+H42, H47)</f>
        <v>922.920864561026</v>
      </c>
      <c r="I48" s="67" t="n">
        <f aca="false">I49-H42</f>
        <v>1400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 t="s">
        <v>256</v>
      </c>
      <c r="H49" s="217"/>
      <c r="I49" s="67" t="n">
        <v>1400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10000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36</v>
      </c>
      <c r="B52" s="85" t="n">
        <f aca="false">H48</f>
        <v>922.920864561026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6"/>
      <c r="N55" s="36"/>
      <c r="O55" s="36"/>
      <c r="P55" s="36"/>
      <c r="Q55" s="36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221"/>
      <c r="N56" s="222"/>
      <c r="O56" s="222"/>
      <c r="P56" s="222"/>
      <c r="Q56" s="223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IF(B99=Y97,1,IF(B99=Y98,1,IF(B99=Y99,3,IF(B99=Y100,6,IF(B99=Y101,9,IF(B99=Y102,12,IF(B99=Y103,3,IF(B99=Y104,6,IF(B99=Y105,9,0)))))))))</f>
        <v>9</v>
      </c>
      <c r="C57" s="36"/>
      <c r="D57" s="36"/>
      <c r="E57" s="37"/>
      <c r="F57" s="34"/>
      <c r="G57" s="35" t="s">
        <v>30</v>
      </c>
      <c r="H57" s="36" t="n">
        <f aca="false">IF(H99=Y97,1,IF(H99=Y98,1,IF(H99=Y99,3,IF(H99=Y100,6,IF(H99=Y101,9,IF(H99=Y102,12,IF(H99=Y103,3,IF(H99=Y104,6,IF(H99=Y105,9,0)))))))))</f>
        <v>6</v>
      </c>
      <c r="I57" s="36"/>
      <c r="J57" s="36"/>
      <c r="K57" s="37"/>
      <c r="L57" s="34"/>
      <c r="M57" s="35" t="s">
        <v>30</v>
      </c>
      <c r="N57" s="36" t="n">
        <f aca="false">IF(N99=Y97,1,IF(N99=Y98,1,IF(N99=Y99,3,IF(N99=Y100,6,IF(N99=Y101,9,IF(N99=Y102,12,IF(N99=Y103,3,IF(N99=Y104,6,IF(N99=Y105,9,0)))))))))</f>
        <v>6</v>
      </c>
      <c r="O57" s="36"/>
      <c r="P57" s="36"/>
      <c r="Q57" s="37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IF(B99=Y97,H29-B57,IF(B99=Y98,H29-B57,IF(B99=Y99,H29-1,IF(B99=Y100,H29-1,IF(B99=Y101,H29-1,IF(B99=Y102,H29-1,IF(B99=Y103,H29-B57,IF(B99=Y104,H29-B57,IF(B99=Y105,H29-B57,0)))))))))</f>
        <v>27</v>
      </c>
      <c r="C58" s="36"/>
      <c r="D58" s="36"/>
      <c r="E58" s="37"/>
      <c r="F58" s="34"/>
      <c r="G58" s="35" t="s">
        <v>34</v>
      </c>
      <c r="H58" s="36" t="n">
        <f aca="false">IF(H99=Y97,H29-H57,IF(H99=Y98,H29-H57,IF(H99=Y99,H29-1,IF(H99=Y100,H29-1,IF(H99=Y101,H29-1,IF(H99=Y102,H29-1,IF(H99=Y103,H29-H57,IF(H99=Y104,H29-H57,IF(H99=Y105,H29-H57,0)))))))))</f>
        <v>35</v>
      </c>
      <c r="I58" s="36"/>
      <c r="J58" s="36"/>
      <c r="K58" s="37"/>
      <c r="L58" s="34"/>
      <c r="M58" s="35" t="s">
        <v>34</v>
      </c>
      <c r="N58" s="36" t="n">
        <f aca="false">IF(N99=Y97,H29-N57,IF(N99=Y98,H29-N57,IF(N99=Y99,H29-1,IF(N99=Y100,H29-1,IF(N99=Y101,H29-1,IF(N99=Y102,H29-1,IF(N99=Y103,H29-N57,IF(N99=Y104,H29-N57,IF(N99=Y105,H29-N57,0)))))))))</f>
        <v>35</v>
      </c>
      <c r="O58" s="36"/>
      <c r="P58" s="36"/>
      <c r="Q58" s="37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5"/>
      <c r="N59" s="36"/>
      <c r="O59" s="36"/>
      <c r="P59" s="36"/>
      <c r="Q59" s="37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5"/>
      <c r="N60" s="36"/>
      <c r="O60" s="36"/>
      <c r="P60" s="36"/>
      <c r="Q60" s="37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5" t="s">
        <v>21</v>
      </c>
      <c r="N61" s="199" t="n">
        <f aca="false">G18</f>
        <v>57885</v>
      </c>
      <c r="O61" s="36"/>
      <c r="P61" s="36"/>
      <c r="Q61" s="37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180</v>
      </c>
      <c r="B62" s="225" t="n">
        <v>0.07</v>
      </c>
      <c r="C62" s="36"/>
      <c r="D62" s="36"/>
      <c r="E62" s="37"/>
      <c r="F62" s="34"/>
      <c r="G62" s="224" t="s">
        <v>180</v>
      </c>
      <c r="H62" s="225" t="n">
        <v>0.07</v>
      </c>
      <c r="I62" s="36"/>
      <c r="J62" s="36"/>
      <c r="K62" s="37"/>
      <c r="L62" s="34"/>
      <c r="M62" s="224" t="s">
        <v>180</v>
      </c>
      <c r="N62" s="225" t="n">
        <v>0.07</v>
      </c>
      <c r="O62" s="36"/>
      <c r="P62" s="36"/>
      <c r="Q62" s="37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181</v>
      </c>
      <c r="B63" s="197" t="n">
        <f aca="false">B62+(B62*0.25*(H29/12-1))</f>
        <v>0.105</v>
      </c>
      <c r="C63" s="36"/>
      <c r="D63" s="36"/>
      <c r="E63" s="37"/>
      <c r="F63" s="34"/>
      <c r="G63" s="35" t="s">
        <v>181</v>
      </c>
      <c r="H63" s="197" t="n">
        <f aca="false">H62+(H62*0.25*(H29/12-1))</f>
        <v>0.105</v>
      </c>
      <c r="I63" s="36"/>
      <c r="J63" s="36"/>
      <c r="K63" s="37"/>
      <c r="L63" s="34"/>
      <c r="M63" s="35" t="s">
        <v>181</v>
      </c>
      <c r="N63" s="197" t="n">
        <f aca="false">N62+(N62*0.25*(H29/12-1))</f>
        <v>0.105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6077.925</v>
      </c>
      <c r="C64" s="36"/>
      <c r="D64" s="199" t="n">
        <f aca="false">B64-A145</f>
        <v>6077.925</v>
      </c>
      <c r="E64" s="303" t="n">
        <f aca="false">D64/(B58+B57)</f>
        <v>168.83125</v>
      </c>
      <c r="F64" s="34"/>
      <c r="G64" s="218" t="s">
        <v>82</v>
      </c>
      <c r="H64" s="144" t="n">
        <f aca="false">H61*H63</f>
        <v>6077.925</v>
      </c>
      <c r="I64" s="36"/>
      <c r="J64" s="199" t="n">
        <f aca="false">H64-G145</f>
        <v>6077.925</v>
      </c>
      <c r="K64" s="37"/>
      <c r="L64" s="34"/>
      <c r="M64" s="218" t="s">
        <v>82</v>
      </c>
      <c r="N64" s="144" t="n">
        <f aca="false">N61*N63</f>
        <v>6077.925</v>
      </c>
      <c r="O64" s="36"/>
      <c r="P64" s="199" t="n">
        <f aca="false">N64-M145</f>
        <v>6077.925</v>
      </c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0.01</v>
      </c>
      <c r="I65" s="36"/>
      <c r="J65" s="36"/>
      <c r="K65" s="37"/>
      <c r="L65" s="34"/>
      <c r="M65" s="224" t="s">
        <v>83</v>
      </c>
      <c r="N65" s="225" t="n">
        <v>0.01</v>
      </c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0.02</v>
      </c>
      <c r="C66" s="36"/>
      <c r="D66" s="36"/>
      <c r="E66" s="37"/>
      <c r="F66" s="34"/>
      <c r="G66" s="35" t="s">
        <v>84</v>
      </c>
      <c r="H66" s="197" t="n">
        <f aca="false">H65+(H65*0.5*(H29/12-1))</f>
        <v>0.02</v>
      </c>
      <c r="I66" s="36"/>
      <c r="J66" s="36"/>
      <c r="K66" s="37"/>
      <c r="L66" s="34"/>
      <c r="M66" s="35" t="s">
        <v>84</v>
      </c>
      <c r="N66" s="197" t="n">
        <f aca="false">N65+(N65*0.5*(H29/12-1))</f>
        <v>0.02</v>
      </c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(B61*B66)/1.2</f>
        <v>964.75</v>
      </c>
      <c r="C67" s="36"/>
      <c r="D67" s="199"/>
      <c r="E67" s="37"/>
      <c r="F67" s="34"/>
      <c r="G67" s="218" t="s">
        <v>85</v>
      </c>
      <c r="H67" s="144" t="n">
        <f aca="false">(H61*H66)/1.2</f>
        <v>964.75</v>
      </c>
      <c r="I67" s="36"/>
      <c r="J67" s="199"/>
      <c r="K67" s="37"/>
      <c r="L67" s="34"/>
      <c r="M67" s="218" t="s">
        <v>85</v>
      </c>
      <c r="N67" s="144" t="n">
        <f aca="false">(N61*N66)/1.2</f>
        <v>964.75</v>
      </c>
      <c r="O67" s="36"/>
      <c r="P67" s="199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224" t="s">
        <v>86</v>
      </c>
      <c r="N68" s="225" t="n">
        <v>0.0075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191" t="s">
        <v>87</v>
      </c>
      <c r="N69" s="226" t="n">
        <v>0.12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218" t="s">
        <v>88</v>
      </c>
      <c r="N70" s="300" t="n">
        <f aca="false">N68*(1+N69)</f>
        <v>0.0084</v>
      </c>
      <c r="O70" s="36"/>
      <c r="P70" s="36"/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224" t="s">
        <v>89</v>
      </c>
      <c r="N71" s="228" t="n">
        <v>160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191" t="s">
        <v>90</v>
      </c>
      <c r="N72" s="229" t="n">
        <v>4.5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180</v>
      </c>
      <c r="C73" s="36"/>
      <c r="D73" s="199" t="n">
        <f aca="false">B73+B71</f>
        <v>380</v>
      </c>
      <c r="E73" s="37"/>
      <c r="F73" s="34"/>
      <c r="G73" s="218" t="s">
        <v>91</v>
      </c>
      <c r="H73" s="144" t="n">
        <f aca="false">H72*H29</f>
        <v>162</v>
      </c>
      <c r="I73" s="36"/>
      <c r="J73" s="199" t="n">
        <f aca="false">H73+H71</f>
        <v>322</v>
      </c>
      <c r="K73" s="37"/>
      <c r="L73" s="34"/>
      <c r="M73" s="218" t="s">
        <v>91</v>
      </c>
      <c r="N73" s="144" t="n">
        <f aca="false">N72*H29</f>
        <v>162</v>
      </c>
      <c r="O73" s="36"/>
      <c r="P73" s="199" t="n">
        <f aca="false">N73+N71</f>
        <v>322</v>
      </c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182</v>
      </c>
      <c r="B74" s="228" t="n">
        <v>165</v>
      </c>
      <c r="C74" s="36"/>
      <c r="D74" s="36"/>
      <c r="E74" s="37"/>
      <c r="F74" s="34"/>
      <c r="G74" s="224" t="s">
        <v>182</v>
      </c>
      <c r="H74" s="228" t="n">
        <v>165</v>
      </c>
      <c r="I74" s="36"/>
      <c r="J74" s="36"/>
      <c r="K74" s="37"/>
      <c r="L74" s="34"/>
      <c r="M74" s="231" t="s">
        <v>182</v>
      </c>
      <c r="N74" s="232" t="n">
        <v>0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183</v>
      </c>
      <c r="B75" s="229" t="n">
        <v>355</v>
      </c>
      <c r="C75" s="36"/>
      <c r="D75" s="36"/>
      <c r="E75" s="37"/>
      <c r="F75" s="34"/>
      <c r="G75" s="191" t="s">
        <v>183</v>
      </c>
      <c r="H75" s="229" t="n">
        <v>0</v>
      </c>
      <c r="I75" s="36"/>
      <c r="J75" s="36"/>
      <c r="K75" s="37"/>
      <c r="L75" s="34"/>
      <c r="M75" s="233" t="s">
        <v>183</v>
      </c>
      <c r="N75" s="234" t="n">
        <v>0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184</v>
      </c>
      <c r="B76" s="144" t="n">
        <f aca="false">((B74+B75)/12)*(H29-11)</f>
        <v>1083.33333333333</v>
      </c>
      <c r="C76" s="36"/>
      <c r="D76" s="199" t="n">
        <f aca="false">B76</f>
        <v>1083.33333333333</v>
      </c>
      <c r="E76" s="37"/>
      <c r="F76" s="34"/>
      <c r="G76" s="218" t="s">
        <v>184</v>
      </c>
      <c r="H76" s="144" t="n">
        <f aca="false">((H74+H75)/12)*(H29-11)</f>
        <v>343.75</v>
      </c>
      <c r="I76" s="36"/>
      <c r="J76" s="199" t="n">
        <f aca="false">H76</f>
        <v>343.75</v>
      </c>
      <c r="K76" s="37"/>
      <c r="L76" s="34"/>
      <c r="M76" s="235" t="s">
        <v>184</v>
      </c>
      <c r="N76" s="236" t="n">
        <f aca="false">((N74+N75)/12)*(H29-11)</f>
        <v>0</v>
      </c>
      <c r="O76" s="36"/>
      <c r="P76" s="199" t="n">
        <f aca="false">N76</f>
        <v>0</v>
      </c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185</v>
      </c>
      <c r="B77" s="142" t="n">
        <f aca="false">B102*1.1</f>
        <v>0</v>
      </c>
      <c r="C77" s="36"/>
      <c r="D77" s="199" t="n">
        <f aca="false">B77</f>
        <v>0</v>
      </c>
      <c r="E77" s="303" t="n">
        <f aca="false">D77/(B58+B57)</f>
        <v>0</v>
      </c>
      <c r="F77" s="34"/>
      <c r="G77" s="224" t="s">
        <v>185</v>
      </c>
      <c r="H77" s="228" t="n">
        <v>0</v>
      </c>
      <c r="I77" s="36"/>
      <c r="J77" s="199" t="n">
        <f aca="false">H77</f>
        <v>0</v>
      </c>
      <c r="K77" s="37"/>
      <c r="L77" s="34"/>
      <c r="M77" s="224" t="s">
        <v>185</v>
      </c>
      <c r="N77" s="228" t="n">
        <v>0</v>
      </c>
      <c r="O77" s="36"/>
      <c r="P77" s="199" t="n">
        <f aca="false">N77</f>
        <v>0</v>
      </c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187</v>
      </c>
      <c r="B78" s="198" t="n">
        <v>0</v>
      </c>
      <c r="C78" s="36"/>
      <c r="D78" s="199" t="n">
        <f aca="false">B78</f>
        <v>0</v>
      </c>
      <c r="E78" s="303"/>
      <c r="F78" s="34"/>
      <c r="G78" s="35" t="s">
        <v>187</v>
      </c>
      <c r="H78" s="198" t="n">
        <v>0</v>
      </c>
      <c r="I78" s="36"/>
      <c r="J78" s="199" t="n">
        <f aca="false">H78</f>
        <v>0</v>
      </c>
      <c r="K78" s="37"/>
      <c r="L78" s="34"/>
      <c r="M78" s="35" t="s">
        <v>187</v>
      </c>
      <c r="N78" s="198" t="n">
        <v>0</v>
      </c>
      <c r="O78" s="36"/>
      <c r="P78" s="199" t="n">
        <f aca="false">N78</f>
        <v>0</v>
      </c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03"/>
      <c r="F79" s="34"/>
      <c r="G79" s="191" t="s">
        <v>92</v>
      </c>
      <c r="H79" s="229" t="n">
        <v>200</v>
      </c>
      <c r="I79" s="36"/>
      <c r="J79" s="199" t="n">
        <f aca="false">H79</f>
        <v>200</v>
      </c>
      <c r="K79" s="37"/>
      <c r="L79" s="34"/>
      <c r="M79" s="191" t="s">
        <v>92</v>
      </c>
      <c r="N79" s="229" t="n">
        <v>200</v>
      </c>
      <c r="O79" s="36"/>
      <c r="P79" s="199" t="n">
        <f aca="false">N79</f>
        <v>200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03" t="n">
        <f aca="false">(D73+D76+D79+D80)/(B58+B57)</f>
        <v>51.7592592592593</v>
      </c>
      <c r="F80" s="34"/>
      <c r="G80" s="237" t="s">
        <v>93</v>
      </c>
      <c r="H80" s="238" t="n">
        <v>200</v>
      </c>
      <c r="I80" s="36"/>
      <c r="J80" s="199" t="n">
        <f aca="false">H80</f>
        <v>200</v>
      </c>
      <c r="K80" s="37"/>
      <c r="L80" s="34"/>
      <c r="M80" s="237" t="s">
        <v>93</v>
      </c>
      <c r="N80" s="238" t="n">
        <v>200</v>
      </c>
      <c r="O80" s="36"/>
      <c r="P80" s="199" t="n">
        <f aca="false">N80</f>
        <v>200</v>
      </c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7941.25833333333</v>
      </c>
      <c r="C81" s="36"/>
      <c r="D81" s="36"/>
      <c r="E81" s="303"/>
      <c r="F81" s="34"/>
      <c r="G81" s="239" t="s">
        <v>94</v>
      </c>
      <c r="H81" s="240" t="n">
        <f aca="false">SUM(J64:J80)</f>
        <v>7143.675</v>
      </c>
      <c r="I81" s="36"/>
      <c r="J81" s="36"/>
      <c r="K81" s="37"/>
      <c r="L81" s="34"/>
      <c r="M81" s="239" t="s">
        <v>94</v>
      </c>
      <c r="N81" s="240" t="n">
        <f aca="false">SUM(P64:P80)</f>
        <v>6799.925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220.590509259259</v>
      </c>
      <c r="C82" s="36"/>
      <c r="D82" s="36"/>
      <c r="E82" s="303"/>
      <c r="F82" s="34"/>
      <c r="G82" s="35" t="s">
        <v>95</v>
      </c>
      <c r="H82" s="198" t="n">
        <f aca="false">H81/H29</f>
        <v>198.435416666667</v>
      </c>
      <c r="I82" s="36"/>
      <c r="J82" s="36"/>
      <c r="K82" s="37"/>
      <c r="L82" s="34"/>
      <c r="M82" s="35" t="s">
        <v>95</v>
      </c>
      <c r="N82" s="198" t="n">
        <f aca="false">N81/H29</f>
        <v>188.886805555556</v>
      </c>
      <c r="O82" s="36"/>
      <c r="P82" s="36"/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H47</f>
        <v>922.920864561026</v>
      </c>
      <c r="C83" s="36"/>
      <c r="D83" s="36"/>
      <c r="E83" s="303" t="n">
        <f aca="false">B83+E80+E77+E64</f>
        <v>1143.51137382028</v>
      </c>
      <c r="F83" s="34"/>
      <c r="G83" s="241" t="s">
        <v>96</v>
      </c>
      <c r="H83" s="242" t="n">
        <f aca="false">H47</f>
        <v>922.920864561026</v>
      </c>
      <c r="I83" s="36"/>
      <c r="J83" s="36"/>
      <c r="K83" s="37"/>
      <c r="L83" s="34"/>
      <c r="M83" s="241" t="s">
        <v>96</v>
      </c>
      <c r="N83" s="242" t="n">
        <f aca="false">H47</f>
        <v>922.920864561026</v>
      </c>
      <c r="O83" s="36"/>
      <c r="P83" s="36"/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03"/>
      <c r="F84" s="34"/>
      <c r="G84" s="35"/>
      <c r="H84" s="199"/>
      <c r="I84" s="36"/>
      <c r="J84" s="36"/>
      <c r="K84" s="37"/>
      <c r="L84" s="34"/>
      <c r="M84" s="35"/>
      <c r="N84" s="199"/>
      <c r="O84" s="36"/>
      <c r="P84" s="36"/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((B83*H29)+B81)*1.2</f>
        <v>49399.6913490363</v>
      </c>
      <c r="C85" s="36"/>
      <c r="D85" s="36"/>
      <c r="E85" s="303" t="n">
        <f aca="false">B85/(B58+B57)</f>
        <v>1372.21364858434</v>
      </c>
      <c r="F85" s="34"/>
      <c r="G85" s="221" t="s">
        <v>106</v>
      </c>
      <c r="H85" s="142" t="n">
        <f aca="false">((H83*H29)+H81)*1.2</f>
        <v>48442.5913490363</v>
      </c>
      <c r="I85" s="36"/>
      <c r="J85" s="36"/>
      <c r="K85" s="37"/>
      <c r="L85" s="34"/>
      <c r="M85" s="221" t="s">
        <v>106</v>
      </c>
      <c r="N85" s="142" t="n">
        <f aca="false">((N83*H29)+N81)</f>
        <v>40025.0761241969</v>
      </c>
      <c r="O85" s="36"/>
      <c r="P85" s="36"/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((((B83*H29)+B81))/(1-B70))*B70</f>
        <v>348.727147482104</v>
      </c>
      <c r="C86" s="36"/>
      <c r="D86" s="36"/>
      <c r="E86" s="303" t="n">
        <f aca="false">B86/(B58+B57)</f>
        <v>9.68686520783622</v>
      </c>
      <c r="F86" s="34"/>
      <c r="G86" s="35" t="s">
        <v>107</v>
      </c>
      <c r="H86" s="198" t="n">
        <f aca="false">((((H83*H29)+H81))/(1-H70))*H70</f>
        <v>341.970693266694</v>
      </c>
      <c r="I86" s="36"/>
      <c r="J86" s="36"/>
      <c r="K86" s="37"/>
      <c r="L86" s="34"/>
      <c r="M86" s="35" t="s">
        <v>107</v>
      </c>
      <c r="N86" s="198" t="n">
        <f aca="false">(N85/(1-N70))*N70</f>
        <v>339.058732798764</v>
      </c>
      <c r="O86" s="36"/>
      <c r="P86" s="36"/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IF(B110="YES",((B85+B86)-E114),(B85+B86))</f>
        <v>49748.4184965184</v>
      </c>
      <c r="C87" s="36"/>
      <c r="D87" s="36"/>
      <c r="E87" s="303" t="n">
        <f aca="false">E86+E85</f>
        <v>1381.90051379218</v>
      </c>
      <c r="F87" s="34"/>
      <c r="G87" s="218" t="s">
        <v>108</v>
      </c>
      <c r="H87" s="144" t="n">
        <f aca="false">IF(H110="YES",((H85+H86)-K114),(H85+H86))</f>
        <v>48784.562042303</v>
      </c>
      <c r="I87" s="36"/>
      <c r="J87" s="36"/>
      <c r="K87" s="37"/>
      <c r="L87" s="34"/>
      <c r="M87" s="218" t="s">
        <v>108</v>
      </c>
      <c r="N87" s="144" t="n">
        <f aca="false">IF(N110="YES",((N85+N86)-Q114),(N85+N86))</f>
        <v>40364.1348569957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5"/>
      <c r="N88" s="199"/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40" t="n">
        <f aca="false">IF(B99=Y98, (D40+(D40*B105))/(B58), (D40+(D40*B105))/(B57+B58))*1.2</f>
        <v>0</v>
      </c>
      <c r="C89" s="36"/>
      <c r="D89" s="36"/>
      <c r="E89" s="37"/>
      <c r="F89" s="34"/>
      <c r="G89" s="239" t="s">
        <v>109</v>
      </c>
      <c r="H89" s="240" t="n">
        <f aca="false">IF(H99=Y98, (D40+(D40*H105))/(H58), (D40+(D40*H105))/(H57+H58))*1.2</f>
        <v>0</v>
      </c>
      <c r="I89" s="36"/>
      <c r="J89" s="36"/>
      <c r="K89" s="37"/>
      <c r="L89" s="34"/>
      <c r="M89" s="239" t="s">
        <v>109</v>
      </c>
      <c r="N89" s="240" t="n">
        <f aca="false">IF(N99=Y98, (D40+(D40*N105))/(N58), (D40+(D40*N105))/(N57+N58))</f>
        <v>0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IF(B99=Y98, (B87-D105)/(B58), B87/(B57+B58))</f>
        <v>1381.90051379218</v>
      </c>
      <c r="C90" s="36"/>
      <c r="D90" s="36"/>
      <c r="E90" s="37"/>
      <c r="F90" s="34"/>
      <c r="G90" s="244" t="s">
        <v>110</v>
      </c>
      <c r="H90" s="245" t="n">
        <f aca="false">IF(H99=Y98, (H87-J105)/(H58), H87/(H57+H58))</f>
        <v>1189.86736688544</v>
      </c>
      <c r="I90" s="36"/>
      <c r="J90" s="36"/>
      <c r="K90" s="37"/>
      <c r="L90" s="34"/>
      <c r="M90" s="244" t="s">
        <v>110</v>
      </c>
      <c r="N90" s="245" t="n">
        <f aca="false">IF(N99=Y98, (N87-P105)/(N58), N87/(N57+N58))</f>
        <v>984.491094073066</v>
      </c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1381.90051379218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1189.86736688544</v>
      </c>
      <c r="I91" s="36"/>
      <c r="J91" s="36"/>
      <c r="K91" s="37"/>
      <c r="L91" s="34"/>
      <c r="M91" s="246" t="s">
        <v>62</v>
      </c>
      <c r="N91" s="247" t="n">
        <f aca="false">IF(M105="YES", N90+N89, N90)</f>
        <v>984.491094073066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218"/>
      <c r="N92" s="219"/>
      <c r="O92" s="219"/>
      <c r="P92" s="219"/>
      <c r="Q92" s="220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6"/>
      <c r="N93" s="36"/>
      <c r="O93" s="36"/>
      <c r="P93" s="36"/>
      <c r="Q93" s="36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56.25" hidden="false" customHeight="true" outlineLevel="0" collapsed="false">
      <c r="A94" s="33" t="s">
        <v>189</v>
      </c>
      <c r="B94" s="33"/>
      <c r="C94" s="33"/>
      <c r="D94" s="33"/>
      <c r="E94" s="33"/>
      <c r="F94" s="34"/>
      <c r="G94" s="33" t="s">
        <v>189</v>
      </c>
      <c r="H94" s="33"/>
      <c r="I94" s="33"/>
      <c r="J94" s="33"/>
      <c r="K94" s="33"/>
      <c r="L94" s="34"/>
      <c r="M94" s="33" t="s">
        <v>188</v>
      </c>
      <c r="N94" s="33"/>
      <c r="O94" s="33"/>
      <c r="P94" s="33"/>
      <c r="Q94" s="33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5"/>
      <c r="N95" s="36"/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8" t="s">
        <v>112</v>
      </c>
      <c r="N96" s="38"/>
      <c r="O96" s="38"/>
      <c r="P96" s="38"/>
      <c r="Q96" s="38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5"/>
      <c r="N97" s="36"/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 t="s">
        <v>42</v>
      </c>
      <c r="Z97" s="34"/>
      <c r="AC97" s="301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190</v>
      </c>
      <c r="E98" s="37"/>
      <c r="F98" s="34"/>
      <c r="G98" s="35" t="s">
        <v>113</v>
      </c>
      <c r="H98" s="36" t="s">
        <v>38</v>
      </c>
      <c r="I98" s="36"/>
      <c r="J98" s="36" t="s">
        <v>190</v>
      </c>
      <c r="K98" s="37"/>
      <c r="L98" s="34"/>
      <c r="M98" s="35" t="s">
        <v>113</v>
      </c>
      <c r="N98" s="36" t="s">
        <v>38</v>
      </c>
      <c r="O98" s="36"/>
      <c r="P98" s="36" t="s">
        <v>190</v>
      </c>
      <c r="Q98" s="37"/>
      <c r="R98" s="34"/>
      <c r="S98" s="34"/>
      <c r="T98" s="34"/>
      <c r="U98" s="34"/>
      <c r="V98" s="34"/>
      <c r="W98" s="34"/>
      <c r="X98" s="34"/>
      <c r="Y98" s="34" t="s">
        <v>115</v>
      </c>
      <c r="Z98" s="34"/>
    </row>
    <row r="99" customFormat="false" ht="18.75" hidden="false" customHeight="true" outlineLevel="0" collapsed="false">
      <c r="A99" s="41" t="s">
        <v>192</v>
      </c>
      <c r="B99" s="249" t="s">
        <v>191</v>
      </c>
      <c r="C99" s="249"/>
      <c r="D99" s="124" t="n">
        <v>1000</v>
      </c>
      <c r="E99" s="124"/>
      <c r="F99" s="34"/>
      <c r="G99" s="41" t="s">
        <v>192</v>
      </c>
      <c r="H99" s="249" t="s">
        <v>118</v>
      </c>
      <c r="I99" s="249"/>
      <c r="J99" s="124" t="n">
        <v>0</v>
      </c>
      <c r="K99" s="124"/>
      <c r="L99" s="34"/>
      <c r="M99" s="41" t="s">
        <v>192</v>
      </c>
      <c r="N99" s="249" t="s">
        <v>118</v>
      </c>
      <c r="O99" s="249"/>
      <c r="P99" s="124" t="n">
        <v>0</v>
      </c>
      <c r="Q99" s="124"/>
      <c r="R99" s="34"/>
      <c r="S99" s="34"/>
      <c r="T99" s="34"/>
      <c r="U99" s="34"/>
      <c r="V99" s="34"/>
      <c r="W99" s="34"/>
      <c r="X99" s="34"/>
      <c r="Y99" s="34" t="s">
        <v>117</v>
      </c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5"/>
      <c r="N100" s="36"/>
      <c r="O100" s="36"/>
      <c r="P100" s="36"/>
      <c r="Q100" s="37"/>
      <c r="R100" s="34"/>
      <c r="S100" s="34"/>
      <c r="T100" s="34"/>
      <c r="U100" s="34"/>
      <c r="V100" s="34"/>
      <c r="W100" s="34"/>
      <c r="X100" s="34"/>
      <c r="Y100" s="34" t="s">
        <v>118</v>
      </c>
      <c r="Z100" s="34"/>
    </row>
    <row r="101" customFormat="false" ht="18.75" hidden="false" customHeight="true" outlineLevel="0" collapsed="false">
      <c r="A101" s="35" t="s">
        <v>193</v>
      </c>
      <c r="B101" s="36" t="s">
        <v>194</v>
      </c>
      <c r="C101" s="36"/>
      <c r="D101" s="36" t="s">
        <v>195</v>
      </c>
      <c r="E101" s="37"/>
      <c r="F101" s="34"/>
      <c r="G101" s="35" t="s">
        <v>193</v>
      </c>
      <c r="H101" s="36" t="s">
        <v>194</v>
      </c>
      <c r="I101" s="36"/>
      <c r="J101" s="36" t="s">
        <v>195</v>
      </c>
      <c r="K101" s="37"/>
      <c r="L101" s="34"/>
      <c r="M101" s="35" t="s">
        <v>193</v>
      </c>
      <c r="N101" s="36" t="s">
        <v>194</v>
      </c>
      <c r="O101" s="36"/>
      <c r="P101" s="36" t="s">
        <v>195</v>
      </c>
      <c r="Q101" s="37"/>
      <c r="R101" s="34"/>
      <c r="S101" s="34"/>
      <c r="T101" s="34"/>
      <c r="U101" s="34"/>
      <c r="V101" s="34"/>
      <c r="W101" s="34"/>
      <c r="X101" s="34"/>
      <c r="Y101" s="34" t="s">
        <v>122</v>
      </c>
      <c r="Z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v>199.99</v>
      </c>
      <c r="H102" s="124" t="n">
        <v>0</v>
      </c>
      <c r="I102" s="124"/>
      <c r="J102" s="124" t="n">
        <v>0</v>
      </c>
      <c r="K102" s="124"/>
      <c r="L102" s="34"/>
      <c r="M102" s="251" t="n">
        <v>199.99</v>
      </c>
      <c r="N102" s="124" t="n">
        <v>0</v>
      </c>
      <c r="O102" s="124"/>
      <c r="P102" s="124" t="n">
        <v>0</v>
      </c>
      <c r="Q102" s="124"/>
      <c r="R102" s="34"/>
      <c r="S102" s="34"/>
      <c r="T102" s="34"/>
      <c r="U102" s="34"/>
      <c r="V102" s="34"/>
      <c r="W102" s="34"/>
      <c r="X102" s="34"/>
      <c r="Y102" s="34" t="s">
        <v>124</v>
      </c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 t="s">
        <v>126</v>
      </c>
      <c r="Z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41" t="s">
        <v>114</v>
      </c>
      <c r="N104" s="34" t="s">
        <v>119</v>
      </c>
      <c r="O104" s="36"/>
      <c r="P104" s="36" t="s">
        <v>134</v>
      </c>
      <c r="Q104" s="37"/>
      <c r="R104" s="34"/>
      <c r="S104" s="34"/>
      <c r="T104" s="34"/>
      <c r="U104" s="34"/>
      <c r="V104" s="34"/>
      <c r="W104" s="34"/>
      <c r="X104" s="34"/>
      <c r="Y104" s="34" t="s">
        <v>131</v>
      </c>
      <c r="Z104" s="34"/>
    </row>
    <row r="105" customFormat="false" ht="18.75" hidden="false" customHeight="true" outlineLevel="0" collapsed="false">
      <c r="A105" s="43" t="s">
        <v>26</v>
      </c>
      <c r="B105" s="252" t="n">
        <v>0</v>
      </c>
      <c r="C105" s="252"/>
      <c r="D105" s="124" t="s">
        <v>196</v>
      </c>
      <c r="E105" s="124"/>
      <c r="F105" s="34"/>
      <c r="G105" s="43" t="s">
        <v>25</v>
      </c>
      <c r="H105" s="252" t="n">
        <v>0.2</v>
      </c>
      <c r="I105" s="252"/>
      <c r="J105" s="124"/>
      <c r="K105" s="124"/>
      <c r="L105" s="34"/>
      <c r="M105" s="43" t="s">
        <v>25</v>
      </c>
      <c r="N105" s="252" t="n">
        <v>0.2</v>
      </c>
      <c r="O105" s="252"/>
      <c r="P105" s="124" t="n">
        <v>0</v>
      </c>
      <c r="Q105" s="124"/>
      <c r="R105" s="34"/>
      <c r="S105" s="34"/>
      <c r="T105" s="34"/>
      <c r="U105" s="34"/>
      <c r="V105" s="34"/>
      <c r="W105" s="34"/>
      <c r="X105" s="34"/>
      <c r="Y105" s="34" t="s">
        <v>132</v>
      </c>
      <c r="Z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5"/>
      <c r="N107" s="36" t="s">
        <v>198</v>
      </c>
      <c r="O107" s="43" t="s">
        <v>25</v>
      </c>
      <c r="P107" s="36"/>
      <c r="Q107" s="37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8.75" hidden="false" customHeight="true" outlineLevel="0" collapsed="false">
      <c r="A108" s="38" t="s">
        <v>199</v>
      </c>
      <c r="B108" s="38"/>
      <c r="C108" s="38"/>
      <c r="D108" s="38"/>
      <c r="E108" s="38"/>
      <c r="F108" s="34"/>
      <c r="G108" s="38" t="s">
        <v>199</v>
      </c>
      <c r="H108" s="38"/>
      <c r="I108" s="38"/>
      <c r="J108" s="38"/>
      <c r="K108" s="38"/>
      <c r="L108" s="34"/>
      <c r="M108" s="38" t="s">
        <v>199</v>
      </c>
      <c r="N108" s="38"/>
      <c r="O108" s="38"/>
      <c r="P108" s="38"/>
      <c r="Q108" s="38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8.75" hidden="false" customHeight="true" outlineLevel="0" collapsed="false">
      <c r="A110" s="35" t="s">
        <v>200</v>
      </c>
      <c r="B110" s="43" t="s">
        <v>26</v>
      </c>
      <c r="C110" s="36"/>
      <c r="D110" s="36"/>
      <c r="E110" s="37"/>
      <c r="F110" s="34"/>
      <c r="G110" s="35" t="s">
        <v>200</v>
      </c>
      <c r="H110" s="43" t="s">
        <v>26</v>
      </c>
      <c r="I110" s="36"/>
      <c r="J110" s="36"/>
      <c r="K110" s="37"/>
      <c r="L110" s="34"/>
      <c r="M110" s="35" t="s">
        <v>200</v>
      </c>
      <c r="N110" s="43" t="s">
        <v>26</v>
      </c>
      <c r="O110" s="36"/>
      <c r="P110" s="36"/>
      <c r="Q110" s="37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5"/>
      <c r="N111" s="36"/>
      <c r="O111" s="36"/>
      <c r="P111" s="36"/>
      <c r="Q111" s="37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0</v>
      </c>
      <c r="E112" s="124" t="n">
        <v>0</v>
      </c>
      <c r="F112" s="34"/>
      <c r="G112" s="35" t="s">
        <v>148</v>
      </c>
      <c r="H112" s="36"/>
      <c r="I112" s="36"/>
      <c r="J112" s="251" t="n">
        <v>0</v>
      </c>
      <c r="K112" s="124" t="n">
        <v>0</v>
      </c>
      <c r="L112" s="34"/>
      <c r="M112" s="35" t="s">
        <v>148</v>
      </c>
      <c r="N112" s="36"/>
      <c r="O112" s="36"/>
      <c r="P112" s="251" t="n">
        <v>500</v>
      </c>
      <c r="Q112" s="124" t="n">
        <v>300</v>
      </c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0</v>
      </c>
      <c r="E113" s="124" t="n">
        <v>0</v>
      </c>
      <c r="F113" s="34"/>
      <c r="G113" s="35" t="s">
        <v>149</v>
      </c>
      <c r="H113" s="36"/>
      <c r="I113" s="36"/>
      <c r="J113" s="26" t="n">
        <f aca="false">K113</f>
        <v>0</v>
      </c>
      <c r="K113" s="124" t="n">
        <v>0</v>
      </c>
      <c r="L113" s="34"/>
      <c r="M113" s="35" t="s">
        <v>149</v>
      </c>
      <c r="N113" s="36"/>
      <c r="O113" s="36"/>
      <c r="P113" s="26" t="n">
        <f aca="false">Q113</f>
        <v>100</v>
      </c>
      <c r="Q113" s="124" t="n">
        <v>100</v>
      </c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0</v>
      </c>
      <c r="E114" s="164" t="n">
        <f aca="false">E112-E113</f>
        <v>0</v>
      </c>
      <c r="F114" s="34"/>
      <c r="G114" s="35" t="s">
        <v>150</v>
      </c>
      <c r="H114" s="36"/>
      <c r="I114" s="36"/>
      <c r="J114" s="26" t="n">
        <f aca="false">J112-J113</f>
        <v>0</v>
      </c>
      <c r="K114" s="164" t="n">
        <f aca="false">K112-K113</f>
        <v>0</v>
      </c>
      <c r="L114" s="34"/>
      <c r="M114" s="35" t="s">
        <v>150</v>
      </c>
      <c r="N114" s="36"/>
      <c r="O114" s="36"/>
      <c r="P114" s="26" t="n">
        <f aca="false">P112-P113</f>
        <v>400</v>
      </c>
      <c r="Q114" s="164" t="n">
        <f aca="false">Q112-Q113</f>
        <v>200</v>
      </c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0</v>
      </c>
      <c r="E115" s="37"/>
      <c r="F115" s="34"/>
      <c r="G115" s="35" t="s">
        <v>151</v>
      </c>
      <c r="H115" s="36"/>
      <c r="I115" s="36"/>
      <c r="J115" s="26" t="n">
        <f aca="false">J114-K114</f>
        <v>0</v>
      </c>
      <c r="K115" s="37"/>
      <c r="L115" s="34"/>
      <c r="M115" s="35" t="s">
        <v>151</v>
      </c>
      <c r="N115" s="36"/>
      <c r="O115" s="36"/>
      <c r="P115" s="26" t="n">
        <f aca="false">P114-Q114</f>
        <v>200</v>
      </c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5"/>
      <c r="N116" s="36"/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221" t="s">
        <v>129</v>
      </c>
      <c r="N117" s="222"/>
      <c r="O117" s="222"/>
      <c r="P117" s="222"/>
      <c r="Q117" s="142" t="n">
        <f aca="false">P99</f>
        <v>0</v>
      </c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199.99</v>
      </c>
      <c r="L118" s="34"/>
      <c r="M118" s="35" t="s">
        <v>154</v>
      </c>
      <c r="N118" s="36"/>
      <c r="O118" s="36"/>
      <c r="P118" s="36"/>
      <c r="Q118" s="198" t="n">
        <f aca="false">M102</f>
        <v>199.99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201</v>
      </c>
      <c r="B119" s="219"/>
      <c r="C119" s="219"/>
      <c r="D119" s="219"/>
      <c r="E119" s="144" t="n">
        <f aca="false">((E118/1.2)+E117)-(D115-E113)</f>
        <v>1166.65833333333</v>
      </c>
      <c r="F119" s="34"/>
      <c r="G119" s="253" t="s">
        <v>201</v>
      </c>
      <c r="H119" s="219"/>
      <c r="I119" s="219"/>
      <c r="J119" s="219"/>
      <c r="K119" s="144" t="n">
        <f aca="false">((K118/1.2)+K117)-(J115-K113)</f>
        <v>166.658333333333</v>
      </c>
      <c r="L119" s="34"/>
      <c r="M119" s="253" t="s">
        <v>201</v>
      </c>
      <c r="N119" s="219"/>
      <c r="O119" s="219"/>
      <c r="P119" s="219"/>
      <c r="Q119" s="144" t="n">
        <f aca="false">(Q118+Q117)-P115</f>
        <v>-0.00999999999999091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5"/>
      <c r="N120" s="36"/>
      <c r="O120" s="36"/>
      <c r="P120" s="36"/>
      <c r="Q120" s="37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5"/>
      <c r="N121" s="36"/>
      <c r="O121" s="36"/>
      <c r="P121" s="36"/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202</v>
      </c>
      <c r="B122" s="38"/>
      <c r="C122" s="38"/>
      <c r="D122" s="38"/>
      <c r="E122" s="38"/>
      <c r="F122" s="34"/>
      <c r="G122" s="38" t="s">
        <v>202</v>
      </c>
      <c r="H122" s="38"/>
      <c r="I122" s="38"/>
      <c r="J122" s="38"/>
      <c r="K122" s="38"/>
      <c r="L122" s="34"/>
      <c r="M122" s="38" t="s">
        <v>202</v>
      </c>
      <c r="N122" s="38"/>
      <c r="O122" s="38"/>
      <c r="P122" s="38"/>
      <c r="Q122" s="38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5"/>
      <c r="N123" s="36"/>
      <c r="O123" s="36"/>
      <c r="P123" s="36"/>
      <c r="Q123" s="37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5" t="s">
        <v>156</v>
      </c>
      <c r="N124" s="169" t="n">
        <v>0</v>
      </c>
      <c r="O124" s="169"/>
      <c r="P124" s="36"/>
      <c r="Q124" s="37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5"/>
      <c r="N125" s="36"/>
      <c r="O125" s="36"/>
      <c r="P125" s="36"/>
      <c r="Q125" s="37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254" t="s">
        <v>204</v>
      </c>
      <c r="B126" s="255" t="s">
        <v>205</v>
      </c>
      <c r="C126" s="255"/>
      <c r="D126" s="255" t="s">
        <v>206</v>
      </c>
      <c r="E126" s="37"/>
      <c r="F126" s="34"/>
      <c r="G126" s="254" t="s">
        <v>204</v>
      </c>
      <c r="H126" s="255" t="s">
        <v>205</v>
      </c>
      <c r="I126" s="255"/>
      <c r="J126" s="255" t="s">
        <v>206</v>
      </c>
      <c r="K126" s="37"/>
      <c r="L126" s="34"/>
      <c r="M126" s="254" t="s">
        <v>203</v>
      </c>
      <c r="N126" s="255" t="s">
        <v>61</v>
      </c>
      <c r="O126" s="255"/>
      <c r="P126" s="255" t="s">
        <v>62</v>
      </c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256" t="n">
        <f aca="false">B90</f>
        <v>1381.90051379218</v>
      </c>
      <c r="B127" s="173" t="n">
        <f aca="false">IF(A105="YES", B89*B57, 0)</f>
        <v>0</v>
      </c>
      <c r="C127" s="173"/>
      <c r="D127" s="257" t="n">
        <f aca="false">B91</f>
        <v>1381.90051379218</v>
      </c>
      <c r="E127" s="37"/>
      <c r="F127" s="34"/>
      <c r="G127" s="256" t="n">
        <f aca="false">H90</f>
        <v>1189.86736688544</v>
      </c>
      <c r="H127" s="173" t="n">
        <f aca="false">IF(G105="YES", H89*H57, 0)</f>
        <v>0</v>
      </c>
      <c r="I127" s="173"/>
      <c r="J127" s="257" t="n">
        <f aca="false">H91</f>
        <v>1189.86736688544</v>
      </c>
      <c r="K127" s="37"/>
      <c r="L127" s="34"/>
      <c r="M127" s="256" t="n">
        <f aca="false">N90</f>
        <v>984.491094073066</v>
      </c>
      <c r="N127" s="173" t="n">
        <f aca="false">IF(M105="YES", N89*N57, 0)</f>
        <v>0</v>
      </c>
      <c r="O127" s="173"/>
      <c r="P127" s="173" t="n">
        <f aca="false">N91</f>
        <v>984.491094073066</v>
      </c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5"/>
      <c r="N128" s="36"/>
      <c r="O128" s="36"/>
      <c r="P128" s="36"/>
      <c r="Q128" s="37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 t="s">
        <v>76</v>
      </c>
      <c r="B129" s="36" t="s">
        <v>77</v>
      </c>
      <c r="C129" s="36"/>
      <c r="D129" s="36" t="s">
        <v>34</v>
      </c>
      <c r="E129" s="37"/>
      <c r="F129" s="34"/>
      <c r="G129" s="35" t="s">
        <v>76</v>
      </c>
      <c r="H129" s="36" t="s">
        <v>77</v>
      </c>
      <c r="I129" s="36"/>
      <c r="J129" s="36" t="s">
        <v>34</v>
      </c>
      <c r="K129" s="37"/>
      <c r="L129" s="34"/>
      <c r="M129" s="35" t="s">
        <v>76</v>
      </c>
      <c r="N129" s="36" t="s">
        <v>77</v>
      </c>
      <c r="O129" s="36"/>
      <c r="P129" s="36" t="s">
        <v>34</v>
      </c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51" t="n">
        <f aca="false">A152</f>
        <v>36</v>
      </c>
      <c r="B130" s="52" t="n">
        <f aca="false">B151</f>
        <v>10000</v>
      </c>
      <c r="C130" s="53"/>
      <c r="D130" s="52" t="n">
        <f aca="false">B58</f>
        <v>27</v>
      </c>
      <c r="E130" s="37"/>
      <c r="F130" s="34"/>
      <c r="G130" s="51" t="n">
        <f aca="false">G152</f>
        <v>36</v>
      </c>
      <c r="H130" s="52" t="n">
        <f aca="false">B151</f>
        <v>10000</v>
      </c>
      <c r="I130" s="53"/>
      <c r="J130" s="52" t="n">
        <f aca="false">B58</f>
        <v>27</v>
      </c>
      <c r="K130" s="37"/>
      <c r="L130" s="34"/>
      <c r="M130" s="51" t="n">
        <f aca="false">M155</f>
        <v>36</v>
      </c>
      <c r="N130" s="52" t="n">
        <f aca="false">B151</f>
        <v>10000</v>
      </c>
      <c r="O130" s="53"/>
      <c r="P130" s="52" t="n">
        <f aca="false">B58</f>
        <v>27</v>
      </c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208</v>
      </c>
      <c r="B132" s="36" t="s">
        <v>209</v>
      </c>
      <c r="C132" s="36"/>
      <c r="D132" s="36" t="s">
        <v>210</v>
      </c>
      <c r="E132" s="37"/>
      <c r="F132" s="34"/>
      <c r="G132" s="35" t="s">
        <v>208</v>
      </c>
      <c r="H132" s="36" t="s">
        <v>209</v>
      </c>
      <c r="I132" s="36"/>
      <c r="J132" s="36" t="s">
        <v>210</v>
      </c>
      <c r="K132" s="37"/>
      <c r="L132" s="34"/>
      <c r="M132" s="35" t="s">
        <v>207</v>
      </c>
      <c r="N132" s="36" t="s">
        <v>40</v>
      </c>
      <c r="O132" s="36"/>
      <c r="P132" s="36" t="s">
        <v>47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12437.1046241296</v>
      </c>
      <c r="B133" s="23" t="n">
        <f aca="false">IF(A105="YES", B89*B57, 0)</f>
        <v>0</v>
      </c>
      <c r="C133" s="42"/>
      <c r="D133" s="70" t="n">
        <f aca="false">B91*B57</f>
        <v>12437.1046241296</v>
      </c>
      <c r="E133" s="37"/>
      <c r="F133" s="34"/>
      <c r="G133" s="178" t="n">
        <f aca="false">H90*H57</f>
        <v>7139.20420131264</v>
      </c>
      <c r="H133" s="23" t="n">
        <f aca="false">IF(G105="YES", H89*H57, 0)</f>
        <v>0</v>
      </c>
      <c r="I133" s="42"/>
      <c r="J133" s="70" t="n">
        <f aca="false">H91*H57</f>
        <v>7139.20420131264</v>
      </c>
      <c r="K133" s="37"/>
      <c r="L133" s="34"/>
      <c r="M133" s="178" t="n">
        <f aca="false">N90*N57</f>
        <v>5906.94656443839</v>
      </c>
      <c r="N133" s="23" t="n">
        <f aca="false">IF(M105="YES", N89*N57, 0)</f>
        <v>0</v>
      </c>
      <c r="O133" s="42"/>
      <c r="P133" s="70" t="n">
        <f aca="false">N91*N57</f>
        <v>5906.94656443839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211</v>
      </c>
      <c r="B135" s="36" t="s">
        <v>212</v>
      </c>
      <c r="C135" s="36"/>
      <c r="D135" s="36" t="s">
        <v>213</v>
      </c>
      <c r="E135" s="37"/>
      <c r="F135" s="34"/>
      <c r="G135" s="35" t="s">
        <v>211</v>
      </c>
      <c r="H135" s="36" t="s">
        <v>212</v>
      </c>
      <c r="I135" s="36"/>
      <c r="J135" s="36" t="s">
        <v>213</v>
      </c>
      <c r="K135" s="37"/>
      <c r="L135" s="34"/>
      <c r="M135" s="35" t="s">
        <v>66</v>
      </c>
      <c r="N135" s="36" t="s">
        <v>67</v>
      </c>
      <c r="O135" s="36"/>
      <c r="P135" s="36" t="s">
        <v>72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</v>
      </c>
      <c r="C136" s="23"/>
      <c r="D136" s="23" t="n">
        <f aca="false">A136+B136</f>
        <v>0.35115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22" t="n">
        <f aca="false">E15*0.000006</f>
        <v>0.35115</v>
      </c>
      <c r="N136" s="23" t="n">
        <f aca="false">IF(M105="YES", E15*0.000002, 0)</f>
        <v>0.11705</v>
      </c>
      <c r="O136" s="23"/>
      <c r="P136" s="23" t="n">
        <f aca="false">M136+N136</f>
        <v>0.4682</v>
      </c>
      <c r="Q136" s="180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216</v>
      </c>
      <c r="B138" s="36" t="s">
        <v>214</v>
      </c>
      <c r="C138" s="36"/>
      <c r="D138" s="36" t="s">
        <v>215</v>
      </c>
      <c r="E138" s="37"/>
      <c r="F138" s="34"/>
      <c r="G138" s="35" t="s">
        <v>216</v>
      </c>
      <c r="H138" s="36" t="s">
        <v>214</v>
      </c>
      <c r="I138" s="36"/>
      <c r="J138" s="36" t="s">
        <v>215</v>
      </c>
      <c r="K138" s="37"/>
      <c r="L138" s="34"/>
      <c r="M138" s="35" t="s">
        <v>65</v>
      </c>
      <c r="N138" s="36" t="s">
        <v>214</v>
      </c>
      <c r="O138" s="36"/>
      <c r="P138" s="36" t="s">
        <v>215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964.75</v>
      </c>
      <c r="C139" s="23"/>
      <c r="D139" s="23" t="n">
        <f aca="false">B102*0.9</f>
        <v>0</v>
      </c>
      <c r="E139" s="180"/>
      <c r="F139" s="34"/>
      <c r="G139" s="22" t="n">
        <f aca="false">G102</f>
        <v>199.99</v>
      </c>
      <c r="H139" s="23" t="n">
        <f aca="false">H67</f>
        <v>964.75</v>
      </c>
      <c r="I139" s="23"/>
      <c r="J139" s="23" t="n">
        <f aca="false">H102*0.9</f>
        <v>0</v>
      </c>
      <c r="K139" s="180"/>
      <c r="L139" s="34"/>
      <c r="M139" s="22" t="n">
        <f aca="false">M102</f>
        <v>199.99</v>
      </c>
      <c r="N139" s="23" t="n">
        <f aca="false">N67</f>
        <v>964.75</v>
      </c>
      <c r="O139" s="23"/>
      <c r="P139" s="23" t="n">
        <f aca="false">N102*0.9</f>
        <v>0</v>
      </c>
      <c r="Q139" s="180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217</v>
      </c>
      <c r="B141" s="36" t="s">
        <v>218</v>
      </c>
      <c r="C141" s="36"/>
      <c r="D141" s="36" t="s">
        <v>219</v>
      </c>
      <c r="E141" s="37"/>
      <c r="F141" s="34"/>
      <c r="G141" s="35" t="s">
        <v>217</v>
      </c>
      <c r="H141" s="36" t="s">
        <v>218</v>
      </c>
      <c r="I141" s="36"/>
      <c r="J141" s="36" t="s">
        <v>219</v>
      </c>
      <c r="K141" s="37"/>
      <c r="L141" s="34"/>
      <c r="M141" s="35" t="s">
        <v>217</v>
      </c>
      <c r="N141" s="36" t="s">
        <v>218</v>
      </c>
      <c r="O141" s="36"/>
      <c r="P141" s="36" t="s">
        <v>219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((B36*B105)*0.1)*(A130), 0)</f>
        <v>0</v>
      </c>
      <c r="B142" s="23" t="n">
        <f aca="false">A102-100</f>
        <v>99.99</v>
      </c>
      <c r="C142" s="23"/>
      <c r="D142" s="23" t="n">
        <f aca="false">(B139+D139+A142+B142)-B145</f>
        <v>1064.74</v>
      </c>
      <c r="E142" s="180"/>
      <c r="F142" s="34"/>
      <c r="G142" s="22" t="e">
        <f aca="false">IF(G105="YES", ((B36*H105)*0.1)*(G130), 0)</f>
        <v>#VALUE!</v>
      </c>
      <c r="H142" s="23" t="n">
        <f aca="false">G102-100</f>
        <v>99.99</v>
      </c>
      <c r="I142" s="23"/>
      <c r="J142" s="23" t="e">
        <f aca="false">(H139+J139+G142+H142)-H145</f>
        <v>#VALUE!</v>
      </c>
      <c r="K142" s="180"/>
      <c r="L142" s="34"/>
      <c r="M142" s="22" t="e">
        <f aca="false">IF(M105="YES", ((B36*N105)*0.1)*(M130), 0)</f>
        <v>#VALUE!</v>
      </c>
      <c r="N142" s="23" t="n">
        <f aca="false">M102-100</f>
        <v>99.99</v>
      </c>
      <c r="O142" s="23"/>
      <c r="P142" s="23" t="e">
        <f aca="false">(N139+P139+M142+N142)-N145</f>
        <v>#VALUE!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220</v>
      </c>
      <c r="B144" s="36" t="s">
        <v>221</v>
      </c>
      <c r="C144" s="36"/>
      <c r="D144" s="36"/>
      <c r="E144" s="37"/>
      <c r="F144" s="34"/>
      <c r="G144" s="35" t="s">
        <v>220</v>
      </c>
      <c r="H144" s="36" t="s">
        <v>221</v>
      </c>
      <c r="I144" s="36"/>
      <c r="J144" s="36"/>
      <c r="K144" s="37"/>
      <c r="L144" s="34"/>
      <c r="M144" s="35" t="s">
        <v>220</v>
      </c>
      <c r="N144" s="36" t="s">
        <v>221</v>
      </c>
      <c r="O144" s="36"/>
      <c r="P144" s="36"/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v>0</v>
      </c>
      <c r="B145" s="23" t="n">
        <f aca="false">(B139+D139+A142+B142)*(A145/B64)</f>
        <v>0</v>
      </c>
      <c r="C145" s="36"/>
      <c r="D145" s="36"/>
      <c r="E145" s="37"/>
      <c r="F145" s="34"/>
      <c r="G145" s="22" t="n">
        <v>0</v>
      </c>
      <c r="H145" s="23" t="e">
        <f aca="false">(H139+J139+G142+H142)*(G145/H64)</f>
        <v>#VALUE!</v>
      </c>
      <c r="I145" s="36"/>
      <c r="J145" s="36"/>
      <c r="K145" s="37"/>
      <c r="L145" s="34"/>
      <c r="M145" s="22" t="n">
        <v>0</v>
      </c>
      <c r="N145" s="23" t="e">
        <f aca="false">(N139+P139+M142+N142)*(M145/N64)</f>
        <v>#VALUE!</v>
      </c>
      <c r="O145" s="36"/>
      <c r="P145" s="36"/>
      <c r="Q145" s="37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22"/>
      <c r="N146" s="23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181" t="s">
        <v>222</v>
      </c>
      <c r="N147" s="26" t="s">
        <v>223</v>
      </c>
      <c r="O147" s="36"/>
      <c r="P147" s="36"/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224</v>
      </c>
      <c r="B148" s="36"/>
      <c r="C148" s="36"/>
      <c r="D148" s="215"/>
      <c r="E148" s="216"/>
      <c r="F148" s="34"/>
      <c r="G148" s="214" t="s">
        <v>224</v>
      </c>
      <c r="H148" s="36"/>
      <c r="I148" s="36"/>
      <c r="J148" s="215"/>
      <c r="K148" s="216"/>
      <c r="L148" s="34"/>
      <c r="M148" s="258" t="n">
        <v>18000</v>
      </c>
      <c r="N148" s="259" t="n">
        <v>0.99</v>
      </c>
      <c r="O148" s="259"/>
      <c r="P148" s="36"/>
      <c r="Q148" s="37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5"/>
      <c r="N150" s="36"/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10000</v>
      </c>
      <c r="C151" s="83"/>
      <c r="D151" s="36"/>
      <c r="E151" s="37"/>
      <c r="F151" s="34"/>
      <c r="G151" s="81"/>
      <c r="H151" s="83" t="n">
        <f aca="false">B51</f>
        <v>10000</v>
      </c>
      <c r="I151" s="83"/>
      <c r="J151" s="36"/>
      <c r="K151" s="37"/>
      <c r="L151" s="34"/>
      <c r="M151" s="214" t="s">
        <v>224</v>
      </c>
      <c r="N151" s="36"/>
      <c r="O151" s="36"/>
      <c r="P151" s="215"/>
      <c r="Q151" s="216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36</v>
      </c>
      <c r="B152" s="85" t="n">
        <f aca="false">B91</f>
        <v>1381.90051379218</v>
      </c>
      <c r="C152" s="85"/>
      <c r="D152" s="36"/>
      <c r="E152" s="37"/>
      <c r="F152" s="34"/>
      <c r="G152" s="84" t="n">
        <f aca="false">A52</f>
        <v>36</v>
      </c>
      <c r="H152" s="85" t="n">
        <f aca="false">H91</f>
        <v>1189.86736688544</v>
      </c>
      <c r="I152" s="85"/>
      <c r="J152" s="36"/>
      <c r="K152" s="37"/>
      <c r="L152" s="34"/>
      <c r="M152" s="35"/>
      <c r="N152" s="80"/>
      <c r="O152" s="80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81" t="s">
        <v>76</v>
      </c>
      <c r="N153" s="82" t="s">
        <v>77</v>
      </c>
      <c r="O153" s="82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81"/>
      <c r="N154" s="83" t="n">
        <f aca="false">B51</f>
        <v>10000</v>
      </c>
      <c r="O154" s="83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84" t="n">
        <f aca="false">A52</f>
        <v>36</v>
      </c>
      <c r="N155" s="85" t="n">
        <f aca="false">N91</f>
        <v>984.491094073066</v>
      </c>
      <c r="O155" s="85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5"/>
      <c r="N157" s="36"/>
      <c r="O157" s="36"/>
      <c r="P157" s="36"/>
      <c r="Q157" s="37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6"/>
      <c r="O158" s="36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6"/>
      <c r="O159" s="36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6"/>
      <c r="O160" s="36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6"/>
      <c r="O161" s="36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218"/>
      <c r="N162" s="219"/>
      <c r="O162" s="219"/>
      <c r="P162" s="219"/>
      <c r="Q162" s="220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1" colorId="64" zoomScale="65" zoomScaleNormal="65" zoomScalePageLayoutView="100" workbookViewId="0">
      <selection pane="topLeft" activeCell="A126" activeCellId="0" sqref="A126"/>
    </sheetView>
  </sheetViews>
  <sheetFormatPr defaultColWidth="11.11718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285" t="n">
        <v>46854.17</v>
      </c>
      <c r="C3" s="194" t="n">
        <v>0</v>
      </c>
      <c r="D3" s="285" t="n">
        <v>833.33</v>
      </c>
      <c r="E3" s="195" t="n">
        <v>0</v>
      </c>
      <c r="F3" s="34"/>
      <c r="G3" s="34" t="n">
        <v>25000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0" t="n">
        <v>0</v>
      </c>
      <c r="C4" s="0" t="n">
        <v>0</v>
      </c>
      <c r="D4" s="0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286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287" t="n">
        <f aca="false">G9*100/B3</f>
        <v>-222.685622218897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88" t="n">
        <f aca="false">(B7+C7+D7+E3)</f>
        <v>47687.5</v>
      </c>
      <c r="F9" s="34"/>
      <c r="G9" s="286" t="n">
        <f aca="false">E9-G11</f>
        <v>-104337.5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28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 E9 + E10 ) * 0.2</f>
        <v>9647.5</v>
      </c>
      <c r="F11" s="34"/>
      <c r="G11" s="286" t="n">
        <f aca="false">G13/1.2</f>
        <v>152025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286" t="n">
        <f aca="false">G15-E14-E13-E12</f>
        <v>182430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89" t="n">
        <f aca="false">(E9+E10+E13+E14+E11) - E12</f>
        <v>58525</v>
      </c>
      <c r="F15" s="34"/>
      <c r="G15" s="204" t="n">
        <v>183070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290" t="n">
        <f aca="false">(B3+C3+E10)*1.2</f>
        <v>56885.004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 t="n">
        <v>0</v>
      </c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227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41" t="s">
        <v>114</v>
      </c>
      <c r="B26" s="43" t="s">
        <v>25</v>
      </c>
      <c r="C26" s="36"/>
      <c r="D26" s="36"/>
      <c r="E26" s="37"/>
      <c r="F26" s="34"/>
      <c r="G26" s="39" t="s">
        <v>38</v>
      </c>
      <c r="H26" s="39" t="s">
        <v>228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229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38" t="s">
        <v>155</v>
      </c>
      <c r="B28" s="38"/>
      <c r="C28" s="38"/>
      <c r="D28" s="38"/>
      <c r="E28" s="38"/>
      <c r="F28" s="34"/>
      <c r="G28" s="40" t="s">
        <v>230</v>
      </c>
      <c r="H28" s="4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35"/>
      <c r="B29" s="36"/>
      <c r="C29" s="36"/>
      <c r="D29" s="36"/>
      <c r="E29" s="37"/>
      <c r="F29" s="34"/>
      <c r="G29" s="39" t="s">
        <v>36</v>
      </c>
      <c r="H29" s="291" t="n">
        <v>36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 t="s">
        <v>156</v>
      </c>
      <c r="B30" s="169" t="s">
        <v>231</v>
      </c>
      <c r="C30" s="169"/>
      <c r="D30" s="36"/>
      <c r="E30" s="37"/>
      <c r="F30" s="34"/>
      <c r="G30" s="39" t="s">
        <v>37</v>
      </c>
      <c r="H30" s="291" t="n">
        <v>10000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35"/>
      <c r="B31" s="36"/>
      <c r="C31" s="36"/>
      <c r="D31" s="36"/>
      <c r="E31" s="37"/>
      <c r="F31" s="34"/>
      <c r="G31" s="39" t="s">
        <v>232</v>
      </c>
      <c r="H31" s="267" t="n">
        <v>27500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35" t="s">
        <v>76</v>
      </c>
      <c r="B32" s="36" t="s">
        <v>77</v>
      </c>
      <c r="C32" s="36"/>
      <c r="D32" s="292" t="s">
        <v>233</v>
      </c>
      <c r="E32" s="37"/>
      <c r="F32" s="34"/>
      <c r="G32" s="39" t="s">
        <v>234</v>
      </c>
      <c r="I32" s="267" t="n">
        <v>1030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31.6" hidden="false" customHeight="true" outlineLevel="0" collapsed="false">
      <c r="A33" s="51" t="n">
        <f aca="false">A52</f>
        <v>36</v>
      </c>
      <c r="B33" s="52" t="n">
        <v>10000</v>
      </c>
      <c r="C33" s="53"/>
      <c r="D33" s="293" t="n">
        <f aca="false">H48</f>
        <v>951.531975672137</v>
      </c>
      <c r="E33" s="37"/>
      <c r="F33" s="34"/>
      <c r="G33" s="40" t="s">
        <v>235</v>
      </c>
      <c r="H33" s="294" t="n">
        <f aca="false">E21-E11+((E16*20%)+(E19*20%)+(E20*20%))</f>
        <v>48877.5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35"/>
      <c r="B34" s="36"/>
      <c r="C34" s="36"/>
      <c r="D34" s="36"/>
      <c r="E34" s="37"/>
      <c r="F34" s="34"/>
      <c r="G34" s="34" t="s">
        <v>272</v>
      </c>
      <c r="H34" s="34" t="n">
        <f aca="false">H29</f>
        <v>36</v>
      </c>
      <c r="I34" s="34" t="n">
        <v>43957.29</v>
      </c>
      <c r="J34" s="34" t="n">
        <v>841.24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35" t="s">
        <v>236</v>
      </c>
      <c r="B35" s="36" t="s">
        <v>237</v>
      </c>
      <c r="C35" s="36"/>
      <c r="D35" s="36" t="s">
        <v>238</v>
      </c>
      <c r="E35" s="37"/>
      <c r="F35" s="34"/>
      <c r="G35" s="59" t="s">
        <v>239</v>
      </c>
      <c r="H35" s="60" t="n">
        <v>0.065</v>
      </c>
      <c r="I35" s="34" t="n">
        <v>46215.83</v>
      </c>
      <c r="J35" s="34" t="n">
        <v>909.69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178" t="n">
        <f aca="false">H47</f>
        <v>922.920864561026</v>
      </c>
      <c r="B36" s="23" t="n">
        <f aca="false">IF(B26="YES", H42, "")</f>
        <v>28.6111111111111</v>
      </c>
      <c r="C36" s="42"/>
      <c r="D36" s="70" t="n">
        <f aca="false">H31</f>
        <v>27500</v>
      </c>
      <c r="E36" s="37"/>
      <c r="F36" s="34"/>
      <c r="G36" s="34"/>
      <c r="H36" s="34"/>
      <c r="I36" s="34" t="n">
        <f aca="false">I35-I34</f>
        <v>2258.54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22"/>
      <c r="B37" s="23"/>
      <c r="C37" s="42"/>
      <c r="D37" s="23"/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35"/>
      <c r="B38" s="36"/>
      <c r="C38" s="36"/>
      <c r="D38" s="36"/>
      <c r="E38" s="37"/>
      <c r="F38" s="34"/>
      <c r="G38" s="74" t="s">
        <v>64</v>
      </c>
      <c r="H38" s="7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35" t="s">
        <v>241</v>
      </c>
      <c r="B39" s="36" t="s">
        <v>242</v>
      </c>
      <c r="C39" s="36"/>
      <c r="D39" s="36" t="s">
        <v>243</v>
      </c>
      <c r="E39" s="37"/>
      <c r="F39" s="34"/>
      <c r="G39" s="34" t="s">
        <v>30</v>
      </c>
      <c r="H39" s="67" t="n">
        <f aca="false">H33</f>
        <v>48877.5</v>
      </c>
      <c r="I39" s="67" t="n">
        <f aca="false">(I48*H46)+H44</f>
        <v>63509.8854689439</v>
      </c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124" t="n">
        <f aca="false">D36*A45/100</f>
        <v>27500</v>
      </c>
      <c r="B40" s="124" t="n">
        <f aca="false">IF(B26="YES",H42,"0")</f>
        <v>28.6111111111111</v>
      </c>
      <c r="C40" s="124"/>
      <c r="D40" s="70" t="n">
        <f aca="false">I32</f>
        <v>1030</v>
      </c>
      <c r="E40" s="37"/>
      <c r="F40" s="34"/>
      <c r="G40" s="34" t="s">
        <v>98</v>
      </c>
      <c r="H40" s="67" t="n">
        <f aca="false">(A40)/1.2</f>
        <v>22916.6666666667</v>
      </c>
      <c r="I40" s="67" t="n">
        <f aca="false">H39-I39</f>
        <v>-14632.3854689439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35"/>
      <c r="B41" s="36"/>
      <c r="C41" s="36"/>
      <c r="D41" s="36"/>
      <c r="E41" s="37"/>
      <c r="F41" s="34"/>
      <c r="G41" s="34" t="s">
        <v>244</v>
      </c>
      <c r="H41" s="72" t="n">
        <f aca="false">H35/12</f>
        <v>0.00541666666666667</v>
      </c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35"/>
      <c r="B42" s="36"/>
      <c r="C42" s="36"/>
      <c r="D42" s="36"/>
      <c r="E42" s="37"/>
      <c r="F42" s="34"/>
      <c r="G42" s="34" t="s">
        <v>245</v>
      </c>
      <c r="H42" s="67" t="n">
        <f aca="false">(I32/H34)*(C45/100)</f>
        <v>28.6111111111111</v>
      </c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221"/>
      <c r="B43" s="222"/>
      <c r="C43" s="222"/>
      <c r="D43" s="222"/>
      <c r="E43" s="223"/>
      <c r="F43" s="34"/>
      <c r="G43" s="34" t="s">
        <v>246</v>
      </c>
      <c r="H43" s="34"/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295" t="s">
        <v>247</v>
      </c>
      <c r="B44" s="36"/>
      <c r="C44" s="296" t="s">
        <v>248</v>
      </c>
      <c r="D44" s="296"/>
      <c r="E44" s="37"/>
      <c r="F44" s="34"/>
      <c r="G44" s="34" t="s">
        <v>273</v>
      </c>
      <c r="H44" s="67" t="n">
        <f aca="false">(H40/(1+H41)^(H34+1))</f>
        <v>18764.9097705681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297" t="s">
        <v>250</v>
      </c>
      <c r="B45" s="36"/>
      <c r="C45" s="298" t="s">
        <v>250</v>
      </c>
      <c r="D45" s="298"/>
      <c r="E45" s="37"/>
      <c r="F45" s="34"/>
      <c r="G45" s="34" t="s">
        <v>274</v>
      </c>
      <c r="H45" s="67" t="n">
        <f aca="false">(H39-H44)</f>
        <v>30112.5902294319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8"/>
      <c r="B46" s="219"/>
      <c r="C46" s="219"/>
      <c r="D46" s="219"/>
      <c r="E46" s="220"/>
      <c r="F46" s="34"/>
      <c r="G46" s="34" t="s">
        <v>275</v>
      </c>
      <c r="H46" s="67" t="n">
        <f aca="false">((1-(1/((1+H41)^H34)))/H41)</f>
        <v>32.627488862498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35"/>
      <c r="B47" s="36"/>
      <c r="C47" s="36"/>
      <c r="D47" s="36"/>
      <c r="E47" s="37"/>
      <c r="F47" s="34"/>
      <c r="G47" s="34" t="s">
        <v>253</v>
      </c>
      <c r="H47" s="67" t="n">
        <f aca="false">H45/H46</f>
        <v>922.920864561026</v>
      </c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254</v>
      </c>
      <c r="B48" s="36"/>
      <c r="C48" s="36"/>
      <c r="D48" s="215"/>
      <c r="E48" s="216"/>
      <c r="F48" s="34"/>
      <c r="G48" s="299" t="s">
        <v>255</v>
      </c>
      <c r="H48" s="67" t="n">
        <f aca="false">IF(B26="YES", H47+H42, H47)</f>
        <v>951.531975672137</v>
      </c>
      <c r="I48" s="67" t="n">
        <f aca="false">I49-H42</f>
        <v>1371.38888888889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 t="s">
        <v>256</v>
      </c>
      <c r="H49" s="217"/>
      <c r="I49" s="67" t="n">
        <v>1400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10000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36</v>
      </c>
      <c r="B52" s="85" t="n">
        <f aca="false">H48</f>
        <v>951.531975672137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6"/>
      <c r="N55" s="36"/>
      <c r="O55" s="36"/>
      <c r="P55" s="36"/>
      <c r="Q55" s="36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221"/>
      <c r="N56" s="222"/>
      <c r="O56" s="222"/>
      <c r="P56" s="222"/>
      <c r="Q56" s="223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IF(B99=Y97,1,IF(B99=Y98,1,IF(B99=Y99,3,IF(B99=Y100,6,IF(B99=Y101,9,IF(B99=Y102,12,IF(B99=Y103,3,IF(B99=Y104,6,IF(B99=Y105,9,0)))))))))</f>
        <v>12</v>
      </c>
      <c r="C57" s="36"/>
      <c r="D57" s="36"/>
      <c r="E57" s="37"/>
      <c r="F57" s="34"/>
      <c r="G57" s="35" t="s">
        <v>30</v>
      </c>
      <c r="H57" s="36" t="n">
        <f aca="false">IF(H99=Y97,1,IF(H99=Y98,1,IF(H99=Y99,3,IF(H99=Y100,6,IF(H99=Y101,9,IF(H99=Y102,12,IF(H99=Y103,3,IF(H99=Y104,6,IF(H99=Y105,9,0)))))))))</f>
        <v>6</v>
      </c>
      <c r="I57" s="36"/>
      <c r="J57" s="36"/>
      <c r="K57" s="37"/>
      <c r="L57" s="34"/>
      <c r="M57" s="35" t="s">
        <v>30</v>
      </c>
      <c r="N57" s="36" t="n">
        <f aca="false">IF(N99=Y97,1,IF(N99=Y98,1,IF(N99=Y99,3,IF(N99=Y100,6,IF(N99=Y101,9,IF(N99=Y102,12,IF(N99=Y103,3,IF(N99=Y104,6,IF(N99=Y105,9,0)))))))))</f>
        <v>6</v>
      </c>
      <c r="O57" s="36"/>
      <c r="P57" s="36"/>
      <c r="Q57" s="37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IF(B99=Y97,H29-B57,IF(B99=Y98,H29-B57,IF(B99=Y99,H29-1,IF(B99=Y100,H29-1,IF(B99=Y101,H29-1,IF(B99=Y102,H29-1,IF(B99=Y103,H29-B57,IF(B99=Y104,H29-B57,IF(B99=Y105,H29-B57,0)))))))))</f>
        <v>35</v>
      </c>
      <c r="C58" s="36"/>
      <c r="D58" s="36"/>
      <c r="E58" s="37"/>
      <c r="F58" s="34"/>
      <c r="G58" s="35" t="s">
        <v>34</v>
      </c>
      <c r="H58" s="36" t="n">
        <f aca="false">IF(H99=Y97,H29-H57,IF(H99=Y98,H29-H57,IF(H99=Y99,H29-1,IF(H99=Y100,H29-1,IF(H99=Y101,H29-1,IF(H99=Y102,H29-1,IF(H99=Y103,H29-H57,IF(H99=Y104,H29-H57,IF(H99=Y105,H29-H57,0)))))))))</f>
        <v>35</v>
      </c>
      <c r="I58" s="36"/>
      <c r="J58" s="36"/>
      <c r="K58" s="37"/>
      <c r="L58" s="34"/>
      <c r="M58" s="35" t="s">
        <v>34</v>
      </c>
      <c r="N58" s="36" t="n">
        <f aca="false">IF(N99=Y97,H29-N57,IF(N99=Y98,H29-N57,IF(N99=Y99,H29-1,IF(N99=Y100,H29-1,IF(N99=Y101,H29-1,IF(N99=Y102,H29-1,IF(N99=Y103,H29-N57,IF(N99=Y104,H29-N57,IF(N99=Y105,H29-N57,0)))))))))</f>
        <v>35</v>
      </c>
      <c r="O58" s="36"/>
      <c r="P58" s="36"/>
      <c r="Q58" s="37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5"/>
      <c r="N59" s="36"/>
      <c r="O59" s="36"/>
      <c r="P59" s="36"/>
      <c r="Q59" s="37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5"/>
      <c r="N60" s="36"/>
      <c r="O60" s="36"/>
      <c r="P60" s="36"/>
      <c r="Q60" s="37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5" t="s">
        <v>21</v>
      </c>
      <c r="N61" s="199" t="n">
        <f aca="false">G18</f>
        <v>57885</v>
      </c>
      <c r="O61" s="36"/>
      <c r="P61" s="36"/>
      <c r="Q61" s="37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180</v>
      </c>
      <c r="B62" s="225" t="n">
        <v>0.07</v>
      </c>
      <c r="C62" s="36"/>
      <c r="D62" s="36"/>
      <c r="E62" s="37"/>
      <c r="F62" s="34"/>
      <c r="G62" s="224" t="s">
        <v>180</v>
      </c>
      <c r="H62" s="225" t="n">
        <v>0.07</v>
      </c>
      <c r="I62" s="36"/>
      <c r="J62" s="36"/>
      <c r="K62" s="37"/>
      <c r="L62" s="34"/>
      <c r="M62" s="224" t="s">
        <v>180</v>
      </c>
      <c r="N62" s="225" t="n">
        <v>0.07</v>
      </c>
      <c r="O62" s="36"/>
      <c r="P62" s="36"/>
      <c r="Q62" s="37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181</v>
      </c>
      <c r="B63" s="197" t="n">
        <f aca="false">B62+(B62*0.25*((H29/12)-1))</f>
        <v>0.105</v>
      </c>
      <c r="C63" s="36"/>
      <c r="D63" s="36"/>
      <c r="E63" s="37"/>
      <c r="F63" s="34"/>
      <c r="G63" s="35" t="s">
        <v>181</v>
      </c>
      <c r="H63" s="197" t="n">
        <f aca="false">H62+(H62*0.25*(H29/12-1))</f>
        <v>0.105</v>
      </c>
      <c r="I63" s="36"/>
      <c r="J63" s="36"/>
      <c r="K63" s="37"/>
      <c r="L63" s="34"/>
      <c r="M63" s="35" t="s">
        <v>181</v>
      </c>
      <c r="N63" s="197" t="n">
        <f aca="false">N62+(N62*0.25*(H29/12-1))</f>
        <v>0.105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6077.925</v>
      </c>
      <c r="C64" s="304"/>
      <c r="D64" s="199" t="n">
        <f aca="false">B64</f>
        <v>6077.925</v>
      </c>
      <c r="E64" s="303" t="n">
        <f aca="false">D64/(B58+B57)</f>
        <v>129.317553191489</v>
      </c>
      <c r="F64" s="34"/>
      <c r="G64" s="218" t="s">
        <v>82</v>
      </c>
      <c r="H64" s="144" t="n">
        <f aca="false">H61*H63</f>
        <v>6077.925</v>
      </c>
      <c r="I64" s="36"/>
      <c r="J64" s="199" t="n">
        <f aca="false">H64-G145</f>
        <v>6077.925</v>
      </c>
      <c r="K64" s="37"/>
      <c r="L64" s="34"/>
      <c r="M64" s="218" t="s">
        <v>82</v>
      </c>
      <c r="N64" s="144" t="n">
        <f aca="false">N61*N63</f>
        <v>6077.925</v>
      </c>
      <c r="O64" s="36"/>
      <c r="P64" s="199" t="n">
        <f aca="false">N64-M145</f>
        <v>6077.925</v>
      </c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199"/>
      <c r="E65" s="37"/>
      <c r="F65" s="34"/>
      <c r="G65" s="224" t="s">
        <v>83</v>
      </c>
      <c r="H65" s="225" t="n">
        <v>0.01</v>
      </c>
      <c r="I65" s="36"/>
      <c r="J65" s="36"/>
      <c r="K65" s="37"/>
      <c r="L65" s="34"/>
      <c r="M65" s="224" t="s">
        <v>83</v>
      </c>
      <c r="N65" s="225" t="n">
        <v>0.01</v>
      </c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0.02</v>
      </c>
      <c r="C66" s="305"/>
      <c r="D66" s="36"/>
      <c r="E66" s="37"/>
      <c r="F66" s="34"/>
      <c r="G66" s="35" t="s">
        <v>84</v>
      </c>
      <c r="H66" s="197" t="n">
        <f aca="false">H65+(H65*0.5*(H29/12-1))</f>
        <v>0.02</v>
      </c>
      <c r="I66" s="36"/>
      <c r="J66" s="36"/>
      <c r="K66" s="37"/>
      <c r="L66" s="34"/>
      <c r="M66" s="35" t="s">
        <v>84</v>
      </c>
      <c r="N66" s="197" t="n">
        <f aca="false">N65+(N65*0.5*(H29/12-1))</f>
        <v>0.02</v>
      </c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(B61*B66)</f>
        <v>1157.7</v>
      </c>
      <c r="C67" s="306"/>
      <c r="D67" s="307"/>
      <c r="E67" s="37"/>
      <c r="F67" s="34"/>
      <c r="G67" s="218" t="s">
        <v>85</v>
      </c>
      <c r="H67" s="144" t="n">
        <f aca="false">(H61*H66)/1.2</f>
        <v>964.75</v>
      </c>
      <c r="I67" s="36"/>
      <c r="J67" s="199"/>
      <c r="K67" s="37"/>
      <c r="L67" s="34"/>
      <c r="M67" s="218" t="s">
        <v>85</v>
      </c>
      <c r="N67" s="144" t="n">
        <f aca="false">(N61*N66)/1.2</f>
        <v>964.75</v>
      </c>
      <c r="O67" s="36"/>
      <c r="P67" s="199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08"/>
      <c r="D68" s="199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224" t="s">
        <v>86</v>
      </c>
      <c r="N68" s="225" t="n">
        <v>0.0075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191" t="s">
        <v>87</v>
      </c>
      <c r="N69" s="226" t="n">
        <v>0.12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218" t="s">
        <v>88</v>
      </c>
      <c r="N70" s="300" t="n">
        <f aca="false">N68*(1+N69)</f>
        <v>0.0084</v>
      </c>
      <c r="O70" s="36"/>
      <c r="P70" s="36"/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224" t="s">
        <v>89</v>
      </c>
      <c r="N71" s="228" t="n">
        <v>160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191" t="s">
        <v>90</v>
      </c>
      <c r="N72" s="229" t="n">
        <v>4.5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180</v>
      </c>
      <c r="C73" s="36"/>
      <c r="D73" s="199" t="n">
        <f aca="false">B73+B71</f>
        <v>380</v>
      </c>
      <c r="E73" s="37"/>
      <c r="F73" s="34"/>
      <c r="G73" s="218" t="s">
        <v>91</v>
      </c>
      <c r="H73" s="144" t="n">
        <f aca="false">H72*H29</f>
        <v>162</v>
      </c>
      <c r="I73" s="36"/>
      <c r="J73" s="199" t="n">
        <f aca="false">H73+H71</f>
        <v>322</v>
      </c>
      <c r="K73" s="37"/>
      <c r="L73" s="34"/>
      <c r="M73" s="218" t="s">
        <v>91</v>
      </c>
      <c r="N73" s="144" t="n">
        <f aca="false">N72*H29</f>
        <v>162</v>
      </c>
      <c r="O73" s="36"/>
      <c r="P73" s="199" t="n">
        <f aca="false">N73+N71</f>
        <v>322</v>
      </c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182</v>
      </c>
      <c r="B74" s="228" t="n">
        <v>165</v>
      </c>
      <c r="C74" s="36"/>
      <c r="D74" s="36"/>
      <c r="E74" s="37"/>
      <c r="F74" s="34"/>
      <c r="G74" s="224" t="s">
        <v>182</v>
      </c>
      <c r="H74" s="228" t="n">
        <v>165</v>
      </c>
      <c r="I74" s="36"/>
      <c r="J74" s="36"/>
      <c r="K74" s="37"/>
      <c r="L74" s="34"/>
      <c r="M74" s="231" t="s">
        <v>182</v>
      </c>
      <c r="N74" s="232" t="n">
        <v>0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183</v>
      </c>
      <c r="B75" s="229" t="n">
        <v>355</v>
      </c>
      <c r="C75" s="36"/>
      <c r="D75" s="36"/>
      <c r="E75" s="37"/>
      <c r="F75" s="34"/>
      <c r="G75" s="191" t="s">
        <v>183</v>
      </c>
      <c r="H75" s="229" t="n">
        <v>0</v>
      </c>
      <c r="I75" s="36"/>
      <c r="J75" s="36"/>
      <c r="K75" s="37"/>
      <c r="L75" s="34"/>
      <c r="M75" s="233" t="s">
        <v>183</v>
      </c>
      <c r="N75" s="234" t="n">
        <v>0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184</v>
      </c>
      <c r="B76" s="144" t="n">
        <f aca="false">((B74+B75)/12)*(H29-11)</f>
        <v>1083.33333333333</v>
      </c>
      <c r="C76" s="36"/>
      <c r="D76" s="199" t="n">
        <f aca="false">B76</f>
        <v>1083.33333333333</v>
      </c>
      <c r="E76" s="37"/>
      <c r="F76" s="34"/>
      <c r="G76" s="218" t="s">
        <v>184</v>
      </c>
      <c r="H76" s="144" t="n">
        <f aca="false">((H74+H75)/12)*(H29-11)</f>
        <v>343.75</v>
      </c>
      <c r="I76" s="36"/>
      <c r="J76" s="199" t="n">
        <f aca="false">H76</f>
        <v>343.75</v>
      </c>
      <c r="K76" s="37"/>
      <c r="L76" s="34"/>
      <c r="M76" s="235" t="s">
        <v>184</v>
      </c>
      <c r="N76" s="236" t="n">
        <f aca="false">((N74+N75)/12)*(H29-11)</f>
        <v>0</v>
      </c>
      <c r="O76" s="36"/>
      <c r="P76" s="199" t="n">
        <f aca="false">N76</f>
        <v>0</v>
      </c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1" t="s">
        <v>185</v>
      </c>
      <c r="B77" s="142" t="n">
        <f aca="false">B102*1.1</f>
        <v>0</v>
      </c>
      <c r="C77" s="309"/>
      <c r="D77" s="199" t="n">
        <f aca="false">B77</f>
        <v>0</v>
      </c>
      <c r="E77" s="303" t="n">
        <f aca="false">D77/(B58+B57)</f>
        <v>0</v>
      </c>
      <c r="F77" s="34"/>
      <c r="G77" s="224" t="s">
        <v>185</v>
      </c>
      <c r="H77" s="228" t="n">
        <v>0</v>
      </c>
      <c r="I77" s="36"/>
      <c r="J77" s="199" t="n">
        <f aca="false">H77</f>
        <v>0</v>
      </c>
      <c r="K77" s="37"/>
      <c r="L77" s="34"/>
      <c r="M77" s="224" t="s">
        <v>185</v>
      </c>
      <c r="N77" s="228" t="n">
        <v>0</v>
      </c>
      <c r="O77" s="36"/>
      <c r="P77" s="199" t="n">
        <f aca="false">N77</f>
        <v>0</v>
      </c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187</v>
      </c>
      <c r="B78" s="198" t="n">
        <f aca="false">D102/(1-0.1)</f>
        <v>0</v>
      </c>
      <c r="C78" s="309"/>
      <c r="D78" s="199" t="n">
        <f aca="false">B78</f>
        <v>0</v>
      </c>
      <c r="E78" s="303"/>
      <c r="F78" s="34"/>
      <c r="G78" s="35" t="s">
        <v>187</v>
      </c>
      <c r="H78" s="198" t="n">
        <v>0</v>
      </c>
      <c r="I78" s="36"/>
      <c r="J78" s="199" t="n">
        <f aca="false">H78</f>
        <v>0</v>
      </c>
      <c r="K78" s="37"/>
      <c r="L78" s="34"/>
      <c r="M78" s="35" t="s">
        <v>187</v>
      </c>
      <c r="N78" s="198" t="n">
        <v>0</v>
      </c>
      <c r="O78" s="36"/>
      <c r="P78" s="199" t="n">
        <f aca="false">N78</f>
        <v>0</v>
      </c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09"/>
      <c r="D79" s="199" t="n">
        <f aca="false">B79</f>
        <v>200</v>
      </c>
      <c r="E79" s="303"/>
      <c r="F79" s="34"/>
      <c r="G79" s="191" t="s">
        <v>92</v>
      </c>
      <c r="H79" s="229" t="n">
        <v>200</v>
      </c>
      <c r="I79" s="36"/>
      <c r="J79" s="199" t="n">
        <f aca="false">H79</f>
        <v>200</v>
      </c>
      <c r="K79" s="37"/>
      <c r="L79" s="34"/>
      <c r="M79" s="191" t="s">
        <v>92</v>
      </c>
      <c r="N79" s="229" t="n">
        <v>200</v>
      </c>
      <c r="O79" s="36"/>
      <c r="P79" s="199" t="n">
        <f aca="false">N79</f>
        <v>200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09"/>
      <c r="D80" s="199" t="n">
        <f aca="false">B80</f>
        <v>200</v>
      </c>
      <c r="E80" s="303" t="n">
        <f aca="false">(D73+D76+D79+D80)/(B58+B57)</f>
        <v>39.645390070922</v>
      </c>
      <c r="F80" s="34"/>
      <c r="G80" s="237" t="s">
        <v>93</v>
      </c>
      <c r="H80" s="238" t="n">
        <v>200</v>
      </c>
      <c r="I80" s="36"/>
      <c r="J80" s="199" t="n">
        <f aca="false">H80</f>
        <v>200</v>
      </c>
      <c r="K80" s="37"/>
      <c r="L80" s="34"/>
      <c r="M80" s="237" t="s">
        <v>93</v>
      </c>
      <c r="N80" s="238" t="n">
        <v>200</v>
      </c>
      <c r="O80" s="36"/>
      <c r="P80" s="199" t="n">
        <f aca="false">N80</f>
        <v>200</v>
      </c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7941.25833333333</v>
      </c>
      <c r="C81" s="309"/>
      <c r="D81" s="310"/>
      <c r="E81" s="303"/>
      <c r="F81" s="34"/>
      <c r="G81" s="239" t="s">
        <v>94</v>
      </c>
      <c r="H81" s="240" t="n">
        <f aca="false">SUM(J64:J80)</f>
        <v>7143.675</v>
      </c>
      <c r="I81" s="36"/>
      <c r="J81" s="36"/>
      <c r="K81" s="37"/>
      <c r="L81" s="34"/>
      <c r="M81" s="239" t="s">
        <v>94</v>
      </c>
      <c r="N81" s="240" t="n">
        <f aca="false">SUM(P64:P80)</f>
        <v>6799.925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220.590509259259</v>
      </c>
      <c r="C82" s="309"/>
      <c r="D82" s="36"/>
      <c r="E82" s="303"/>
      <c r="F82" s="34"/>
      <c r="G82" s="35" t="s">
        <v>95</v>
      </c>
      <c r="H82" s="198" t="n">
        <f aca="false">H81/H29</f>
        <v>198.435416666667</v>
      </c>
      <c r="I82" s="36"/>
      <c r="J82" s="36"/>
      <c r="K82" s="37"/>
      <c r="L82" s="34"/>
      <c r="M82" s="35" t="s">
        <v>95</v>
      </c>
      <c r="N82" s="198" t="n">
        <f aca="false">N81/H29</f>
        <v>188.886805555556</v>
      </c>
      <c r="O82" s="36"/>
      <c r="P82" s="36"/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H47</f>
        <v>922.920864561026</v>
      </c>
      <c r="C83" s="309"/>
      <c r="D83" s="36"/>
      <c r="E83" s="303" t="n">
        <f aca="false">B83+E80+E77+E64</f>
        <v>1091.88380782344</v>
      </c>
      <c r="F83" s="34"/>
      <c r="G83" s="241" t="s">
        <v>96</v>
      </c>
      <c r="H83" s="242" t="n">
        <f aca="false">H47</f>
        <v>922.920864561026</v>
      </c>
      <c r="I83" s="36"/>
      <c r="J83" s="36"/>
      <c r="K83" s="37"/>
      <c r="L83" s="34"/>
      <c r="M83" s="241" t="s">
        <v>96</v>
      </c>
      <c r="N83" s="242" t="n">
        <f aca="false">H47</f>
        <v>922.920864561026</v>
      </c>
      <c r="O83" s="36"/>
      <c r="P83" s="36"/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09"/>
      <c r="D84" s="309"/>
      <c r="E84" s="303"/>
      <c r="F84" s="34"/>
      <c r="G84" s="35"/>
      <c r="H84" s="199"/>
      <c r="I84" s="36"/>
      <c r="J84" s="36"/>
      <c r="K84" s="37"/>
      <c r="L84" s="34"/>
      <c r="M84" s="35"/>
      <c r="N84" s="199"/>
      <c r="O84" s="36"/>
      <c r="P84" s="36"/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((B83*H29)+B81)</f>
        <v>41166.4094575303</v>
      </c>
      <c r="C85" s="309"/>
      <c r="D85" s="309"/>
      <c r="E85" s="303" t="n">
        <f aca="false">B85/(B58+B57)</f>
        <v>875.881052287878</v>
      </c>
      <c r="F85" s="34"/>
      <c r="G85" s="221" t="s">
        <v>106</v>
      </c>
      <c r="H85" s="142" t="n">
        <f aca="false">((H83*H29)+H81)*1.2</f>
        <v>48442.5913490363</v>
      </c>
      <c r="I85" s="36"/>
      <c r="J85" s="36"/>
      <c r="K85" s="37"/>
      <c r="L85" s="34"/>
      <c r="M85" s="221" t="s">
        <v>106</v>
      </c>
      <c r="N85" s="142" t="n">
        <f aca="false">((N83*H29)+N81)</f>
        <v>40025.0761241969</v>
      </c>
      <c r="O85" s="36"/>
      <c r="P85" s="36"/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(((B83*H29)+B81)/(1-B70))*B70</f>
        <v>348.727147482104</v>
      </c>
      <c r="C86" s="309"/>
      <c r="D86" s="36"/>
      <c r="E86" s="303" t="n">
        <f aca="false">B86/(B58+B57)</f>
        <v>7.41972654217242</v>
      </c>
      <c r="F86" s="34"/>
      <c r="G86" s="35" t="s">
        <v>107</v>
      </c>
      <c r="H86" s="198" t="n">
        <f aca="false">((((H83*H29)+H81))/(1-H70))*H70</f>
        <v>341.970693266694</v>
      </c>
      <c r="I86" s="36"/>
      <c r="J86" s="36"/>
      <c r="K86" s="37"/>
      <c r="L86" s="34"/>
      <c r="M86" s="35" t="s">
        <v>107</v>
      </c>
      <c r="N86" s="198" t="n">
        <f aca="false">(N85/(1-N70))*N70</f>
        <v>339.058732798764</v>
      </c>
      <c r="O86" s="36"/>
      <c r="P86" s="36"/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IF(B110="YES",((B85+B86)-E114),((B85+B86)))</f>
        <v>41515.1366050124</v>
      </c>
      <c r="C87" s="309"/>
      <c r="D87" s="311"/>
      <c r="E87" s="303" t="n">
        <f aca="false">E86+E85</f>
        <v>883.30077883005</v>
      </c>
      <c r="F87" s="34"/>
      <c r="G87" s="218" t="s">
        <v>108</v>
      </c>
      <c r="H87" s="144" t="n">
        <f aca="false">IF(H110="YES",((H85+H86)-K114),(H85+H86))</f>
        <v>48784.562042303</v>
      </c>
      <c r="I87" s="36"/>
      <c r="J87" s="36"/>
      <c r="K87" s="37"/>
      <c r="L87" s="34"/>
      <c r="M87" s="218" t="s">
        <v>108</v>
      </c>
      <c r="N87" s="144" t="n">
        <f aca="false">IF(N110="YES",((N85+N86)-Q114),(N85+N86))</f>
        <v>40364.1348569957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09"/>
      <c r="D88" s="36"/>
      <c r="E88" s="303"/>
      <c r="F88" s="34"/>
      <c r="G88" s="35"/>
      <c r="H88" s="199"/>
      <c r="I88" s="36"/>
      <c r="J88" s="36"/>
      <c r="K88" s="37"/>
      <c r="L88" s="34"/>
      <c r="M88" s="35"/>
      <c r="N88" s="199"/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40" t="n">
        <f aca="false">IF(B99=Y98, (I32+(I32*B105))/(B58), (I32+(I32*B105))/(B57+B58))</f>
        <v>26.2978723404255</v>
      </c>
      <c r="C89" s="309"/>
      <c r="D89" s="36"/>
      <c r="E89" s="37"/>
      <c r="F89" s="34"/>
      <c r="G89" s="239" t="s">
        <v>109</v>
      </c>
      <c r="H89" s="240" t="n">
        <f aca="false">IF(H99=Y98, (D40+(D40*H105))/(H58), (D40+(D40*H105))/(H57+H58))*1.2</f>
        <v>36.1756097560976</v>
      </c>
      <c r="I89" s="36"/>
      <c r="J89" s="36"/>
      <c r="K89" s="37"/>
      <c r="L89" s="34"/>
      <c r="M89" s="239" t="s">
        <v>109</v>
      </c>
      <c r="N89" s="240" t="n">
        <f aca="false">IF(N99=Y98, (D40+(D40*N105))/(N58), (D40+(D40*N105))/(N57+N58))</f>
        <v>30.1463414634146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IF(B99=Y98, (B87-D105)/(B58), B87/(B57+B58))</f>
        <v>883.30077883005</v>
      </c>
      <c r="C90" s="309"/>
      <c r="D90" s="36"/>
      <c r="E90" s="312"/>
      <c r="F90" s="34"/>
      <c r="G90" s="244" t="s">
        <v>110</v>
      </c>
      <c r="H90" s="245" t="n">
        <f aca="false">IF(H99=Y98, (H87-J105)/(H58), H87/(H57+H58))</f>
        <v>1189.86736688544</v>
      </c>
      <c r="I90" s="36"/>
      <c r="J90" s="36"/>
      <c r="K90" s="37"/>
      <c r="L90" s="34"/>
      <c r="M90" s="244" t="s">
        <v>110</v>
      </c>
      <c r="N90" s="245" t="n">
        <f aca="false">IF(N99=Y98, (N87-P105)/(N58), N87/(N57+N58))</f>
        <v>984.491094073066</v>
      </c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909.598651170476</v>
      </c>
      <c r="C91" s="309"/>
      <c r="D91" s="313"/>
      <c r="E91" s="230"/>
      <c r="F91" s="34"/>
      <c r="G91" s="246" t="s">
        <v>62</v>
      </c>
      <c r="H91" s="247" t="n">
        <f aca="false">IF(G105="YES", H90+H89, H90)</f>
        <v>1226.04297664154</v>
      </c>
      <c r="I91" s="36"/>
      <c r="J91" s="36"/>
      <c r="K91" s="37"/>
      <c r="L91" s="34"/>
      <c r="M91" s="246" t="s">
        <v>62</v>
      </c>
      <c r="N91" s="247" t="n">
        <f aca="false">IF(M105="YES", N90+N89, N90)</f>
        <v>1014.63743553648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314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218"/>
      <c r="N92" s="219"/>
      <c r="O92" s="219"/>
      <c r="P92" s="219"/>
      <c r="Q92" s="220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6"/>
      <c r="N93" s="36"/>
      <c r="O93" s="36"/>
      <c r="P93" s="36"/>
      <c r="Q93" s="36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56.25" hidden="false" customHeight="true" outlineLevel="0" collapsed="false">
      <c r="A94" s="33" t="s">
        <v>260</v>
      </c>
      <c r="B94" s="33"/>
      <c r="C94" s="33"/>
      <c r="D94" s="33"/>
      <c r="E94" s="33"/>
      <c r="F94" s="34"/>
      <c r="G94" s="33" t="s">
        <v>189</v>
      </c>
      <c r="H94" s="33"/>
      <c r="I94" s="33"/>
      <c r="J94" s="33"/>
      <c r="K94" s="33"/>
      <c r="L94" s="34"/>
      <c r="M94" s="33" t="s">
        <v>188</v>
      </c>
      <c r="N94" s="33"/>
      <c r="O94" s="33"/>
      <c r="P94" s="33"/>
      <c r="Q94" s="33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 t="s">
        <v>276</v>
      </c>
      <c r="F95" s="34"/>
      <c r="G95" s="35"/>
      <c r="H95" s="36"/>
      <c r="I95" s="36"/>
      <c r="J95" s="36"/>
      <c r="K95" s="37"/>
      <c r="L95" s="34"/>
      <c r="M95" s="35"/>
      <c r="N95" s="36"/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8" t="s">
        <v>112</v>
      </c>
      <c r="N96" s="38"/>
      <c r="O96" s="38"/>
      <c r="P96" s="38"/>
      <c r="Q96" s="38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15"/>
      <c r="C97" s="315"/>
      <c r="D97" s="36"/>
      <c r="E97" s="37"/>
      <c r="F97" s="34"/>
      <c r="G97" s="35"/>
      <c r="H97" s="36"/>
      <c r="I97" s="36"/>
      <c r="J97" s="36"/>
      <c r="K97" s="37"/>
      <c r="L97" s="34"/>
      <c r="M97" s="35"/>
      <c r="N97" s="36"/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 t="s">
        <v>42</v>
      </c>
      <c r="Z97" s="34"/>
      <c r="AC97" s="301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190</v>
      </c>
      <c r="E98" s="37"/>
      <c r="F98" s="34"/>
      <c r="G98" s="35" t="s">
        <v>113</v>
      </c>
      <c r="H98" s="36" t="s">
        <v>38</v>
      </c>
      <c r="I98" s="36"/>
      <c r="J98" s="36" t="s">
        <v>190</v>
      </c>
      <c r="K98" s="37"/>
      <c r="L98" s="34"/>
      <c r="M98" s="35" t="s">
        <v>113</v>
      </c>
      <c r="N98" s="36" t="s">
        <v>38</v>
      </c>
      <c r="O98" s="36"/>
      <c r="P98" s="36" t="s">
        <v>190</v>
      </c>
      <c r="Q98" s="37"/>
      <c r="R98" s="34"/>
      <c r="S98" s="34"/>
      <c r="T98" s="34"/>
      <c r="U98" s="34"/>
      <c r="V98" s="34"/>
      <c r="W98" s="34"/>
      <c r="X98" s="34"/>
      <c r="Y98" s="34" t="s">
        <v>115</v>
      </c>
      <c r="Z98" s="34"/>
    </row>
    <row r="99" customFormat="false" ht="18.75" hidden="false" customHeight="true" outlineLevel="0" collapsed="false">
      <c r="A99" s="41" t="s">
        <v>192</v>
      </c>
      <c r="B99" s="249" t="s">
        <v>124</v>
      </c>
      <c r="C99" s="249"/>
      <c r="D99" s="124" t="n">
        <v>1000</v>
      </c>
      <c r="E99" s="124"/>
      <c r="F99" s="34"/>
      <c r="G99" s="41" t="s">
        <v>192</v>
      </c>
      <c r="H99" s="249" t="s">
        <v>118</v>
      </c>
      <c r="I99" s="249"/>
      <c r="J99" s="124" t="n">
        <v>0</v>
      </c>
      <c r="K99" s="124"/>
      <c r="L99" s="34"/>
      <c r="M99" s="41" t="s">
        <v>192</v>
      </c>
      <c r="N99" s="249" t="s">
        <v>118</v>
      </c>
      <c r="O99" s="249"/>
      <c r="P99" s="124" t="n">
        <v>0</v>
      </c>
      <c r="Q99" s="124"/>
      <c r="R99" s="34"/>
      <c r="S99" s="34"/>
      <c r="T99" s="34"/>
      <c r="U99" s="34"/>
      <c r="V99" s="34"/>
      <c r="W99" s="34"/>
      <c r="X99" s="34"/>
      <c r="Y99" s="34" t="s">
        <v>117</v>
      </c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5"/>
      <c r="N100" s="36"/>
      <c r="O100" s="36"/>
      <c r="P100" s="36"/>
      <c r="Q100" s="37"/>
      <c r="R100" s="34"/>
      <c r="S100" s="34"/>
      <c r="T100" s="34"/>
      <c r="U100" s="34"/>
      <c r="V100" s="34"/>
      <c r="W100" s="34"/>
      <c r="X100" s="34"/>
      <c r="Y100" s="34" t="s">
        <v>118</v>
      </c>
      <c r="Z100" s="34"/>
    </row>
    <row r="101" customFormat="false" ht="18.75" hidden="false" customHeight="true" outlineLevel="0" collapsed="false">
      <c r="A101" s="35" t="s">
        <v>193</v>
      </c>
      <c r="B101" s="36" t="s">
        <v>194</v>
      </c>
      <c r="C101" s="36"/>
      <c r="D101" s="36" t="s">
        <v>277</v>
      </c>
      <c r="E101" s="37"/>
      <c r="F101" s="34"/>
      <c r="G101" s="35" t="s">
        <v>193</v>
      </c>
      <c r="H101" s="36" t="s">
        <v>194</v>
      </c>
      <c r="I101" s="36"/>
      <c r="J101" s="36" t="s">
        <v>195</v>
      </c>
      <c r="K101" s="37"/>
      <c r="L101" s="34"/>
      <c r="M101" s="35" t="s">
        <v>193</v>
      </c>
      <c r="N101" s="36" t="s">
        <v>194</v>
      </c>
      <c r="O101" s="36"/>
      <c r="P101" s="36" t="s">
        <v>195</v>
      </c>
      <c r="Q101" s="37"/>
      <c r="R101" s="34"/>
      <c r="S101" s="34"/>
      <c r="T101" s="34"/>
      <c r="U101" s="34"/>
      <c r="V101" s="34"/>
      <c r="W101" s="34"/>
      <c r="X101" s="34"/>
      <c r="Y101" s="34" t="s">
        <v>122</v>
      </c>
      <c r="Z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v>199.99</v>
      </c>
      <c r="H102" s="124" t="n">
        <v>0</v>
      </c>
      <c r="I102" s="124"/>
      <c r="J102" s="124" t="n">
        <v>0</v>
      </c>
      <c r="K102" s="124"/>
      <c r="L102" s="34"/>
      <c r="M102" s="251" t="n">
        <v>199.99</v>
      </c>
      <c r="N102" s="124" t="n">
        <v>0</v>
      </c>
      <c r="O102" s="124"/>
      <c r="P102" s="124" t="n">
        <v>0</v>
      </c>
      <c r="Q102" s="124"/>
      <c r="R102" s="34"/>
      <c r="S102" s="34"/>
      <c r="T102" s="34"/>
      <c r="U102" s="34"/>
      <c r="V102" s="34"/>
      <c r="W102" s="34"/>
      <c r="X102" s="34"/>
      <c r="Y102" s="34" t="s">
        <v>124</v>
      </c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 t="s">
        <v>126</v>
      </c>
      <c r="Z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41" t="s">
        <v>114</v>
      </c>
      <c r="N104" s="34" t="s">
        <v>119</v>
      </c>
      <c r="O104" s="36"/>
      <c r="P104" s="36" t="s">
        <v>134</v>
      </c>
      <c r="Q104" s="37"/>
      <c r="R104" s="34"/>
      <c r="S104" s="34"/>
      <c r="T104" s="34"/>
      <c r="U104" s="34"/>
      <c r="V104" s="34"/>
      <c r="W104" s="34"/>
      <c r="X104" s="34"/>
      <c r="Y104" s="34" t="s">
        <v>131</v>
      </c>
      <c r="Z104" s="34"/>
    </row>
    <row r="105" customFormat="false" ht="18.75" hidden="false" customHeight="true" outlineLevel="0" collapsed="false">
      <c r="A105" s="43" t="s">
        <v>25</v>
      </c>
      <c r="B105" s="252" t="n">
        <v>0.2</v>
      </c>
      <c r="C105" s="252"/>
      <c r="D105" s="124" t="s">
        <v>196</v>
      </c>
      <c r="E105" s="124"/>
      <c r="F105" s="34"/>
      <c r="G105" s="43" t="s">
        <v>25</v>
      </c>
      <c r="H105" s="252" t="n">
        <v>0.2</v>
      </c>
      <c r="I105" s="252"/>
      <c r="J105" s="124"/>
      <c r="K105" s="124"/>
      <c r="L105" s="34"/>
      <c r="M105" s="43" t="s">
        <v>25</v>
      </c>
      <c r="N105" s="252" t="n">
        <v>0.2</v>
      </c>
      <c r="O105" s="252"/>
      <c r="P105" s="124" t="n">
        <v>0</v>
      </c>
      <c r="Q105" s="124"/>
      <c r="R105" s="34"/>
      <c r="S105" s="34"/>
      <c r="T105" s="34"/>
      <c r="U105" s="34"/>
      <c r="V105" s="34"/>
      <c r="W105" s="34"/>
      <c r="X105" s="34"/>
      <c r="Y105" s="34" t="s">
        <v>132</v>
      </c>
      <c r="Z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5"/>
      <c r="N107" s="36" t="s">
        <v>198</v>
      </c>
      <c r="O107" s="43" t="s">
        <v>25</v>
      </c>
      <c r="P107" s="36"/>
      <c r="Q107" s="37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8.75" hidden="false" customHeight="true" outlineLevel="0" collapsed="false">
      <c r="A108" s="38" t="n">
        <v>199.99</v>
      </c>
      <c r="B108" s="38" t="n">
        <v>0</v>
      </c>
      <c r="C108" s="38"/>
      <c r="D108" s="38"/>
      <c r="E108" s="38"/>
      <c r="F108" s="34"/>
      <c r="G108" s="38" t="s">
        <v>199</v>
      </c>
      <c r="H108" s="38"/>
      <c r="I108" s="38"/>
      <c r="J108" s="38"/>
      <c r="K108" s="38"/>
      <c r="L108" s="34"/>
      <c r="M108" s="38" t="s">
        <v>199</v>
      </c>
      <c r="N108" s="38"/>
      <c r="O108" s="38"/>
      <c r="P108" s="38"/>
      <c r="Q108" s="38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8.75" hidden="false" customHeight="true" outlineLevel="0" collapsed="false">
      <c r="A110" s="35" t="s">
        <v>200</v>
      </c>
      <c r="B110" s="43" t="s">
        <v>26</v>
      </c>
      <c r="C110" s="36"/>
      <c r="D110" s="36"/>
      <c r="E110" s="37"/>
      <c r="F110" s="34"/>
      <c r="G110" s="35" t="s">
        <v>200</v>
      </c>
      <c r="H110" s="43" t="s">
        <v>26</v>
      </c>
      <c r="I110" s="36"/>
      <c r="J110" s="36"/>
      <c r="K110" s="37"/>
      <c r="L110" s="34"/>
      <c r="M110" s="35" t="s">
        <v>200</v>
      </c>
      <c r="N110" s="43" t="s">
        <v>26</v>
      </c>
      <c r="O110" s="36"/>
      <c r="P110" s="36"/>
      <c r="Q110" s="37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8.75" hidden="false" customHeight="true" outlineLevel="0" collapsed="false">
      <c r="A111" s="35" t="s">
        <v>26</v>
      </c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5"/>
      <c r="N111" s="36"/>
      <c r="O111" s="36"/>
      <c r="P111" s="36"/>
      <c r="Q111" s="37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0</v>
      </c>
      <c r="E112" s="124" t="n">
        <v>0</v>
      </c>
      <c r="F112" s="34"/>
      <c r="G112" s="35" t="s">
        <v>148</v>
      </c>
      <c r="H112" s="36"/>
      <c r="I112" s="36"/>
      <c r="J112" s="251" t="n">
        <v>0</v>
      </c>
      <c r="K112" s="124" t="n">
        <v>0</v>
      </c>
      <c r="L112" s="34"/>
      <c r="M112" s="35" t="s">
        <v>148</v>
      </c>
      <c r="N112" s="36"/>
      <c r="O112" s="36"/>
      <c r="P112" s="251" t="n">
        <v>500</v>
      </c>
      <c r="Q112" s="124" t="n">
        <v>300</v>
      </c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0</v>
      </c>
      <c r="E113" s="124" t="n">
        <v>0</v>
      </c>
      <c r="F113" s="34"/>
      <c r="G113" s="35" t="s">
        <v>149</v>
      </c>
      <c r="H113" s="36"/>
      <c r="I113" s="36"/>
      <c r="J113" s="26" t="n">
        <f aca="false">K113</f>
        <v>0</v>
      </c>
      <c r="K113" s="124" t="n">
        <v>0</v>
      </c>
      <c r="L113" s="34"/>
      <c r="M113" s="35" t="s">
        <v>149</v>
      </c>
      <c r="N113" s="36"/>
      <c r="O113" s="36"/>
      <c r="P113" s="26" t="n">
        <f aca="false">Q113</f>
        <v>100</v>
      </c>
      <c r="Q113" s="124" t="n">
        <v>100</v>
      </c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0</v>
      </c>
      <c r="E114" s="164" t="n">
        <f aca="false">E112-E113</f>
        <v>0</v>
      </c>
      <c r="F114" s="34"/>
      <c r="G114" s="35" t="s">
        <v>150</v>
      </c>
      <c r="H114" s="36"/>
      <c r="I114" s="36"/>
      <c r="J114" s="26" t="n">
        <f aca="false">J112-J113</f>
        <v>0</v>
      </c>
      <c r="K114" s="164" t="n">
        <f aca="false">K112-K113</f>
        <v>0</v>
      </c>
      <c r="L114" s="34"/>
      <c r="M114" s="35" t="s">
        <v>150</v>
      </c>
      <c r="N114" s="36"/>
      <c r="O114" s="36"/>
      <c r="P114" s="26" t="n">
        <f aca="false">P112-P113</f>
        <v>400</v>
      </c>
      <c r="Q114" s="164" t="n">
        <f aca="false">Q112-Q113</f>
        <v>200</v>
      </c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0</v>
      </c>
      <c r="E115" s="37"/>
      <c r="F115" s="34"/>
      <c r="G115" s="35" t="s">
        <v>151</v>
      </c>
      <c r="H115" s="36"/>
      <c r="I115" s="36"/>
      <c r="J115" s="26" t="n">
        <f aca="false">J114-K114</f>
        <v>0</v>
      </c>
      <c r="K115" s="37"/>
      <c r="L115" s="34"/>
      <c r="M115" s="35" t="s">
        <v>151</v>
      </c>
      <c r="N115" s="36"/>
      <c r="O115" s="36"/>
      <c r="P115" s="26" t="n">
        <f aca="false">P114-Q114</f>
        <v>200</v>
      </c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5"/>
      <c r="N116" s="36"/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221" t="s">
        <v>129</v>
      </c>
      <c r="N117" s="222"/>
      <c r="O117" s="222"/>
      <c r="P117" s="222"/>
      <c r="Q117" s="142" t="n">
        <f aca="false">P99</f>
        <v>0</v>
      </c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199.99</v>
      </c>
      <c r="L118" s="34"/>
      <c r="M118" s="35" t="s">
        <v>154</v>
      </c>
      <c r="N118" s="36"/>
      <c r="O118" s="36"/>
      <c r="P118" s="36"/>
      <c r="Q118" s="198" t="n">
        <f aca="false">M102</f>
        <v>199.99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201</v>
      </c>
      <c r="B119" s="219"/>
      <c r="C119" s="219"/>
      <c r="D119" s="219"/>
      <c r="E119" s="144" t="n">
        <f aca="false">IF(B110="YES",((E118*1.2)+E117)-E114,((E118*1.2)+E117))</f>
        <v>1239.988</v>
      </c>
      <c r="F119" s="34"/>
      <c r="G119" s="253" t="s">
        <v>201</v>
      </c>
      <c r="H119" s="219"/>
      <c r="I119" s="219"/>
      <c r="J119" s="219"/>
      <c r="K119" s="144" t="n">
        <f aca="false">((K118/1.2)+K117)-(J115-K113)</f>
        <v>166.658333333333</v>
      </c>
      <c r="L119" s="34"/>
      <c r="M119" s="253" t="s">
        <v>201</v>
      </c>
      <c r="N119" s="219"/>
      <c r="O119" s="219"/>
      <c r="P119" s="219"/>
      <c r="Q119" s="144" t="n">
        <f aca="false">(Q118+Q117)-P115</f>
        <v>-0.00999999999999091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5"/>
      <c r="N120" s="36"/>
      <c r="O120" s="36"/>
      <c r="P120" s="36"/>
      <c r="Q120" s="37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5"/>
      <c r="N121" s="36"/>
      <c r="O121" s="36"/>
      <c r="P121" s="36"/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202</v>
      </c>
      <c r="B122" s="38"/>
      <c r="C122" s="38"/>
      <c r="D122" s="38"/>
      <c r="E122" s="38"/>
      <c r="F122" s="34"/>
      <c r="G122" s="38" t="s">
        <v>202</v>
      </c>
      <c r="H122" s="38"/>
      <c r="I122" s="38"/>
      <c r="J122" s="38"/>
      <c r="K122" s="38"/>
      <c r="L122" s="34"/>
      <c r="M122" s="38" t="s">
        <v>202</v>
      </c>
      <c r="N122" s="38"/>
      <c r="O122" s="38"/>
      <c r="P122" s="38"/>
      <c r="Q122" s="38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5"/>
      <c r="N123" s="36"/>
      <c r="O123" s="36"/>
      <c r="P123" s="36"/>
      <c r="Q123" s="37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316" t="n">
        <v>0</v>
      </c>
      <c r="C124" s="316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5" t="s">
        <v>156</v>
      </c>
      <c r="N124" s="169" t="n">
        <v>0</v>
      </c>
      <c r="O124" s="169"/>
      <c r="P124" s="36"/>
      <c r="Q124" s="37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5"/>
      <c r="N125" s="36"/>
      <c r="O125" s="36"/>
      <c r="P125" s="36"/>
      <c r="Q125" s="37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254" t="s">
        <v>203</v>
      </c>
      <c r="B126" s="255" t="s">
        <v>61</v>
      </c>
      <c r="C126" s="255"/>
      <c r="D126" s="255" t="s">
        <v>62</v>
      </c>
      <c r="E126" s="37"/>
      <c r="F126" s="34"/>
      <c r="G126" s="254" t="s">
        <v>204</v>
      </c>
      <c r="H126" s="255" t="s">
        <v>205</v>
      </c>
      <c r="I126" s="255"/>
      <c r="J126" s="255" t="s">
        <v>206</v>
      </c>
      <c r="K126" s="37"/>
      <c r="L126" s="34"/>
      <c r="M126" s="254" t="s">
        <v>203</v>
      </c>
      <c r="N126" s="255" t="s">
        <v>61</v>
      </c>
      <c r="O126" s="255"/>
      <c r="P126" s="255" t="s">
        <v>62</v>
      </c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256" t="n">
        <f aca="false">B90</f>
        <v>883.30077883005</v>
      </c>
      <c r="B127" s="173" t="n">
        <f aca="false">IF(A105="YES", B89*B57, 0)</f>
        <v>315.574468085106</v>
      </c>
      <c r="C127" s="173"/>
      <c r="D127" s="173" t="n">
        <f aca="false">B91</f>
        <v>909.598651170476</v>
      </c>
      <c r="E127" s="37"/>
      <c r="F127" s="34"/>
      <c r="G127" s="256" t="n">
        <f aca="false">H90</f>
        <v>1189.86736688544</v>
      </c>
      <c r="H127" s="173" t="n">
        <f aca="false">IF(G105="YES", H89*H57, 0)</f>
        <v>217.053658536585</v>
      </c>
      <c r="I127" s="173"/>
      <c r="J127" s="257" t="n">
        <f aca="false">H91</f>
        <v>1226.04297664154</v>
      </c>
      <c r="K127" s="37"/>
      <c r="L127" s="34"/>
      <c r="M127" s="256" t="n">
        <f aca="false">N90</f>
        <v>984.491094073066</v>
      </c>
      <c r="N127" s="173" t="n">
        <f aca="false">IF(M105="YES", N89*N57, 0)</f>
        <v>180.878048780488</v>
      </c>
      <c r="O127" s="173"/>
      <c r="P127" s="173" t="n">
        <f aca="false">N91</f>
        <v>1014.63743553648</v>
      </c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5"/>
      <c r="N128" s="36"/>
      <c r="O128" s="36"/>
      <c r="P128" s="36"/>
      <c r="Q128" s="37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 t="s">
        <v>76</v>
      </c>
      <c r="B129" s="36" t="s">
        <v>77</v>
      </c>
      <c r="C129" s="36"/>
      <c r="D129" s="36" t="s">
        <v>34</v>
      </c>
      <c r="E129" s="37"/>
      <c r="F129" s="34"/>
      <c r="G129" s="35" t="s">
        <v>76</v>
      </c>
      <c r="H129" s="36" t="s">
        <v>77</v>
      </c>
      <c r="I129" s="36"/>
      <c r="J129" s="36" t="s">
        <v>34</v>
      </c>
      <c r="K129" s="37"/>
      <c r="L129" s="34"/>
      <c r="M129" s="35" t="s">
        <v>76</v>
      </c>
      <c r="N129" s="36" t="s">
        <v>77</v>
      </c>
      <c r="O129" s="36"/>
      <c r="P129" s="36" t="s">
        <v>34</v>
      </c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51" t="n">
        <f aca="false">A152</f>
        <v>36</v>
      </c>
      <c r="B130" s="52" t="n">
        <f aca="false">B151</f>
        <v>10000</v>
      </c>
      <c r="C130" s="53"/>
      <c r="D130" s="52" t="n">
        <f aca="false">B58</f>
        <v>35</v>
      </c>
      <c r="E130" s="37"/>
      <c r="F130" s="34"/>
      <c r="G130" s="51" t="n">
        <f aca="false">G152</f>
        <v>36</v>
      </c>
      <c r="H130" s="52" t="n">
        <f aca="false">B151</f>
        <v>10000</v>
      </c>
      <c r="I130" s="53"/>
      <c r="J130" s="52" t="n">
        <f aca="false">B58</f>
        <v>35</v>
      </c>
      <c r="K130" s="37"/>
      <c r="L130" s="34"/>
      <c r="M130" s="51" t="n">
        <f aca="false">M155</f>
        <v>36</v>
      </c>
      <c r="N130" s="52" t="n">
        <f aca="false">B151</f>
        <v>10000</v>
      </c>
      <c r="O130" s="53"/>
      <c r="P130" s="52" t="n">
        <f aca="false">B58</f>
        <v>35</v>
      </c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207</v>
      </c>
      <c r="B132" s="36" t="s">
        <v>40</v>
      </c>
      <c r="C132" s="36"/>
      <c r="D132" s="36" t="s">
        <v>47</v>
      </c>
      <c r="E132" s="37"/>
      <c r="F132" s="34"/>
      <c r="G132" s="35" t="s">
        <v>208</v>
      </c>
      <c r="H132" s="36" t="s">
        <v>209</v>
      </c>
      <c r="I132" s="36"/>
      <c r="J132" s="36" t="s">
        <v>210</v>
      </c>
      <c r="K132" s="37"/>
      <c r="L132" s="34"/>
      <c r="M132" s="35" t="s">
        <v>207</v>
      </c>
      <c r="N132" s="36" t="s">
        <v>40</v>
      </c>
      <c r="O132" s="36"/>
      <c r="P132" s="36" t="s">
        <v>47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10599.6093459606</v>
      </c>
      <c r="B133" s="23" t="n">
        <f aca="false">IF(A105="YES", B89*B57, 0)</f>
        <v>315.574468085106</v>
      </c>
      <c r="C133" s="42"/>
      <c r="D133" s="70" t="n">
        <f aca="false">B91*B57</f>
        <v>10915.1838140457</v>
      </c>
      <c r="E133" s="37"/>
      <c r="F133" s="34"/>
      <c r="G133" s="178" t="n">
        <f aca="false">H90*H57</f>
        <v>7139.20420131264</v>
      </c>
      <c r="H133" s="23" t="n">
        <f aca="false">IF(G105="YES", H89*H57, 0)</f>
        <v>217.053658536585</v>
      </c>
      <c r="I133" s="42"/>
      <c r="J133" s="70" t="n">
        <f aca="false">H91*H57</f>
        <v>7356.25785984922</v>
      </c>
      <c r="K133" s="37"/>
      <c r="L133" s="34"/>
      <c r="M133" s="178" t="n">
        <f aca="false">N90*N57</f>
        <v>5906.94656443839</v>
      </c>
      <c r="N133" s="23" t="n">
        <f aca="false">IF(M105="YES", N89*N57, 0)</f>
        <v>180.878048780488</v>
      </c>
      <c r="O133" s="42"/>
      <c r="P133" s="70" t="n">
        <f aca="false">N91*N57</f>
        <v>6087.82461321888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66</v>
      </c>
      <c r="B135" s="36" t="s">
        <v>67</v>
      </c>
      <c r="C135" s="36"/>
      <c r="D135" s="36" t="s">
        <v>72</v>
      </c>
      <c r="E135" s="37"/>
      <c r="F135" s="34"/>
      <c r="G135" s="35" t="s">
        <v>211</v>
      </c>
      <c r="H135" s="36" t="s">
        <v>212</v>
      </c>
      <c r="I135" s="36"/>
      <c r="J135" s="36" t="s">
        <v>213</v>
      </c>
      <c r="K135" s="37"/>
      <c r="L135" s="34"/>
      <c r="M135" s="35" t="s">
        <v>66</v>
      </c>
      <c r="N135" s="36" t="s">
        <v>67</v>
      </c>
      <c r="O135" s="36"/>
      <c r="P135" s="36" t="s">
        <v>72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317" t="n">
        <f aca="false">E15*0.000006</f>
        <v>0.35115</v>
      </c>
      <c r="B136" s="318" t="n">
        <f aca="false">IF(A105="YES", E15*0.000002, 0)</f>
        <v>0.11705</v>
      </c>
      <c r="C136" s="23"/>
      <c r="D136" s="318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22" t="n">
        <f aca="false">E15*0.000006</f>
        <v>0.35115</v>
      </c>
      <c r="N136" s="23" t="n">
        <f aca="false">IF(M105="YES", E15*0.000002, 0)</f>
        <v>0.11705</v>
      </c>
      <c r="O136" s="23"/>
      <c r="P136" s="23" t="n">
        <f aca="false">M136+N136</f>
        <v>0.4682</v>
      </c>
      <c r="Q136" s="180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65</v>
      </c>
      <c r="B138" s="36" t="s">
        <v>214</v>
      </c>
      <c r="C138" s="36"/>
      <c r="D138" s="36" t="s">
        <v>215</v>
      </c>
      <c r="E138" s="37"/>
      <c r="F138" s="34"/>
      <c r="G138" s="35" t="s">
        <v>216</v>
      </c>
      <c r="H138" s="36" t="s">
        <v>214</v>
      </c>
      <c r="I138" s="36"/>
      <c r="J138" s="36" t="s">
        <v>215</v>
      </c>
      <c r="K138" s="37"/>
      <c r="L138" s="34"/>
      <c r="M138" s="35" t="s">
        <v>65</v>
      </c>
      <c r="N138" s="36" t="s">
        <v>214</v>
      </c>
      <c r="O138" s="36"/>
      <c r="P138" s="36" t="s">
        <v>215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1157.7</v>
      </c>
      <c r="C139" s="23"/>
      <c r="D139" s="23" t="n">
        <f aca="false">B102*0.9</f>
        <v>0</v>
      </c>
      <c r="E139" s="180"/>
      <c r="F139" s="34"/>
      <c r="G139" s="22" t="n">
        <f aca="false">G102</f>
        <v>199.99</v>
      </c>
      <c r="H139" s="23" t="n">
        <f aca="false">H67</f>
        <v>964.75</v>
      </c>
      <c r="I139" s="23"/>
      <c r="J139" s="23" t="n">
        <f aca="false">H102*0.9</f>
        <v>0</v>
      </c>
      <c r="K139" s="180"/>
      <c r="L139" s="34"/>
      <c r="M139" s="22" t="n">
        <f aca="false">M102</f>
        <v>199.99</v>
      </c>
      <c r="N139" s="23" t="n">
        <f aca="false">N67</f>
        <v>964.75</v>
      </c>
      <c r="O139" s="23"/>
      <c r="P139" s="23" t="n">
        <f aca="false">N102*0.9</f>
        <v>0</v>
      </c>
      <c r="Q139" s="180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217</v>
      </c>
      <c r="B141" s="36" t="s">
        <v>218</v>
      </c>
      <c r="C141" s="36"/>
      <c r="D141" s="36" t="s">
        <v>219</v>
      </c>
      <c r="E141" s="37"/>
      <c r="F141" s="34"/>
      <c r="G141" s="35" t="s">
        <v>217</v>
      </c>
      <c r="H141" s="36" t="s">
        <v>218</v>
      </c>
      <c r="I141" s="36"/>
      <c r="J141" s="36" t="s">
        <v>219</v>
      </c>
      <c r="K141" s="37"/>
      <c r="L141" s="34"/>
      <c r="M141" s="35" t="s">
        <v>217</v>
      </c>
      <c r="N141" s="36" t="s">
        <v>218</v>
      </c>
      <c r="O141" s="36"/>
      <c r="P141" s="36" t="s">
        <v>219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((B36*B105)*0.1)*(A130), 0)</f>
        <v>20.6</v>
      </c>
      <c r="B142" s="23" t="n">
        <f aca="false">A102-100</f>
        <v>99.99</v>
      </c>
      <c r="C142" s="23"/>
      <c r="D142" s="23" t="n">
        <f aca="false">(B139+D139+A142+B142)-B145</f>
        <v>1278.29</v>
      </c>
      <c r="E142" s="180"/>
      <c r="F142" s="34"/>
      <c r="G142" s="22" t="n">
        <f aca="false">IF(G105="YES", ((B36*H105)*0.1)*(G130), 0)</f>
        <v>20.6</v>
      </c>
      <c r="H142" s="23" t="n">
        <f aca="false">G102-100</f>
        <v>99.99</v>
      </c>
      <c r="I142" s="23"/>
      <c r="J142" s="23" t="n">
        <f aca="false">(H139+J139+G142+H142)-H145</f>
        <v>1085.34</v>
      </c>
      <c r="K142" s="180"/>
      <c r="L142" s="34"/>
      <c r="M142" s="22" t="n">
        <f aca="false">IF(M105="YES", ((B36*N105)*0.1)*(M130), 0)</f>
        <v>20.6</v>
      </c>
      <c r="N142" s="23" t="n">
        <f aca="false">M102-100</f>
        <v>99.99</v>
      </c>
      <c r="O142" s="23"/>
      <c r="P142" s="23" t="n">
        <f aca="false">(N139+P139+M142+N142)-N145</f>
        <v>1085.34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220</v>
      </c>
      <c r="B144" s="36" t="s">
        <v>221</v>
      </c>
      <c r="C144" s="36"/>
      <c r="D144" s="36"/>
      <c r="E144" s="37"/>
      <c r="F144" s="34"/>
      <c r="G144" s="35" t="s">
        <v>220</v>
      </c>
      <c r="H144" s="36" t="s">
        <v>221</v>
      </c>
      <c r="I144" s="36"/>
      <c r="J144" s="36"/>
      <c r="K144" s="37"/>
      <c r="L144" s="34"/>
      <c r="M144" s="35" t="s">
        <v>220</v>
      </c>
      <c r="N144" s="36" t="s">
        <v>221</v>
      </c>
      <c r="O144" s="36"/>
      <c r="P144" s="36"/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v>0</v>
      </c>
      <c r="B145" s="23" t="n">
        <f aca="false">(B139+D139+A142+B142)*(A145/B64)</f>
        <v>0</v>
      </c>
      <c r="C145" s="36"/>
      <c r="D145" s="36"/>
      <c r="E145" s="37"/>
      <c r="F145" s="34"/>
      <c r="G145" s="22" t="n">
        <v>0</v>
      </c>
      <c r="H145" s="23" t="n">
        <f aca="false">(H139+J139+G142+H142)*(G145/H64)</f>
        <v>0</v>
      </c>
      <c r="I145" s="36"/>
      <c r="J145" s="36"/>
      <c r="K145" s="37"/>
      <c r="L145" s="34"/>
      <c r="M145" s="22" t="n">
        <v>0</v>
      </c>
      <c r="N145" s="23" t="n">
        <f aca="false">(N139+P139+M142+N142)*(M145/N64)</f>
        <v>0</v>
      </c>
      <c r="O145" s="36"/>
      <c r="P145" s="36"/>
      <c r="Q145" s="37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22"/>
      <c r="N146" s="23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181" t="s">
        <v>222</v>
      </c>
      <c r="N147" s="26" t="s">
        <v>223</v>
      </c>
      <c r="O147" s="36"/>
      <c r="P147" s="36"/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224</v>
      </c>
      <c r="B148" s="36"/>
      <c r="C148" s="36"/>
      <c r="D148" s="215"/>
      <c r="E148" s="216"/>
      <c r="F148" s="34"/>
      <c r="G148" s="214" t="s">
        <v>224</v>
      </c>
      <c r="H148" s="36"/>
      <c r="I148" s="36"/>
      <c r="J148" s="215"/>
      <c r="K148" s="216"/>
      <c r="L148" s="34"/>
      <c r="M148" s="258" t="n">
        <v>18000</v>
      </c>
      <c r="N148" s="259" t="n">
        <v>0.99</v>
      </c>
      <c r="O148" s="259"/>
      <c r="P148" s="36"/>
      <c r="Q148" s="37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5"/>
      <c r="N150" s="36"/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10000</v>
      </c>
      <c r="C151" s="83"/>
      <c r="D151" s="36"/>
      <c r="E151" s="37"/>
      <c r="F151" s="34"/>
      <c r="G151" s="81"/>
      <c r="H151" s="83" t="n">
        <f aca="false">B51</f>
        <v>10000</v>
      </c>
      <c r="I151" s="83"/>
      <c r="J151" s="36"/>
      <c r="K151" s="37"/>
      <c r="L151" s="34"/>
      <c r="M151" s="214" t="s">
        <v>224</v>
      </c>
      <c r="N151" s="36"/>
      <c r="O151" s="36"/>
      <c r="P151" s="215"/>
      <c r="Q151" s="216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36</v>
      </c>
      <c r="B152" s="85" t="n">
        <f aca="false">B91</f>
        <v>909.598651170476</v>
      </c>
      <c r="C152" s="85"/>
      <c r="D152" s="36"/>
      <c r="E152" s="37"/>
      <c r="F152" s="34"/>
      <c r="G152" s="84" t="n">
        <f aca="false">A52</f>
        <v>36</v>
      </c>
      <c r="H152" s="85" t="n">
        <f aca="false">H91</f>
        <v>1226.04297664154</v>
      </c>
      <c r="I152" s="85"/>
      <c r="J152" s="36"/>
      <c r="K152" s="37"/>
      <c r="L152" s="34"/>
      <c r="M152" s="35"/>
      <c r="N152" s="80"/>
      <c r="O152" s="80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81" t="s">
        <v>76</v>
      </c>
      <c r="N153" s="82" t="s">
        <v>77</v>
      </c>
      <c r="O153" s="82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81"/>
      <c r="N154" s="83" t="n">
        <f aca="false">B51</f>
        <v>10000</v>
      </c>
      <c r="O154" s="83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84" t="n">
        <f aca="false">A52</f>
        <v>36</v>
      </c>
      <c r="N155" s="85" t="n">
        <f aca="false">N91</f>
        <v>1014.63743553648</v>
      </c>
      <c r="O155" s="85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5"/>
      <c r="N157" s="36"/>
      <c r="O157" s="36"/>
      <c r="P157" s="36"/>
      <c r="Q157" s="37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6"/>
      <c r="O158" s="36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6"/>
      <c r="O159" s="36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6"/>
      <c r="O160" s="36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6"/>
      <c r="O161" s="36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218"/>
      <c r="N162" s="219"/>
      <c r="O162" s="219"/>
      <c r="P162" s="219"/>
      <c r="Q162" s="220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M1" activeCellId="0" sqref="M1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18.7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n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n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n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n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50</v>
      </c>
      <c r="E32" s="47"/>
      <c r="F32" s="34"/>
      <c r="G32" s="48" t="s">
        <v>43</v>
      </c>
      <c r="H32" s="46" t="n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n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n">
        <v>12</v>
      </c>
      <c r="C35" s="44"/>
      <c r="D35" s="44" t="n">
        <v>5000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n">
        <v>500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50</v>
      </c>
      <c r="B41" s="71" t="n">
        <f aca="false">IF(B38="YES", D38+A41, D38)</f>
        <v>550</v>
      </c>
      <c r="C41" s="71"/>
      <c r="D41" s="64" t="n">
        <v>6000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n">
        <v>12</v>
      </c>
      <c r="B44" s="64" t="n">
        <v>1</v>
      </c>
      <c r="C44" s="64"/>
      <c r="D44" s="64" t="n">
        <v>1</v>
      </c>
      <c r="E44" s="64"/>
      <c r="F44" s="34"/>
      <c r="G44" s="34" t="s">
        <v>70</v>
      </c>
      <c r="H44" s="67" t="n">
        <f aca="false">H32</f>
        <v>50</v>
      </c>
      <c r="I44" s="212" t="n">
        <f aca="false">((A41*(B35-1))+D32)/B35</f>
        <v>50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n">
        <v>0.01</v>
      </c>
      <c r="C47" s="277"/>
      <c r="D47" s="64" t="n">
        <v>1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 t="s">
        <v>278</v>
      </c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43" t="s">
        <v>26</v>
      </c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269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254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n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n">
        <f aca="false">H29</f>
        <v>12</v>
      </c>
      <c r="B58" s="85" t="n">
        <f aca="false">H45</f>
        <v>551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12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180</v>
      </c>
      <c r="B68" s="225" t="n">
        <v>0.07</v>
      </c>
      <c r="C68" s="36"/>
      <c r="D68" s="36"/>
      <c r="E68" s="37"/>
      <c r="F68" s="34"/>
      <c r="G68" s="224" t="s">
        <v>180</v>
      </c>
      <c r="H68" s="225" t="n">
        <v>0.07</v>
      </c>
      <c r="I68" s="36"/>
      <c r="J68" s="36"/>
      <c r="K68" s="37"/>
      <c r="L68" s="34"/>
      <c r="M68" s="224" t="s">
        <v>180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181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181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181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182</v>
      </c>
      <c r="B80" s="228" t="n">
        <v>0</v>
      </c>
      <c r="C80" s="36"/>
      <c r="D80" s="36"/>
      <c r="E80" s="230" t="n">
        <f aca="false">E79+D82</f>
        <v>660</v>
      </c>
      <c r="F80" s="34"/>
      <c r="G80" s="224" t="s">
        <v>182</v>
      </c>
      <c r="H80" s="228" t="n">
        <v>150</v>
      </c>
      <c r="I80" s="36"/>
      <c r="J80" s="36"/>
      <c r="K80" s="37"/>
      <c r="L80" s="34"/>
      <c r="M80" s="231" t="s">
        <v>182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183</v>
      </c>
      <c r="B81" s="229" t="n">
        <v>0</v>
      </c>
      <c r="C81" s="36"/>
      <c r="D81" s="36"/>
      <c r="E81" s="37" t="n">
        <f aca="false">E80/12</f>
        <v>55</v>
      </c>
      <c r="F81" s="34"/>
      <c r="G81" s="191" t="s">
        <v>183</v>
      </c>
      <c r="H81" s="229" t="n">
        <f aca="false">IF(G18&gt;40000, 325, 0)</f>
        <v>325</v>
      </c>
      <c r="I81" s="36"/>
      <c r="J81" s="36"/>
      <c r="K81" s="37"/>
      <c r="L81" s="34"/>
      <c r="M81" s="233" t="s">
        <v>183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184</v>
      </c>
      <c r="B82" s="144" t="n">
        <f aca="false">((B80+B81)/12)*(H29-11)</f>
        <v>0</v>
      </c>
      <c r="C82" s="36"/>
      <c r="D82" s="199" t="n">
        <f aca="false">IF(A50="YES", 0, B82)</f>
        <v>0</v>
      </c>
      <c r="E82" s="37"/>
      <c r="F82" s="34"/>
      <c r="G82" s="218" t="s">
        <v>184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184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185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185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185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186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187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187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4711.95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392.6625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10723.95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90.8442718838241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10814.7942718838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((H44*B35)+((H44*B35)*B111))/(B63+B64)</f>
        <v>31.304347826087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IF(B105=Y104, (B93-D111)/(B64), B93/(B63+B64))</f>
        <v>470.208446603645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501.512794429732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260</v>
      </c>
      <c r="B100" s="33"/>
      <c r="C100" s="33"/>
      <c r="D100" s="33"/>
      <c r="E100" s="33"/>
      <c r="F100" s="34"/>
      <c r="G100" s="33" t="s">
        <v>189</v>
      </c>
      <c r="H100" s="33"/>
      <c r="I100" s="33"/>
      <c r="J100" s="33"/>
      <c r="K100" s="33"/>
      <c r="L100" s="34"/>
      <c r="M100" s="33" t="s">
        <v>188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190</v>
      </c>
      <c r="E104" s="37"/>
      <c r="F104" s="34"/>
      <c r="G104" s="35" t="s">
        <v>113</v>
      </c>
      <c r="H104" s="36" t="s">
        <v>38</v>
      </c>
      <c r="I104" s="36"/>
      <c r="J104" s="36" t="s">
        <v>190</v>
      </c>
      <c r="K104" s="37"/>
      <c r="L104" s="34"/>
      <c r="M104" s="35" t="s">
        <v>113</v>
      </c>
      <c r="N104" s="36" t="s">
        <v>38</v>
      </c>
      <c r="O104" s="36"/>
      <c r="P104" s="36" t="s">
        <v>190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 t="s">
        <v>192</v>
      </c>
      <c r="B105" s="249" t="s">
        <v>124</v>
      </c>
      <c r="C105" s="249"/>
      <c r="D105" s="250" t="n">
        <v>0</v>
      </c>
      <c r="E105" s="250"/>
      <c r="F105" s="34"/>
      <c r="G105" s="41" t="s">
        <v>192</v>
      </c>
      <c r="H105" s="249" t="s">
        <v>126</v>
      </c>
      <c r="I105" s="249"/>
      <c r="J105" s="250" t="n">
        <v>5000</v>
      </c>
      <c r="K105" s="250"/>
      <c r="L105" s="34"/>
      <c r="M105" s="41" t="s">
        <v>192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193</v>
      </c>
      <c r="B107" s="36" t="s">
        <v>194</v>
      </c>
      <c r="C107" s="36"/>
      <c r="D107" s="36" t="s">
        <v>195</v>
      </c>
      <c r="E107" s="37"/>
      <c r="F107" s="34"/>
      <c r="G107" s="35" t="s">
        <v>193</v>
      </c>
      <c r="H107" s="36" t="s">
        <v>194</v>
      </c>
      <c r="I107" s="36"/>
      <c r="J107" s="36" t="s">
        <v>195</v>
      </c>
      <c r="K107" s="37"/>
      <c r="L107" s="34"/>
      <c r="M107" s="35" t="s">
        <v>193</v>
      </c>
      <c r="N107" s="36" t="s">
        <v>194</v>
      </c>
      <c r="O107" s="36"/>
      <c r="P107" s="36" t="s">
        <v>195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52" t="n">
        <v>0.2</v>
      </c>
      <c r="C111" s="252"/>
      <c r="D111" s="124" t="n">
        <v>200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/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198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199</v>
      </c>
      <c r="B114" s="38"/>
      <c r="C114" s="38"/>
      <c r="D114" s="38"/>
      <c r="E114" s="38"/>
      <c r="F114" s="34"/>
      <c r="G114" s="38" t="s">
        <v>199</v>
      </c>
      <c r="H114" s="38"/>
      <c r="I114" s="38"/>
      <c r="J114" s="38"/>
      <c r="K114" s="38"/>
      <c r="L114" s="34"/>
      <c r="M114" s="38" t="s">
        <v>199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200</v>
      </c>
      <c r="B116" s="43" t="s">
        <v>26</v>
      </c>
      <c r="C116" s="36"/>
      <c r="D116" s="36"/>
      <c r="E116" s="37"/>
      <c r="F116" s="34"/>
      <c r="G116" s="35" t="s">
        <v>200</v>
      </c>
      <c r="H116" s="43" t="s">
        <v>25</v>
      </c>
      <c r="I116" s="36"/>
      <c r="J116" s="36"/>
      <c r="K116" s="37"/>
      <c r="L116" s="34"/>
      <c r="M116" s="35" t="s">
        <v>200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0</v>
      </c>
      <c r="E118" s="124" t="n">
        <v>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0</v>
      </c>
      <c r="E119" s="124" t="n">
        <v>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0</v>
      </c>
      <c r="E120" s="164" t="n">
        <f aca="false">E118-E119</f>
        <v>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201</v>
      </c>
      <c r="B125" s="219"/>
      <c r="C125" s="219"/>
      <c r="D125" s="219"/>
      <c r="E125" s="144" t="n">
        <f aca="false">(E124+E123)-E120</f>
        <v>199.99</v>
      </c>
      <c r="F125" s="34"/>
      <c r="G125" s="253" t="s">
        <v>201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201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202</v>
      </c>
      <c r="B128" s="38"/>
      <c r="C128" s="38"/>
      <c r="D128" s="38"/>
      <c r="E128" s="38"/>
      <c r="F128" s="34"/>
      <c r="G128" s="38" t="s">
        <v>202</v>
      </c>
      <c r="H128" s="38"/>
      <c r="I128" s="38"/>
      <c r="J128" s="38"/>
      <c r="K128" s="38"/>
      <c r="L128" s="34"/>
      <c r="M128" s="38" t="s">
        <v>202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1200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n">
        <f aca="false">A158</f>
        <v>12</v>
      </c>
      <c r="B133" s="52" t="n">
        <f aca="false">B157</f>
        <v>5000</v>
      </c>
      <c r="C133" s="53"/>
      <c r="D133" s="52" t="n">
        <f aca="false">B64</f>
        <v>11</v>
      </c>
      <c r="E133" s="37"/>
      <c r="F133" s="34"/>
      <c r="G133" s="51" t="n">
        <f aca="false">G158</f>
        <v>12</v>
      </c>
      <c r="H133" s="52" t="n">
        <f aca="false">B157</f>
        <v>5000</v>
      </c>
      <c r="I133" s="53"/>
      <c r="J133" s="52" t="n">
        <f aca="false">B64</f>
        <v>11</v>
      </c>
      <c r="K133" s="37"/>
      <c r="L133" s="34"/>
      <c r="M133" s="51" t="n">
        <f aca="false">M161</f>
        <v>12</v>
      </c>
      <c r="N133" s="52" t="n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203</v>
      </c>
      <c r="B135" s="255" t="s">
        <v>61</v>
      </c>
      <c r="C135" s="255"/>
      <c r="D135" s="255" t="s">
        <v>62</v>
      </c>
      <c r="E135" s="37"/>
      <c r="F135" s="34"/>
      <c r="G135" s="254" t="s">
        <v>204</v>
      </c>
      <c r="H135" s="255" t="s">
        <v>205</v>
      </c>
      <c r="I135" s="255"/>
      <c r="J135" s="255" t="s">
        <v>206</v>
      </c>
      <c r="K135" s="37"/>
      <c r="L135" s="34"/>
      <c r="M135" s="254" t="s">
        <v>203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470.208446603645</v>
      </c>
      <c r="B136" s="173" t="n">
        <f aca="false">IF(A111="YES", B95*B63, 0)</f>
        <v>375.652173913043</v>
      </c>
      <c r="C136" s="173"/>
      <c r="D136" s="173" t="n">
        <f aca="false">B97</f>
        <v>501.512794429732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207</v>
      </c>
      <c r="B138" s="36" t="s">
        <v>40</v>
      </c>
      <c r="C138" s="36"/>
      <c r="D138" s="36" t="s">
        <v>47</v>
      </c>
      <c r="E138" s="37"/>
      <c r="F138" s="34"/>
      <c r="G138" s="35" t="s">
        <v>208</v>
      </c>
      <c r="H138" s="36" t="s">
        <v>209</v>
      </c>
      <c r="I138" s="36"/>
      <c r="J138" s="36" t="s">
        <v>210</v>
      </c>
      <c r="K138" s="37"/>
      <c r="L138" s="34"/>
      <c r="M138" s="35" t="s">
        <v>207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5642.50135924373</v>
      </c>
      <c r="B139" s="23" t="n">
        <f aca="false">IF(A111="YES", B95*B63, 0)</f>
        <v>375.652173913043</v>
      </c>
      <c r="C139" s="42"/>
      <c r="D139" s="70" t="n">
        <f aca="false">B97*B63</f>
        <v>6018.15353315678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211</v>
      </c>
      <c r="H141" s="36" t="s">
        <v>212</v>
      </c>
      <c r="I141" s="36"/>
      <c r="J141" s="36" t="s">
        <v>213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214</v>
      </c>
      <c r="C144" s="36"/>
      <c r="D144" s="36" t="s">
        <v>215</v>
      </c>
      <c r="E144" s="37"/>
      <c r="F144" s="34"/>
      <c r="G144" s="35" t="s">
        <v>216</v>
      </c>
      <c r="H144" s="36" t="s">
        <v>214</v>
      </c>
      <c r="I144" s="36"/>
      <c r="J144" s="36" t="s">
        <v>215</v>
      </c>
      <c r="K144" s="37"/>
      <c r="L144" s="34"/>
      <c r="M144" s="35" t="s">
        <v>65</v>
      </c>
      <c r="N144" s="36" t="s">
        <v>214</v>
      </c>
      <c r="O144" s="36"/>
      <c r="P144" s="36" t="s">
        <v>215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217</v>
      </c>
      <c r="B147" s="36" t="s">
        <v>218</v>
      </c>
      <c r="C147" s="36"/>
      <c r="D147" s="36" t="s">
        <v>219</v>
      </c>
      <c r="E147" s="37"/>
      <c r="F147" s="34"/>
      <c r="G147" s="35" t="s">
        <v>217</v>
      </c>
      <c r="H147" s="36" t="s">
        <v>218</v>
      </c>
      <c r="I147" s="36"/>
      <c r="J147" s="36" t="s">
        <v>219</v>
      </c>
      <c r="K147" s="37"/>
      <c r="L147" s="34"/>
      <c r="M147" s="35" t="s">
        <v>217</v>
      </c>
      <c r="N147" s="36" t="s">
        <v>218</v>
      </c>
      <c r="O147" s="36"/>
      <c r="P147" s="36" t="s">
        <v>219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12</v>
      </c>
      <c r="B148" s="23" t="n">
        <f aca="false">A108-100</f>
        <v>99.99</v>
      </c>
      <c r="C148" s="23"/>
      <c r="D148" s="23" t="n">
        <f aca="false">(B145+D145+A148+B148)-B151</f>
        <v>594.365</v>
      </c>
      <c r="E148" s="180"/>
      <c r="F148" s="34"/>
      <c r="G148" s="22" t="n">
        <f aca="false">IF(G111="YES", ((A41*H111)*0.1)*(G133), 0)</f>
        <v>12</v>
      </c>
      <c r="H148" s="23" t="n">
        <f aca="false">G108-100</f>
        <v>139.988</v>
      </c>
      <c r="I148" s="23"/>
      <c r="J148" s="23" t="n">
        <f aca="false">(H145+J145+G148+H148)-H151</f>
        <v>1473.1755</v>
      </c>
      <c r="K148" s="180"/>
      <c r="L148" s="34"/>
      <c r="M148" s="22" t="n">
        <f aca="false">IF(M111="YES", ((A41*N111)*0.1)*(M133), 0)</f>
        <v>12</v>
      </c>
      <c r="N148" s="23" t="n">
        <f aca="false">M108-100</f>
        <v>99.99</v>
      </c>
      <c r="O148" s="23"/>
      <c r="P148" s="23" t="n">
        <f aca="false">(N145+P145+M148+N148)-N151</f>
        <v>1433.1775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220</v>
      </c>
      <c r="B150" s="36" t="s">
        <v>221</v>
      </c>
      <c r="C150" s="36"/>
      <c r="D150" s="36"/>
      <c r="E150" s="37"/>
      <c r="F150" s="34"/>
      <c r="G150" s="35" t="s">
        <v>220</v>
      </c>
      <c r="H150" s="36" t="s">
        <v>221</v>
      </c>
      <c r="I150" s="36"/>
      <c r="J150" s="36"/>
      <c r="K150" s="37"/>
      <c r="L150" s="34"/>
      <c r="M150" s="35" t="s">
        <v>220</v>
      </c>
      <c r="N150" s="36" t="s">
        <v>221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222</v>
      </c>
      <c r="N153" s="26" t="s">
        <v>223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224</v>
      </c>
      <c r="B154" s="36"/>
      <c r="C154" s="36"/>
      <c r="D154" s="215"/>
      <c r="E154" s="216"/>
      <c r="F154" s="34"/>
      <c r="G154" s="214" t="s">
        <v>224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n">
        <f aca="false">B57</f>
        <v>5000</v>
      </c>
      <c r="C157" s="83"/>
      <c r="D157" s="36"/>
      <c r="E157" s="37"/>
      <c r="F157" s="34"/>
      <c r="G157" s="81"/>
      <c r="H157" s="83" t="n">
        <f aca="false">B57</f>
        <v>5000</v>
      </c>
      <c r="I157" s="83"/>
      <c r="J157" s="36"/>
      <c r="K157" s="37"/>
      <c r="L157" s="34"/>
      <c r="M157" s="214" t="s">
        <v>224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n">
        <f aca="false">A58</f>
        <v>12</v>
      </c>
      <c r="B158" s="85" t="n">
        <f aca="false">B97</f>
        <v>501.512794429732</v>
      </c>
      <c r="C158" s="85"/>
      <c r="D158" s="36"/>
      <c r="E158" s="37"/>
      <c r="F158" s="34"/>
      <c r="G158" s="84" t="n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n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n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32" activeCellId="0" sqref="A32"/>
    </sheetView>
  </sheetViews>
  <sheetFormatPr defaultColWidth="11.11718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(B3+C3+E10+D3+E3)*1.2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IF(A32=Z101,1,IF(A32=Z102,1,IF(A32=Z103,3,IF(A32=Z104,6,IF(A32=Z105,9,IF(A32=Z106,12,IF(A32=Z107,3,IF(A32=Z108,6,IF(A32=Z109,9,0)))))))))</f>
        <v>1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IF(A32=Z101,H29-H27,IF(A32=Z102,H29-H27,IF(A32=Z103,H29-1,IF(A32=Z104,H29-1,IF(A32=Z105,H29-1,IF(A32=Z106,H29-1,IF(A32=Z107,H29-H27,IF(A32=Z108,H29-H27,IF(A32=Z109,H29-H27,0)))))))))</f>
        <v>11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44923</v>
      </c>
      <c r="E29" s="45"/>
      <c r="F29" s="34"/>
      <c r="G29" s="39" t="s">
        <v>36</v>
      </c>
      <c r="H29" s="39" t="n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n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n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n">
        <f aca="false">IF(A32=Z101,D38,IF(A32=Z102,D38,IF(A32=Z103,(D38*3),IF(A32=Z104,(D38*6),IF(A32=Z105,(D38*9),IF(A32=Z106,(D38*12),IF(A32=Z107,D38,IF(A32=Z108,D38,IF(A32=Z109,D38,0)))))))))</f>
        <v>500</v>
      </c>
      <c r="C32" s="47"/>
      <c r="D32" s="47" t="n">
        <f aca="false">IF(A32=Z101,A41,IF(A32=Z102,A41,IF(A32=Z103,(A41*3),IF(A32=Z104,(A41*6),IF(A32=Z105,(A41*9),IF(A32=Z106,(A41*12),IF(A32=Z107,A41,IF(A32=Z108,A41,IF(A32=Z109,A41,0)))))))))</f>
        <v>50</v>
      </c>
      <c r="E32" s="47"/>
      <c r="F32" s="34"/>
      <c r="G32" s="48" t="s">
        <v>43</v>
      </c>
      <c r="H32" s="46" t="n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/>
      <c r="H33" s="39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n">
        <f aca="false">D41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n">
        <v>12</v>
      </c>
      <c r="C35" s="44"/>
      <c r="D35" s="44" t="n">
        <v>5000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n">
        <v>500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65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50</v>
      </c>
      <c r="B41" s="71" t="n">
        <f aca="false">IF(B38="YES", D38+A41, D38)</f>
        <v>550</v>
      </c>
      <c r="C41" s="71"/>
      <c r="D41" s="64" t="n">
        <v>12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66</v>
      </c>
      <c r="B43" s="69" t="s">
        <v>67</v>
      </c>
      <c r="C43" s="53"/>
      <c r="D43" s="69" t="s">
        <v>72</v>
      </c>
      <c r="E43" s="73"/>
      <c r="F43" s="34"/>
      <c r="G43" s="34" t="s">
        <v>68</v>
      </c>
      <c r="H43" s="67" t="n">
        <f aca="false">(((D38*(B35-1))+B32)/B35) + (D41/B35)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n">
        <v>1</v>
      </c>
      <c r="B44" s="64" t="n">
        <v>1</v>
      </c>
      <c r="C44" s="64"/>
      <c r="D44" s="279" t="n">
        <f aca="false">A44+B44</f>
        <v>2</v>
      </c>
      <c r="E44" s="279"/>
      <c r="F44" s="34"/>
      <c r="G44" s="34" t="s">
        <v>70</v>
      </c>
      <c r="H44" s="67" t="n">
        <f aca="false">((A41*(B35-1))+D32)/B35</f>
        <v>50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3" t="s">
        <v>269</v>
      </c>
      <c r="B46" s="53"/>
      <c r="C46" s="53"/>
      <c r="D46" s="53"/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66"/>
      <c r="B47" s="53"/>
      <c r="C47" s="53"/>
      <c r="D47" s="53"/>
      <c r="E47" s="73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254</v>
      </c>
      <c r="B48" s="36"/>
      <c r="C48" s="36"/>
      <c r="D48" s="215"/>
      <c r="E48" s="216"/>
      <c r="F48" s="34"/>
      <c r="G48" s="34"/>
      <c r="H48" s="67" t="n">
        <f aca="false">(A41*(B58+B57))</f>
        <v>600</v>
      </c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/>
      <c r="H49" s="21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5000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12</v>
      </c>
      <c r="B52" s="85" t="n">
        <f aca="false">H45</f>
        <v>551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IF(B99=Z101,1,IF(B99=Z102,1,IF(B99=Z103,3,IF(B99=Z104,6,IF(B99=Z105,9,IF(B99=Z106,12,IF(B99=Z107,3,IF(B99=Z108,6,IF(B99=Z109,9,0)))))))))</f>
        <v>1</v>
      </c>
      <c r="C57" s="36"/>
      <c r="D57" s="36"/>
      <c r="E57" s="37"/>
      <c r="F57" s="34"/>
      <c r="G57" s="35" t="s">
        <v>30</v>
      </c>
      <c r="H57" s="36" t="n">
        <f aca="false">IF(H99=Z101,1,IF(H99=Z102,1,IF(H99=Z103,3,IF(H99=Z104,6,IF(H99=Z105,9,IF(H99=Z106,12,IF(H99=Z107,3,IF(H99=Z108,6,IF(H99=Z109,9,0)))))))))</f>
        <v>1</v>
      </c>
      <c r="I57" s="36"/>
      <c r="J57" s="36"/>
      <c r="K57" s="37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IF(B99=Z101,H29-B57,IF(B99=Z102,H29-B57,IF(B99=Z103,H29-1,IF(B99=Z104,H29-1,IF(B99=Z105,H29-1,IF(B99=Z106,H29-1,IF(B99=Z107,H29-B57,IF(B99=Z108,H29-B57,IF(B99=Z109,H29-B57,0)))))))))</f>
        <v>11</v>
      </c>
      <c r="C58" s="36" t="s">
        <v>270</v>
      </c>
      <c r="D58" s="36"/>
      <c r="E58" s="37"/>
      <c r="F58" s="34"/>
      <c r="G58" s="35" t="s">
        <v>34</v>
      </c>
      <c r="H58" s="36" t="n">
        <f aca="false">IF(H99=Z101,H29-H57,IF(H99=Z102,H29-H57,IF(H99=Z103,H29-1,IF(H99=Z104,H29-1,IF(H99=Z105,H29-1,IF(H99=Z106,H29-1,IF(H99=Z107,H29-H57,IF(H99=Z108,H29-H57,IF(H99=Z109,H29-H57,0)))))))))</f>
        <v>11</v>
      </c>
      <c r="I58" s="36"/>
      <c r="J58" s="36"/>
      <c r="K58" s="37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180</v>
      </c>
      <c r="B62" s="225" t="n">
        <v>0.07</v>
      </c>
      <c r="C62" s="36"/>
      <c r="D62" s="36"/>
      <c r="E62" s="37"/>
      <c r="F62" s="34"/>
      <c r="G62" s="224" t="s">
        <v>180</v>
      </c>
      <c r="H62" s="225" t="n">
        <v>0.07</v>
      </c>
      <c r="I62" s="36"/>
      <c r="J62" s="36"/>
      <c r="K62" s="37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181</v>
      </c>
      <c r="B63" s="197" t="n">
        <f aca="false">B62+(B62*0.25*(H29/12-1))</f>
        <v>0.07</v>
      </c>
      <c r="C63" s="36"/>
      <c r="D63" s="36"/>
      <c r="E63" s="37"/>
      <c r="F63" s="34"/>
      <c r="G63" s="35" t="s">
        <v>181</v>
      </c>
      <c r="H63" s="197" t="n">
        <f aca="false">H62+(H62*0.25*(H29/12-1))</f>
        <v>0.07</v>
      </c>
      <c r="I63" s="36"/>
      <c r="J63" s="36"/>
      <c r="K63" s="37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4051.95</v>
      </c>
      <c r="C64" s="36"/>
      <c r="D64" s="199" t="n">
        <f aca="false">B64</f>
        <v>4051.95</v>
      </c>
      <c r="E64" s="37"/>
      <c r="F64" s="34"/>
      <c r="G64" s="218" t="s">
        <v>82</v>
      </c>
      <c r="H64" s="144" t="n">
        <f aca="false">H61*H63</f>
        <v>4051.95</v>
      </c>
      <c r="I64" s="36"/>
      <c r="J64" s="199" t="n">
        <f aca="false">H64</f>
        <v>4051.95</v>
      </c>
      <c r="K64" s="37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0.005</v>
      </c>
      <c r="I65" s="36"/>
      <c r="J65" s="36"/>
      <c r="K65" s="37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0.01</v>
      </c>
      <c r="C66" s="36"/>
      <c r="D66" s="36"/>
      <c r="E66" s="37"/>
      <c r="F66" s="34"/>
      <c r="G66" s="35" t="s">
        <v>84</v>
      </c>
      <c r="H66" s="197" t="n">
        <f aca="false">H65+(H65*0.5*(H29/12-1))</f>
        <v>0.005</v>
      </c>
      <c r="I66" s="36"/>
      <c r="J66" s="36"/>
      <c r="K66" s="37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B61*B66</f>
        <v>578.85</v>
      </c>
      <c r="C67" s="36"/>
      <c r="D67" s="199"/>
      <c r="E67" s="37"/>
      <c r="F67" s="34"/>
      <c r="G67" s="218" t="s">
        <v>85</v>
      </c>
      <c r="H67" s="144" t="n">
        <f aca="false">H61*H66</f>
        <v>289.425</v>
      </c>
      <c r="I67" s="36"/>
      <c r="J67" s="199"/>
      <c r="K67" s="37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60</v>
      </c>
      <c r="C73" s="36"/>
      <c r="D73" s="199" t="n">
        <f aca="false">B73+B71</f>
        <v>260</v>
      </c>
      <c r="E73" s="37"/>
      <c r="F73" s="34"/>
      <c r="G73" s="218" t="s">
        <v>91</v>
      </c>
      <c r="H73" s="144" t="n">
        <f aca="false">H72*H29</f>
        <v>54</v>
      </c>
      <c r="I73" s="36"/>
      <c r="J73" s="199" t="n">
        <f aca="false">H73+H71</f>
        <v>214</v>
      </c>
      <c r="K73" s="37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182</v>
      </c>
      <c r="B74" s="228" t="n">
        <v>0</v>
      </c>
      <c r="C74" s="36"/>
      <c r="D74" s="36"/>
      <c r="E74" s="37"/>
      <c r="F74" s="34"/>
      <c r="G74" s="224" t="s">
        <v>182</v>
      </c>
      <c r="H74" s="228" t="n">
        <v>150</v>
      </c>
      <c r="I74" s="36"/>
      <c r="J74" s="36"/>
      <c r="K74" s="37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183</v>
      </c>
      <c r="B75" s="229" t="n">
        <v>0</v>
      </c>
      <c r="C75" s="36"/>
      <c r="D75" s="36"/>
      <c r="E75" s="37"/>
      <c r="F75" s="34"/>
      <c r="G75" s="191" t="s">
        <v>183</v>
      </c>
      <c r="H75" s="229" t="n">
        <f aca="false">IF(G18&gt;40000, 325, 0)</f>
        <v>325</v>
      </c>
      <c r="I75" s="36"/>
      <c r="J75" s="36"/>
      <c r="K75" s="37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184</v>
      </c>
      <c r="B76" s="144" t="n">
        <f aca="false">((B74+B75)/12)*(H29-11)</f>
        <v>0</v>
      </c>
      <c r="C76" s="36"/>
      <c r="D76" s="199" t="n">
        <f aca="false">B76</f>
        <v>0</v>
      </c>
      <c r="E76" s="37"/>
      <c r="F76" s="34"/>
      <c r="G76" s="218" t="s">
        <v>184</v>
      </c>
      <c r="H76" s="144" t="n">
        <f aca="false">((H74+H75)/12)*(H29-11)</f>
        <v>39.5833333333333</v>
      </c>
      <c r="I76" s="36"/>
      <c r="J76" s="199" t="n">
        <f aca="false">H76</f>
        <v>39.5833333333333</v>
      </c>
      <c r="K76" s="37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185</v>
      </c>
      <c r="B77" s="228" t="n">
        <f aca="false">B102</f>
        <v>0</v>
      </c>
      <c r="C77" s="36"/>
      <c r="D77" s="199" t="n">
        <f aca="false">B77</f>
        <v>0</v>
      </c>
      <c r="E77" s="37"/>
      <c r="F77" s="34"/>
      <c r="G77" s="224" t="s">
        <v>185</v>
      </c>
      <c r="H77" s="228" t="n">
        <f aca="false">H102</f>
        <v>1200</v>
      </c>
      <c r="I77" s="36"/>
      <c r="J77" s="199" t="n">
        <f aca="false">H77</f>
        <v>1200</v>
      </c>
      <c r="K77" s="37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187</v>
      </c>
      <c r="B78" s="198" t="n">
        <f aca="false">D102</f>
        <v>0</v>
      </c>
      <c r="C78" s="36"/>
      <c r="D78" s="199" t="n">
        <f aca="false">B78</f>
        <v>0</v>
      </c>
      <c r="E78" s="37"/>
      <c r="F78" s="34"/>
      <c r="G78" s="35" t="s">
        <v>187</v>
      </c>
      <c r="H78" s="198" t="n">
        <f aca="false">J102</f>
        <v>0</v>
      </c>
      <c r="I78" s="36"/>
      <c r="J78" s="199" t="n">
        <f aca="false">H78</f>
        <v>0</v>
      </c>
      <c r="K78" s="37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7"/>
      <c r="F79" s="34"/>
      <c r="G79" s="191" t="s">
        <v>92</v>
      </c>
      <c r="H79" s="229" t="n">
        <v>100</v>
      </c>
      <c r="I79" s="36"/>
      <c r="J79" s="199" t="n">
        <f aca="false">H79</f>
        <v>100</v>
      </c>
      <c r="K79" s="37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7"/>
      <c r="F80" s="34"/>
      <c r="G80" s="237" t="s">
        <v>93</v>
      </c>
      <c r="H80" s="238" t="n">
        <v>100</v>
      </c>
      <c r="I80" s="36"/>
      <c r="J80" s="199" t="n">
        <f aca="false">H80</f>
        <v>100</v>
      </c>
      <c r="K80" s="37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4711.95</v>
      </c>
      <c r="C81" s="36"/>
      <c r="D81" s="36"/>
      <c r="E81" s="37"/>
      <c r="F81" s="34"/>
      <c r="G81" s="239" t="s">
        <v>94</v>
      </c>
      <c r="H81" s="240" t="n">
        <f aca="false">SUM(J64:J80)</f>
        <v>5705.53333333333</v>
      </c>
      <c r="I81" s="36"/>
      <c r="J81" s="36"/>
      <c r="K81" s="37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392.6625</v>
      </c>
      <c r="C82" s="36"/>
      <c r="D82" s="36"/>
      <c r="E82" s="37"/>
      <c r="F82" s="34"/>
      <c r="G82" s="35" t="s">
        <v>95</v>
      </c>
      <c r="H82" s="198" t="n">
        <f aca="false">H81/H29</f>
        <v>475.461111111111</v>
      </c>
      <c r="I82" s="36"/>
      <c r="J82" s="36"/>
      <c r="K82" s="37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H46</f>
        <v>501</v>
      </c>
      <c r="C83" s="36"/>
      <c r="D83" s="36"/>
      <c r="E83" s="37"/>
      <c r="F83" s="34"/>
      <c r="G83" s="241" t="s">
        <v>96</v>
      </c>
      <c r="H83" s="242" t="n">
        <f aca="false">H46</f>
        <v>501</v>
      </c>
      <c r="I83" s="36"/>
      <c r="J83" s="36"/>
      <c r="K83" s="37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7"/>
      <c r="F84" s="34"/>
      <c r="G84" s="35"/>
      <c r="H84" s="199"/>
      <c r="I84" s="36"/>
      <c r="J84" s="36"/>
      <c r="K84" s="37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((B83*(H29)+B81))</f>
        <v>10723.95</v>
      </c>
      <c r="C85" s="36"/>
      <c r="D85" s="36"/>
      <c r="E85" s="37"/>
      <c r="F85" s="34"/>
      <c r="G85" s="221" t="s">
        <v>106</v>
      </c>
      <c r="H85" s="142" t="n">
        <f aca="false">((H83*(H27+H28))+H81)*1.2</f>
        <v>14061.04</v>
      </c>
      <c r="I85" s="36"/>
      <c r="J85" s="36"/>
      <c r="K85" s="37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(B85/(1-B70))*B70</f>
        <v>90.8442718838241</v>
      </c>
      <c r="C86" s="36"/>
      <c r="D86" s="36"/>
      <c r="E86" s="37"/>
      <c r="F86" s="34"/>
      <c r="G86" s="35" t="s">
        <v>107</v>
      </c>
      <c r="H86" s="198" t="n">
        <f aca="false">(((H83*(H27+H28))+H81)/(1-H70))*H70</f>
        <v>99.2610730133118</v>
      </c>
      <c r="I86" s="36"/>
      <c r="J86" s="36"/>
      <c r="K86" s="37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IF(B110="YES",((B85+B86)-A151-E114),((B85+B86)-A151))</f>
        <v>10814.7942718838</v>
      </c>
      <c r="C87" s="36"/>
      <c r="D87" s="36"/>
      <c r="E87" s="37"/>
      <c r="F87" s="34"/>
      <c r="G87" s="218" t="s">
        <v>108</v>
      </c>
      <c r="H87" s="144" t="n">
        <f aca="false">IF(H110="YES",((H85+H86)-A151-K114),((H85+H86)-A151))</f>
        <v>14160.3010730133</v>
      </c>
      <c r="I87" s="36"/>
      <c r="J87" s="36"/>
      <c r="K87" s="37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80" t="n">
        <f aca="false">IF(B99=Z102,(((H44*B35)+(H44*B35)*(B105/100))/(B58)),(((H44*B35)+(H44*B35)*(B105/100))/(B57+B58)))</f>
        <v>60</v>
      </c>
      <c r="C89" s="36" t="s">
        <v>197</v>
      </c>
      <c r="D89" s="36"/>
      <c r="E89" s="37"/>
      <c r="F89" s="34"/>
      <c r="G89" s="239" t="s">
        <v>109</v>
      </c>
      <c r="H89" s="240" t="n">
        <f aca="false">(A41+(A41*H105))*1.2</f>
        <v>72</v>
      </c>
      <c r="I89" s="36"/>
      <c r="J89" s="36"/>
      <c r="K89" s="37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IF(B99=Z102, (B87-D105)/(B58), B87/(B57+B58))</f>
        <v>901.232855990319</v>
      </c>
      <c r="C90" s="36"/>
      <c r="D90" s="36"/>
      <c r="E90" s="37"/>
      <c r="F90" s="34"/>
      <c r="G90" s="244" t="s">
        <v>110</v>
      </c>
      <c r="H90" s="245" t="n">
        <f aca="false">IF(H99=AE98, (H87-J105)/(H58), H87/(H57+H58))</f>
        <v>1180.02508941778</v>
      </c>
      <c r="I90" s="36"/>
      <c r="K90" s="37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961.232855990319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1252.02508941778</v>
      </c>
      <c r="I91" s="36"/>
      <c r="J91" s="36"/>
      <c r="K91" s="37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46.5" hidden="false" customHeight="true" outlineLevel="0" collapsed="false">
      <c r="A94" s="33" t="s">
        <v>260</v>
      </c>
      <c r="B94" s="33"/>
      <c r="C94" s="33"/>
      <c r="D94" s="33"/>
      <c r="E94" s="33"/>
      <c r="F94" s="34"/>
      <c r="G94" s="33" t="s">
        <v>189</v>
      </c>
      <c r="H94" s="33"/>
      <c r="I94" s="33"/>
      <c r="J94" s="33"/>
      <c r="K94" s="33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190</v>
      </c>
      <c r="E98" s="37"/>
      <c r="F98" s="34"/>
      <c r="G98" s="35" t="s">
        <v>113</v>
      </c>
      <c r="H98" s="36" t="s">
        <v>38</v>
      </c>
      <c r="I98" s="36"/>
      <c r="J98" s="36" t="s">
        <v>190</v>
      </c>
      <c r="K98" s="37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41" t="s">
        <v>192</v>
      </c>
      <c r="B99" s="249" t="s">
        <v>42</v>
      </c>
      <c r="C99" s="249"/>
      <c r="D99" s="124" t="n">
        <v>1000</v>
      </c>
      <c r="E99" s="124"/>
      <c r="F99" s="34"/>
      <c r="G99" s="41" t="s">
        <v>192</v>
      </c>
      <c r="H99" s="249" t="s">
        <v>42</v>
      </c>
      <c r="I99" s="249"/>
      <c r="J99" s="124" t="n">
        <v>0</v>
      </c>
      <c r="K99" s="12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customFormat="false" ht="18.75" hidden="false" customHeight="true" outlineLevel="0" collapsed="false">
      <c r="A101" s="35" t="s">
        <v>193</v>
      </c>
      <c r="B101" s="36" t="s">
        <v>194</v>
      </c>
      <c r="C101" s="36"/>
      <c r="D101" s="36" t="s">
        <v>195</v>
      </c>
      <c r="E101" s="37"/>
      <c r="F101" s="34"/>
      <c r="G101" s="35" t="s">
        <v>193</v>
      </c>
      <c r="H101" s="36" t="s">
        <v>194</v>
      </c>
      <c r="I101" s="36"/>
      <c r="J101" s="36" t="s">
        <v>195</v>
      </c>
      <c r="K101" s="37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 t="s">
        <v>42</v>
      </c>
      <c r="AA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f aca="false">199.99*1.2</f>
        <v>239.988</v>
      </c>
      <c r="H102" s="124" t="n">
        <v>1200</v>
      </c>
      <c r="I102" s="124"/>
      <c r="J102" s="124" t="n">
        <v>0</v>
      </c>
      <c r="K102" s="12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 t="s">
        <v>115</v>
      </c>
      <c r="AA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Z103" s="34" t="s">
        <v>117</v>
      </c>
      <c r="AA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Z104" s="34" t="s">
        <v>118</v>
      </c>
      <c r="AA104" s="34"/>
    </row>
    <row r="105" customFormat="false" ht="18.75" hidden="false" customHeight="true" outlineLevel="0" collapsed="false">
      <c r="A105" s="43" t="s">
        <v>25</v>
      </c>
      <c r="B105" s="249" t="n">
        <v>20</v>
      </c>
      <c r="C105" s="249"/>
      <c r="D105" s="124" t="n">
        <v>200</v>
      </c>
      <c r="E105" s="124"/>
      <c r="F105" s="34"/>
      <c r="G105" s="43" t="s">
        <v>25</v>
      </c>
      <c r="H105" s="252" t="n">
        <v>0.2</v>
      </c>
      <c r="I105" s="252"/>
      <c r="J105" s="124" t="n">
        <v>0</v>
      </c>
      <c r="K105" s="12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Z105" s="34" t="s">
        <v>122</v>
      </c>
      <c r="AA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Z106" s="34" t="s">
        <v>124</v>
      </c>
      <c r="AA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Z107" s="34" t="s">
        <v>126</v>
      </c>
      <c r="AA107" s="34"/>
    </row>
    <row r="108" customFormat="false" ht="18.75" hidden="false" customHeight="true" outlineLevel="0" collapsed="false">
      <c r="A108" s="38" t="s">
        <v>199</v>
      </c>
      <c r="B108" s="38"/>
      <c r="C108" s="38"/>
      <c r="D108" s="38"/>
      <c r="E108" s="38"/>
      <c r="F108" s="34"/>
      <c r="G108" s="38" t="s">
        <v>199</v>
      </c>
      <c r="H108" s="38"/>
      <c r="I108" s="38"/>
      <c r="J108" s="38"/>
      <c r="K108" s="38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Z108" s="34" t="s">
        <v>131</v>
      </c>
      <c r="AA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Z109" s="34" t="s">
        <v>132</v>
      </c>
    </row>
    <row r="110" customFormat="false" ht="18.75" hidden="false" customHeight="true" outlineLevel="0" collapsed="false">
      <c r="A110" s="35" t="s">
        <v>200</v>
      </c>
      <c r="B110" s="43" t="s">
        <v>26</v>
      </c>
      <c r="C110" s="36"/>
      <c r="D110" s="36"/>
      <c r="E110" s="37"/>
      <c r="F110" s="34"/>
      <c r="G110" s="35" t="s">
        <v>200</v>
      </c>
      <c r="H110" s="43" t="s">
        <v>26</v>
      </c>
      <c r="I110" s="36"/>
      <c r="J110" s="36"/>
      <c r="K110" s="37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10000</v>
      </c>
      <c r="E112" s="124" t="n">
        <v>6000</v>
      </c>
      <c r="F112" s="34"/>
      <c r="G112" s="35" t="s">
        <v>148</v>
      </c>
      <c r="H112" s="36"/>
      <c r="I112" s="36"/>
      <c r="J112" s="251" t="n">
        <v>10000</v>
      </c>
      <c r="K112" s="124" t="n">
        <v>5000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2000</v>
      </c>
      <c r="E113" s="124" t="n">
        <v>2000</v>
      </c>
      <c r="F113" s="34"/>
      <c r="G113" s="35" t="s">
        <v>149</v>
      </c>
      <c r="H113" s="36"/>
      <c r="I113" s="36"/>
      <c r="J113" s="26" t="n">
        <f aca="false">K113</f>
        <v>7000</v>
      </c>
      <c r="K113" s="124" t="n">
        <v>7000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8000</v>
      </c>
      <c r="E114" s="164" t="n">
        <f aca="false">E112-E113</f>
        <v>4000</v>
      </c>
      <c r="F114" s="34"/>
      <c r="G114" s="35" t="s">
        <v>150</v>
      </c>
      <c r="H114" s="36"/>
      <c r="I114" s="36"/>
      <c r="J114" s="26" t="n">
        <f aca="false">J112-J113</f>
        <v>3000</v>
      </c>
      <c r="K114" s="164" t="n">
        <f aca="false">K112-K113</f>
        <v>-2000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4000</v>
      </c>
      <c r="E115" s="37"/>
      <c r="F115" s="34"/>
      <c r="G115" s="35" t="s">
        <v>151</v>
      </c>
      <c r="H115" s="36"/>
      <c r="I115" s="36"/>
      <c r="J115" s="26" t="n">
        <f aca="false">J114-K114</f>
        <v>5000</v>
      </c>
      <c r="K115" s="37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239.988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201</v>
      </c>
      <c r="B119" s="219"/>
      <c r="C119" s="219"/>
      <c r="D119" s="219"/>
      <c r="E119" s="144" t="n">
        <f aca="false">(E118+E117)-D115</f>
        <v>-2800.01</v>
      </c>
      <c r="F119" s="34"/>
      <c r="G119" s="253" t="s">
        <v>201</v>
      </c>
      <c r="H119" s="219"/>
      <c r="I119" s="219"/>
      <c r="J119" s="219"/>
      <c r="K119" s="144" t="n">
        <f aca="false">(K118+K117)-J115</f>
        <v>-4760.012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202</v>
      </c>
      <c r="B122" s="38"/>
      <c r="C122" s="38"/>
      <c r="D122" s="38"/>
      <c r="E122" s="38"/>
      <c r="F122" s="34"/>
      <c r="G122" s="38" t="s">
        <v>202</v>
      </c>
      <c r="H122" s="38"/>
      <c r="I122" s="38"/>
      <c r="J122" s="38"/>
      <c r="K122" s="38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 t="s">
        <v>76</v>
      </c>
      <c r="B126" s="36" t="s">
        <v>77</v>
      </c>
      <c r="C126" s="36"/>
      <c r="D126" s="36" t="s">
        <v>34</v>
      </c>
      <c r="E126" s="37"/>
      <c r="F126" s="34"/>
      <c r="G126" s="35" t="s">
        <v>76</v>
      </c>
      <c r="H126" s="36" t="s">
        <v>77</v>
      </c>
      <c r="I126" s="36"/>
      <c r="J126" s="36" t="s">
        <v>34</v>
      </c>
      <c r="K126" s="37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51" t="n">
        <f aca="false">A152</f>
        <v>12</v>
      </c>
      <c r="B127" s="52" t="n">
        <f aca="false">B151</f>
        <v>5000</v>
      </c>
      <c r="C127" s="53"/>
      <c r="D127" s="52" t="n">
        <f aca="false">B58</f>
        <v>11</v>
      </c>
      <c r="E127" s="37"/>
      <c r="F127" s="34"/>
      <c r="G127" s="51" t="n">
        <f aca="false">G152</f>
        <v>12</v>
      </c>
      <c r="H127" s="52" t="n">
        <f aca="false">A152</f>
        <v>12</v>
      </c>
      <c r="I127" s="53"/>
      <c r="J127" s="52" t="n">
        <f aca="false">B151</f>
        <v>5000</v>
      </c>
      <c r="K127" s="37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254" t="s">
        <v>203</v>
      </c>
      <c r="B129" s="255" t="s">
        <v>61</v>
      </c>
      <c r="C129" s="255"/>
      <c r="D129" s="255" t="s">
        <v>62</v>
      </c>
      <c r="E129" s="37"/>
      <c r="F129" s="34"/>
      <c r="G129" s="254" t="s">
        <v>204</v>
      </c>
      <c r="H129" s="255" t="s">
        <v>205</v>
      </c>
      <c r="I129" s="255"/>
      <c r="J129" s="255" t="s">
        <v>206</v>
      </c>
      <c r="K129" s="37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281"/>
    </row>
    <row r="130" customFormat="false" ht="18.75" hidden="false" customHeight="true" outlineLevel="0" collapsed="false">
      <c r="A130" s="256" t="n">
        <f aca="false">B90</f>
        <v>901.232855990319</v>
      </c>
      <c r="B130" s="173" t="n">
        <f aca="false">IF(A105="YES", B89*B57, 0)</f>
        <v>60</v>
      </c>
      <c r="C130" s="173"/>
      <c r="D130" s="173" t="n">
        <f aca="false">B91</f>
        <v>961.232855990319</v>
      </c>
      <c r="E130" s="180"/>
      <c r="F130" s="34"/>
      <c r="G130" s="256" t="n">
        <f aca="false">H90</f>
        <v>1180.02508941778</v>
      </c>
      <c r="H130" s="173" t="n">
        <f aca="false">IF(G105="YES", H89*H57, 0)</f>
        <v>72</v>
      </c>
      <c r="I130" s="173"/>
      <c r="J130" s="257" t="n">
        <f aca="false">H91</f>
        <v>1252.02508941778</v>
      </c>
      <c r="K130" s="180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281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281"/>
    </row>
    <row r="132" customFormat="false" ht="18.75" hidden="false" customHeight="true" outlineLevel="0" collapsed="false">
      <c r="A132" s="35" t="s">
        <v>207</v>
      </c>
      <c r="B132" s="36" t="s">
        <v>40</v>
      </c>
      <c r="C132" s="36"/>
      <c r="D132" s="36" t="s">
        <v>47</v>
      </c>
      <c r="E132" s="37"/>
      <c r="F132" s="34"/>
      <c r="G132" s="35" t="s">
        <v>208</v>
      </c>
      <c r="H132" s="36" t="s">
        <v>209</v>
      </c>
      <c r="I132" s="36"/>
      <c r="J132" s="36" t="s">
        <v>210</v>
      </c>
      <c r="K132" s="37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901.232855990319</v>
      </c>
      <c r="B133" s="23" t="n">
        <f aca="false">IF(A105="YES", B89*B57, 0)</f>
        <v>60</v>
      </c>
      <c r="C133" s="42"/>
      <c r="D133" s="70" t="n">
        <f aca="false">B91*B57</f>
        <v>961.232855990319</v>
      </c>
      <c r="E133" s="37"/>
      <c r="F133" s="34"/>
      <c r="G133" s="178" t="n">
        <f aca="false">H90*H57</f>
        <v>1180.02508941778</v>
      </c>
      <c r="H133" s="23" t="n">
        <f aca="false">IF(G105="YES", H89*H57, 0)</f>
        <v>72</v>
      </c>
      <c r="I133" s="42"/>
      <c r="J133" s="70" t="n">
        <f aca="false">H91*H57</f>
        <v>1252.02508941778</v>
      </c>
      <c r="K133" s="37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66</v>
      </c>
      <c r="B135" s="36" t="s">
        <v>67</v>
      </c>
      <c r="C135" s="36"/>
      <c r="D135" s="36" t="s">
        <v>72</v>
      </c>
      <c r="E135" s="37"/>
      <c r="F135" s="34"/>
      <c r="G135" s="35" t="s">
        <v>211</v>
      </c>
      <c r="H135" s="36" t="s">
        <v>212</v>
      </c>
      <c r="I135" s="36"/>
      <c r="J135" s="36" t="s">
        <v>213</v>
      </c>
      <c r="K135" s="37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0.11705</v>
      </c>
      <c r="C136" s="23"/>
      <c r="D136" s="23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65</v>
      </c>
      <c r="B138" s="36" t="s">
        <v>214</v>
      </c>
      <c r="C138" s="36"/>
      <c r="D138" s="36" t="s">
        <v>215</v>
      </c>
      <c r="E138" s="37"/>
      <c r="F138" s="34"/>
      <c r="G138" s="35" t="s">
        <v>216</v>
      </c>
      <c r="H138" s="36" t="s">
        <v>214</v>
      </c>
      <c r="I138" s="36"/>
      <c r="J138" s="36" t="s">
        <v>215</v>
      </c>
      <c r="K138" s="37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578.85</v>
      </c>
      <c r="C139" s="23"/>
      <c r="D139" s="23" t="n">
        <f aca="false">B102*0.9</f>
        <v>0</v>
      </c>
      <c r="E139" s="180"/>
      <c r="F139" s="34"/>
      <c r="G139" s="22" t="n">
        <f aca="false">G102</f>
        <v>239.988</v>
      </c>
      <c r="H139" s="23" t="n">
        <f aca="false">H67</f>
        <v>289.425</v>
      </c>
      <c r="I139" s="23"/>
      <c r="J139" s="23" t="n">
        <f aca="false">H102*0.9</f>
        <v>1080</v>
      </c>
      <c r="K139" s="180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217</v>
      </c>
      <c r="B141" s="36" t="s">
        <v>218</v>
      </c>
      <c r="C141" s="36"/>
      <c r="D141" s="36" t="s">
        <v>219</v>
      </c>
      <c r="E141" s="37"/>
      <c r="F141" s="34"/>
      <c r="G141" s="35" t="s">
        <v>217</v>
      </c>
      <c r="H141" s="36" t="s">
        <v>218</v>
      </c>
      <c r="I141" s="36"/>
      <c r="J141" s="36" t="s">
        <v>219</v>
      </c>
      <c r="K141" s="37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B89*0.1, 0)</f>
        <v>6</v>
      </c>
      <c r="B142" s="23" t="n">
        <f aca="false">A102-100</f>
        <v>99.99</v>
      </c>
      <c r="C142" s="23"/>
      <c r="D142" s="23" t="n">
        <f aca="false">(B139+D139+A142+B142)-B145</f>
        <v>482.022097508607</v>
      </c>
      <c r="E142" s="180"/>
      <c r="F142" s="34"/>
      <c r="G142" s="22" t="n">
        <f aca="false">IF(G105="YES", H89*0.1, 0)</f>
        <v>7.2</v>
      </c>
      <c r="H142" s="23" t="n">
        <f aca="false">G102-100</f>
        <v>139.988</v>
      </c>
      <c r="I142" s="23"/>
      <c r="J142" s="23" t="n">
        <f aca="false">(H139+J139+G142+H142)-H145</f>
        <v>1516.613</v>
      </c>
      <c r="K142" s="180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220</v>
      </c>
      <c r="B144" s="36" t="s">
        <v>221</v>
      </c>
      <c r="C144" s="36"/>
      <c r="D144" s="36"/>
      <c r="E144" s="37"/>
      <c r="F144" s="34"/>
      <c r="G144" s="35" t="s">
        <v>220</v>
      </c>
      <c r="H144" s="36" t="s">
        <v>221</v>
      </c>
      <c r="I144" s="36"/>
      <c r="J144" s="36"/>
      <c r="K144" s="37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IF((1200-B102) &lt;= 0, 0, (1200-B102))</f>
        <v>1200</v>
      </c>
      <c r="B145" s="23" t="n">
        <f aca="false">(B139+D139+A142+B142)*(A145/B64)</f>
        <v>202.817902491393</v>
      </c>
      <c r="C145" s="36"/>
      <c r="D145" s="36"/>
      <c r="E145" s="37"/>
      <c r="F145" s="34"/>
      <c r="G145" s="22" t="n">
        <f aca="false">IF((1200-H102) &lt;= 0, 0, (1200-H102))</f>
        <v>0</v>
      </c>
      <c r="H145" s="23" t="n">
        <f aca="false">(H139+J139+G142+H142)*(G145/H64)</f>
        <v>0</v>
      </c>
      <c r="I145" s="36"/>
      <c r="J145" s="36"/>
      <c r="K145" s="37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224</v>
      </c>
      <c r="B148" s="36"/>
      <c r="C148" s="36"/>
      <c r="D148" s="215"/>
      <c r="E148" s="216"/>
      <c r="F148" s="34"/>
      <c r="G148" s="214" t="s">
        <v>224</v>
      </c>
      <c r="H148" s="36"/>
      <c r="I148" s="36"/>
      <c r="J148" s="215"/>
      <c r="K148" s="216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5000</v>
      </c>
      <c r="C151" s="83"/>
      <c r="D151" s="36"/>
      <c r="E151" s="37"/>
      <c r="F151" s="34"/>
      <c r="G151" s="81"/>
      <c r="H151" s="83" t="n">
        <f aca="false">B51</f>
        <v>5000</v>
      </c>
      <c r="I151" s="83"/>
      <c r="J151" s="36"/>
      <c r="K151" s="37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12</v>
      </c>
      <c r="B152" s="85" t="n">
        <f aca="false">B91</f>
        <v>961.232855990319</v>
      </c>
      <c r="C152" s="85"/>
      <c r="D152" s="36"/>
      <c r="E152" s="37"/>
      <c r="F152" s="34"/>
      <c r="G152" s="84" t="n">
        <f aca="false">A52</f>
        <v>12</v>
      </c>
      <c r="H152" s="85" t="n">
        <f aca="false">H91</f>
        <v>1252.02508941778</v>
      </c>
      <c r="I152" s="85"/>
      <c r="J152" s="36"/>
      <c r="K152" s="37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9.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2022-12-27T12:22:54Z</dcterms:modified>
  <cp:revision>271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