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0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<sst xmlns="http://schemas.openxmlformats.org/spreadsheetml/2006/main" count="31947" uniqueCount="401">
  <si>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</si>
  <si>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</si>
  <si>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</si>
  <si>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</si>
  <si>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</si>
  <si>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</si>
  <si>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</si>
  <si>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</si>
  <si>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</si>
  <si>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</si>
  <si>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</si>
  <si>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</si>
  <si>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</si>
  <si>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</si>
  <si>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</si>
  <si>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</si>
  <si>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</si>
  <si>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</si>
  <si>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</si>
  <si>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</si>
  <si>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</si>
  <si>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</si>
  <si>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</si>
  <si>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</si>
  <si>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</si>
  <si>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</si>
  <si>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</si>
  <si>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</si>
  <si>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</si>
  <si>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</si>
  <si>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</si>
  <si>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</si>
  <si>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</si>
  <si>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</si>
  <si>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</si>
  <si>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</si>
  <si>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</si>
  <si>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</si>
  <si>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</si>
  <si>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</si>
  <si>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</si>
  <si>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</si>
  <si>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</si>
  <si>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</si>
  <si>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</si>
  <si>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</si>
  <si>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</si>
  <si>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</si>
  <si>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</si>
  <si>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</si>
  <si>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</si>
  <si>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</si>
  <si>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</si>
  <si>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</si>
  <si>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</si>
  <si>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</si>
  <si>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</si>
  <si>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</si>
  <si>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</si>
  <si>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</si>
  <si>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</si>
  <si>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</si>
  <si>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</si>
  <si>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</si>
  <si>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6000</t>
  </si>
  <si>
    <t xml:space="preserve">20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</si>
  <si>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</si>
  <si>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</si>
  <si>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</si>
  <si>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</si>
  <si>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</si>
  <si>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</si>
  <si>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</si>
  <si>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</si>
  <si>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</si>
  <si>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</si>
  <si>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</si>
  <si>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</si>
  <si>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</si>
  <si>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</si>
  <si>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</si>
  <si>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</si>
  <si>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364.17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</si>
  <si>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</si>
  <si>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</si>
  <si>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</si>
  <si>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</si>
  <si>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</si>
  <si>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</si>
  <si>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</si>
  <si>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</si>
  <si>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</si>
  <si>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</si>
  <si>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</si>
  <si>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</si>
  <si>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</si>
  <si>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</si>
  <si>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</si>
  <si>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</si>
  <si>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</si>
  <si>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</si>
  <si>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</si>
  <si>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</si>
  <si>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</si>
  <si>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</si>
  <si>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</si>
  <si>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</si>
  <si>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</si>
  <si>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</si>
  <si>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</si>
  <si>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</si>
  <si>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</si>
  <si>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</si>
  <si>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</si>
  <si>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</si>
  <si>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</si>
  <si>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</si>
  <si>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</si>
  <si>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</si>
  <si>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</si>
  <si>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</si>
  <si>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</si>
  <si>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</si>
  <si>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</si>
  <si>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</si>
  <si>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</si>
  <si>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</si>
  <si>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</si>
  <si>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</si>
  <si>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</si>
  <si>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</si>
  <si>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</si>
  <si>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</si>
  <si>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</si>
  <si>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</si>
  <si>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</si>
  <si>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</si>
  <si>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</si>
  <si>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</si>
  <si>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</si>
  <si>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</si>
  <si>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</si>
  <si>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</si>
  <si>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</si>
  <si>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</si>
  <si>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</si>
  <si>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</si>
  <si>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</si>
  <si>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</si>
  <si>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</si>
  <si>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</si>
  <si>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</si>
  <si>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</si>
  <si>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</si>
  <si>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</si>
  <si>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</si>
  <si>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</si>
  <si>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</si>
  <si>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</si>
  <si>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</si>
  <si>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</si>
  <si>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</si>
  <si>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</si>
  <si>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</si>
  <si>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</si>
  <si>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</si>
  <si>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</si>
  <si>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</si>
  <si>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</si>
  <si>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</si>
  <si>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</si>
  <si>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</si>
  <si>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</si>
  <si>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</si>
  <si>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</si>
  <si>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</si>
  <si>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</si>
  <si>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</si>
  <si>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</si>
  <si>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</si>
  <si>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</si>
  <si>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</si>
  <si>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</si>
  <si>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</si>
  <si>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</si>
  <si>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</si>
  <si>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</si>
  <si>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</si>
  <si>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</si>
  <si>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</si>
  <si>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</si>
  <si>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</si>
  <si>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</si>
  <si>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</si>
  <si>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</si>
  <si>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</si>
  <si>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</si>
  <si>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</si>
  <si>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</si>
  <si>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</si>
  <si>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</si>
  <si>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</si>
  <si>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</si>
  <si>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</si>
  <si>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</si>
  <si>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</si>
  <si>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</si>
  <si>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</si>
  <si>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</si>
  <si>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</si>
  <si>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</si>
  <si>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</si>
  <si>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</si>
  <si>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</si>
  <si>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</si>
  <si>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</si>
  <si>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</si>
  <si>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</si>
  <si>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</si>
  <si>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</si>
  <si>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</si>
  <si>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</si>
  <si>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</si>
  <si>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</si>
  <si>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</si>
  <si>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</si>
  <si>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</si>
  <si>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</si>
  <si>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</si>
  <si>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</si>
  <si>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</si>
  <si>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</si>
  <si>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</si>
  <si>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107.00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</si>
  <si>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</si>
  <si>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</si>
  <si>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</si>
  <si>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</si>
  <si>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</si>
  <si>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</si>
  <si>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</si>
  <si>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</si>
  <si>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</si>
  <si>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</si>
  <si>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</si>
  <si>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</si>
  <si>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</si>
  <si>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</si>
  <si>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</si>
  <si>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</si>
  <si>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</si>
  <si>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</si>
  <si>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</si>
  <si>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</si>
  <si>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</si>
  <si>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</si>
  <si>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</si>
  <si>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</si>
  <si>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</si>
  <si>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</si>
  <si>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</si>
  <si>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</si>
  <si>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</si>
  <si>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</si>
  <si>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</si>
  <si>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</si>
  <si>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</si>
  <si>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</si>
  <si>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</si>
  <si>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21125.00</t>
  </si>
  <si>
    <t xml:space="preserve">0.00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</si>
  <si>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</si>
  <si>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</si>
  <si>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</si>
  <si>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</si>
  <si>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</si>
  <si>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</si>
  <si>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</si>
  <si>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</si>
  <si>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</si>
  <si>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</si>
  <si>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</si>
  <si>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</si>
  <si>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</si>
  <si>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</si>
  <si>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</si>
  <si>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</si>
  <si>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</si>
  <si>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</si>
  <si>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</si>
  <si>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</si>
  <si>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</si>
  <si>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</si>
  <si>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</si>
  <si>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</si>
  <si>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</si>
  <si>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</si>
  <si>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</si>
  <si>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</si>
  <si>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</si>
  <si>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</si>
  <si>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</si>
  <si>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</si>
  <si>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</si>
  <si>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</si>
  <si>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</si>
  <si>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</si>
  <si>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</si>
  <si>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</si>
  <si>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</si>
  <si>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</si>
  <si>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</si>
  <si>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</si>
  <si>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</si>
  <si>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</si>
  <si>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</si>
  <si>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</si>
  <si>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</si>
  <si>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</si>
  <si>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</si>
  <si>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</si>
  <si>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</si>
  <si>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</si>
  <si>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</si>
  <si>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</si>
  <si>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</si>
  <si>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</si>
  <si>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</si>
  <si>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</si>
  <si>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</si>
  <si>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</si>
  <si>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</si>
  <si>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</si>
  <si>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</si>
  <si>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</si>
  <si>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</si>
  <si>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</si>
  <si>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</si>
  <si>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</si>
  <si>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</si>
  <si>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</si>
  <si>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</si>
  <si>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</si>
  <si>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</si>
  <si>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</si>
  <si>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</si>
  <si>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</si>
  <si>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</si>
  <si>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</si>
  <si>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</si>
  <si>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</si>
  <si>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</si>
  <si>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</si>
  <si>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</si>
  <si>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</si>
  <si>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</si>
  <si>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</si>
  <si>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</si>
  <si>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</si>
  <si>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</si>
  <si>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</si>
  <si>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</si>
  <si>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</si>
  <si>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</si>
  <si>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</si>
  <si>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</si>
  <si>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</si>
  <si>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</si>
  <si>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</si>
  <si>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</si>
  <si>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</si>
  <si>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</si>
  <si>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</si>
  <si>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</si>
  <si>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</si>
  <si>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</si>
  <si>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23625.00</t>
  </si>
  <si>
    <t xml:space="preserve">30.35</t>
  </si>
  <si>
    <t xml:space="preserve">OTR Calculation</t>
  </si>
  <si>
    <t xml:space="preserve">470.00</t>
  </si>
  <si>
    <t xml:space="preserve">30</t>
  </si>
  <si>
    <t xml:space="preserve">48877.50</t>
  </si>
  <si>
    <t xml:space="preserve">5.28</t>
  </si>
  <si>
    <t xml:space="preserve">60</t>
  </si>
  <si>
    <t xml:space="preserve">2</t>
  </si>
  <si>
    <t xml:space="preserve">RFL included?</t>
  </si>
  <si>
    <t>YES</t>
  </si>
  <si>
    <t>0</t>
  </si>
  <si>
    <t>23625.00</t>
  </si>
  <si>
    <t>1000</t>
  </si>
  <si>
    <t>12</t>
  </si>
  <si>
    <t>5000</t>
  </si>
  <si>
    <t>500</t>
  </si>
  <si>
    <t>0.00</t>
  </si>
  <si>
    <t>199.99</t>
  </si>
  <si>
    <t>Limited Credit</t>
  </si>
  <si>
    <t>NO</t>
  </si>
  <si>
    <t>50</t>
  </si>
  <si>
    <t>A1 Credit</t>
  </si>
  <si>
    <t>100</t>
  </si>
  <si>
    <t>30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</si>
</sst>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1734.74197357815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78.5454545454545</v>
      </c>
      <c r="C176" s="171"/>
      <c r="D176" s="171"/>
      <c r="E176" s="174" t="n">
        <f aca="false">B105</f>
        <v>1734.74197357815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239.99</v>
      </c>
      <c r="C191" s="99"/>
      <c r="D191" s="23"/>
      <c r="E191" s="99" t="n">
        <f aca="false">E188+A191+B191+A194</f>
        <v>24468.1517093596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1734.74197357815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78.5454545454545</v>
      </c>
      <c r="C221" s="171"/>
      <c r="D221" s="171"/>
      <c r="E221" s="174" t="n">
        <f aca="false">E176</f>
        <v>1734.74197357815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239.99</v>
      </c>
      <c r="C233" s="99"/>
      <c r="D233" s="109"/>
      <c r="E233" s="99" t="n">
        <f aca="false">E191</f>
        <v>24468.1517093596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78.5454545454545</v>
      </c>
      <c r="C239" s="183"/>
      <c r="D239" s="183"/>
      <c r="E239" s="99" t="n">
        <f aca="false">E176</f>
        <v>1734.74197357815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21125</v>
      </c>
      <c r="B37" s="32"/>
      <c r="C37" s="41" t="s">
        <v>45</v>
      </c>
      <c r="D37" s="41"/>
      <c r="E37" s="32"/>
      <c r="F37" s="43" t="n">
        <f aca="false">A37-C37</f>
        <v>20125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4225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268.75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281.25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283.916666666667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233.916666666667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233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283.916666666667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16055.6593390761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283.916666666667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283.916666666667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283.916666666667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20125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14943.1682206957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1460.69630355237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16067.6593390761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16067.6593390761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1460.69630355237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1526.15084900692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234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25350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25350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25350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25350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25350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21125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4225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25350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25350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3875</v>
      </c>
      <c r="I157" s="1" t="n">
        <f aca="false">(H157-G90)/1.2</f>
        <v>3229.16666666667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1460.69630355237</v>
      </c>
      <c r="B176" s="174" t="n">
        <f aca="false">B103</f>
        <v>65.4545454545455</v>
      </c>
      <c r="C176" s="171"/>
      <c r="D176" s="171"/>
      <c r="E176" s="174" t="n">
        <f aca="false">B105</f>
        <v>1526.15084900692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-7932.34066092392</v>
      </c>
      <c r="B191" s="99" t="str">
        <f aca="false">B123</f>
        <v>199.99</v>
      </c>
      <c r="C191" s="99"/>
      <c r="D191" s="23"/>
      <c r="E191" s="99" t="n">
        <f aca="false">E188+A191+B191+A194</f>
        <v>22277.6493390761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3875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1526.15084900692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1460.69630355237</v>
      </c>
      <c r="B221" s="174" t="n">
        <f aca="false">B176</f>
        <v>65.4545454545455</v>
      </c>
      <c r="C221" s="171"/>
      <c r="D221" s="171"/>
      <c r="E221" s="174" t="n">
        <f aca="false">E176</f>
        <v>1526.15084900692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-7932.34066092392</v>
      </c>
      <c r="B233" s="99" t="str">
        <f aca="false">B191</f>
        <v>199.99</v>
      </c>
      <c r="C233" s="99"/>
      <c r="D233" s="109"/>
      <c r="E233" s="99" t="n">
        <f aca="false">E191</f>
        <v>22277.6493390761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1460.69630355237</v>
      </c>
      <c r="B239" s="99" t="n">
        <f aca="false">B176</f>
        <v>65.4545454545455</v>
      </c>
      <c r="C239" s="183"/>
      <c r="D239" s="183"/>
      <c r="E239" s="99" t="n">
        <f aca="false">E176</f>
        <v>1526.15084900692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3875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4099.99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16067.6593390761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B7" colorId="64" zoomScale="75" zoomScaleNormal="7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21520.7919667607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18115.7382128122</v>
      </c>
      <c r="C88" s="130" t="n">
        <f aca="false">B81-B86</f>
        <v>18115.7382128122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688.161112597635</v>
      </c>
      <c r="C89" s="130" t="n">
        <f aca="false">(B88/B87)</f>
        <v>688.161112597635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22021.1556031243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22021.1556031243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688.161112597635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688.161112597635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4" t="str">
        <f aca="false">B94</f>
        <v>0</v>
      </c>
      <c r="C167" s="171"/>
      <c r="D167" s="171"/>
      <c r="E167" s="174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-1978.84439687567</v>
      </c>
      <c r="B182" s="99" t="str">
        <f aca="false">B114</f>
        <v>239.99</v>
      </c>
      <c r="C182" s="99"/>
      <c r="D182" s="23"/>
      <c r="E182" s="99" t="n">
        <f aca="false">E179+A182+B182+A185</f>
        <v>28271.1456031243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688.161112597635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688.161112597635</v>
      </c>
      <c r="B212" s="174" t="str">
        <f aca="false">B167</f>
        <v>0</v>
      </c>
      <c r="C212" s="171"/>
      <c r="D212" s="171"/>
      <c r="E212" s="174" t="n">
        <f aca="false">E167</f>
        <v>688.161112597635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-1978.84439687567</v>
      </c>
      <c r="B224" s="99" t="str">
        <f aca="false">B182</f>
        <v>239.99</v>
      </c>
      <c r="C224" s="99"/>
      <c r="D224" s="109"/>
      <c r="E224" s="99" t="n">
        <f aca="false">E182</f>
        <v>28271.1456031243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688.161112597635</v>
      </c>
      <c r="B230" s="99" t="str">
        <f aca="false">B167</f>
        <v>0</v>
      </c>
      <c r="C230" s="183"/>
      <c r="D230" s="183"/>
      <c r="E230" s="99" t="n">
        <f aca="false">E167</f>
        <v>688.161112597635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75" zoomScaleNormal="7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269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270</v>
      </c>
      <c r="I36" s="0"/>
      <c r="J36" s="44" t="s">
        <v>51</v>
      </c>
      <c r="K36" s="52" t="n">
        <f aca="false">K32-K34</f>
        <v>20125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14452.3051866956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138.75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20125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13906.8018648348</v>
      </c>
      <c r="C88" s="130" t="n">
        <f aca="false">B81-B86</f>
        <v>13906.8018648348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1359.39138060869</v>
      </c>
      <c r="C89" s="130" t="n">
        <f aca="false">(B88/B87)</f>
        <v>1359.39138060869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14953.3051866956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14953.3051866956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1359.39138060869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1359.39138060869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25350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25350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21125</v>
      </c>
      <c r="H135" s="150" t="n">
        <f aca="false">C125+E125+G125+H128</f>
        <v>23125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1359.39138060869</v>
      </c>
      <c r="B167" s="174" t="n">
        <f aca="false">B94</f>
        <v>0</v>
      </c>
      <c r="C167" s="171"/>
      <c r="D167" s="171"/>
      <c r="E167" s="174" t="n">
        <f aca="false">B96</f>
        <v>1359.39138060869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-5596.69481330438</v>
      </c>
      <c r="B182" s="99" t="str">
        <f aca="false">B114</f>
        <v>199.99</v>
      </c>
      <c r="C182" s="99"/>
      <c r="D182" s="23"/>
      <c r="E182" s="99" t="n">
        <f aca="false">E179+A182+B182+A185</f>
        <v>22363.2951866956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115.625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215.615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1359.39138060869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1359.39138060869</v>
      </c>
      <c r="B212" s="174" t="n">
        <f aca="false">B167</f>
        <v>0</v>
      </c>
      <c r="C212" s="171"/>
      <c r="D212" s="171"/>
      <c r="E212" s="174" t="n">
        <f aca="false">E167</f>
        <v>1359.39138060869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-5596.69481330438</v>
      </c>
      <c r="B224" s="99" t="str">
        <f aca="false">B182</f>
        <v>199.99</v>
      </c>
      <c r="C224" s="99"/>
      <c r="D224" s="109"/>
      <c r="E224" s="99" t="n">
        <f aca="false">E182</f>
        <v>22363.2951866956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1359.39138060869</v>
      </c>
      <c r="B230" s="99" t="n">
        <f aca="false">B167</f>
        <v>0</v>
      </c>
      <c r="C230" s="183"/>
      <c r="D230" s="183"/>
      <c r="E230" s="99" t="n">
        <f aca="false">E167</f>
        <v>1359.39138060869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115.625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2215.615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-38.76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-38.76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75" zoomScaleNormal="7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8.91666666666667</v>
      </c>
      <c r="E32" s="222"/>
      <c r="F32" s="63"/>
      <c r="G32" s="223" t="s">
        <v>242</v>
      </c>
      <c r="H32" s="221" t="n">
        <f aca="false">A41</f>
        <v>8.91666666666667</v>
      </c>
      <c r="I32" s="0"/>
      <c r="J32" s="44" t="s">
        <v>37</v>
      </c>
      <c r="K32" s="45" t="s">
        <v>269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508.916666666667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233</v>
      </c>
      <c r="I36" s="0"/>
      <c r="J36" s="44" t="s">
        <v>51</v>
      </c>
      <c r="K36" s="52" t="n">
        <f aca="false">K32-K34</f>
        <v>20125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8.91666666666667</v>
      </c>
      <c r="B41" s="237" t="n">
        <f aca="false">IF(B38="YES", D38+A41, D38)</f>
        <v>508.916666666667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8.91666666666667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509.916666666667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509.916666666667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14139.1924161718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138.75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20125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13770.0582001204</v>
      </c>
      <c r="C88" s="130" t="n">
        <f aca="false">B81-B86</f>
        <v>13770.0582001204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1331.73718934896</v>
      </c>
      <c r="C89" s="130" t="n">
        <f aca="false">(B88/B87)</f>
        <v>1331.73718934896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14649.1090828385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14649.1090828385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15.1745454545455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1331.73718934896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1346.9117348035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271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272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25350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25350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21125</v>
      </c>
      <c r="H135" s="150" t="n">
        <f aca="false">C125+E125+G125+H128</f>
        <v>23125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1331.73718934896</v>
      </c>
      <c r="B167" s="174" t="n">
        <f aca="false">B94</f>
        <v>15.1745454545455</v>
      </c>
      <c r="C167" s="171"/>
      <c r="D167" s="171"/>
      <c r="E167" s="174" t="n">
        <f aca="false">B96</f>
        <v>1346.9117348035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-5900.89091716149</v>
      </c>
      <c r="B182" s="99" t="str">
        <f aca="false">B114</f>
        <v>239.99</v>
      </c>
      <c r="C182" s="99"/>
      <c r="D182" s="23"/>
      <c r="E182" s="99" t="n">
        <f aca="false">E179+A182+B182+A185</f>
        <v>22099.0990828385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115.625</v>
      </c>
      <c r="C188" s="130"/>
      <c r="D188" s="130"/>
      <c r="E188" s="99" t="n">
        <f aca="false">IF(E105 = "YES" , (H36*A108)*0.1 , 0)</f>
        <v>3.21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218.826666666667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1346.9117348035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1331.73718934896</v>
      </c>
      <c r="B212" s="174" t="n">
        <f aca="false">B167</f>
        <v>15.1745454545455</v>
      </c>
      <c r="C212" s="171"/>
      <c r="D212" s="171"/>
      <c r="E212" s="174" t="n">
        <f aca="false">E167</f>
        <v>1346.9117348035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-5900.89091716149</v>
      </c>
      <c r="B224" s="99" t="str">
        <f aca="false">B182</f>
        <v>239.99</v>
      </c>
      <c r="C224" s="99"/>
      <c r="D224" s="109"/>
      <c r="E224" s="99" t="n">
        <f aca="false">E182</f>
        <v>22099.0990828385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1331.73718934896</v>
      </c>
      <c r="B230" s="99" t="n">
        <f aca="false">B167</f>
        <v>15.1745454545455</v>
      </c>
      <c r="C230" s="183"/>
      <c r="D230" s="183"/>
      <c r="E230" s="99" t="n">
        <f aca="false">E167</f>
        <v>1346.9117348035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115.625</v>
      </c>
      <c r="C240" s="130"/>
      <c r="D240" s="130"/>
      <c r="E240" s="99" t="n">
        <f aca="false">E188</f>
        <v>3.21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2218.82666666667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132.091666666667</v>
      </c>
      <c r="C255" s="194"/>
      <c r="D255" s="195" t="s">
        <v>218</v>
      </c>
      <c r="E255" s="195"/>
      <c r="F255" s="196" t="n">
        <f aca="false">(B254-F254)+B255</f>
        <v>-6.65833333333333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32.1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-6.65833333333333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8.91666666666667</v>
      </c>
      <c r="E32" s="222"/>
      <c r="F32" s="63"/>
      <c r="G32" s="223" t="s">
        <v>242</v>
      </c>
      <c r="H32" s="221" t="n">
        <f aca="false">A41</f>
        <v>8.91666666666667</v>
      </c>
      <c r="I32" s="0"/>
      <c r="J32" s="44" t="s">
        <v>37</v>
      </c>
      <c r="K32" s="262" t="s">
        <v>269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508.916666666667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233</v>
      </c>
      <c r="I36" s="0"/>
      <c r="J36" s="44" t="s">
        <v>51</v>
      </c>
      <c r="K36" s="52" t="n">
        <f aca="false">K32-K34</f>
        <v>20125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8.91666666666667</v>
      </c>
      <c r="B41" s="237" t="n">
        <f aca="false">IF(B38="YES", D38+A41, D38)</f>
        <v>508.916666666667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8.91666666666667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509.916666666667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509.916666666667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14443.388520029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138.75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20125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13906.8018648348</v>
      </c>
      <c r="C88" s="130" t="n">
        <f aca="false">B81-B86</f>
        <v>13906.8018648348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1359.39138060869</v>
      </c>
      <c r="C89" s="130" t="n">
        <f aca="false">(B88/B87)</f>
        <v>1359.39138060869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14953.3051866956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14953.3051866956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11.6727272727273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1359.39138060869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1371.06410788142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25350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25350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21125</v>
      </c>
      <c r="H135" s="150" t="n">
        <f aca="false">C125+E125+G125+H128</f>
        <v>23125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1359.39138060869</v>
      </c>
      <c r="B167" s="174" t="n">
        <f aca="false">B94</f>
        <v>11.6727272727273</v>
      </c>
      <c r="C167" s="171"/>
      <c r="D167" s="171"/>
      <c r="E167" s="174" t="n">
        <f aca="false">B96</f>
        <v>1371.06410788142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-5596.69481330438</v>
      </c>
      <c r="B182" s="99" t="str">
        <f aca="false">B114</f>
        <v>199.99</v>
      </c>
      <c r="C182" s="99"/>
      <c r="D182" s="23"/>
      <c r="E182" s="99" t="n">
        <f aca="false">E179+A182+B182+A185</f>
        <v>22363.2951866956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115.625</v>
      </c>
      <c r="C188" s="130"/>
      <c r="D188" s="130"/>
      <c r="E188" s="99" t="n">
        <f aca="false">IF(E105 ="YES" , (H36*A108)*0.1 , 0)</f>
        <v>2.14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217.755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1371.06410788142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1359.39138060869</v>
      </c>
      <c r="B212" s="174" t="n">
        <f aca="false">B167</f>
        <v>11.6727272727273</v>
      </c>
      <c r="C212" s="171"/>
      <c r="D212" s="171"/>
      <c r="E212" s="174" t="n">
        <f aca="false">E167</f>
        <v>1371.06410788142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-5596.69481330438</v>
      </c>
      <c r="B224" s="99" t="str">
        <f aca="false">B182</f>
        <v>199.99</v>
      </c>
      <c r="C224" s="99"/>
      <c r="D224" s="109"/>
      <c r="E224" s="99" t="n">
        <f aca="false">E182</f>
        <v>22363.2951866956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1359.39138060869</v>
      </c>
      <c r="B230" s="99" t="n">
        <f aca="false">B167</f>
        <v>11.6727272727273</v>
      </c>
      <c r="C230" s="183"/>
      <c r="D230" s="183"/>
      <c r="E230" s="99" t="n">
        <f aca="false">E167</f>
        <v>1371.06410788142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115.625</v>
      </c>
      <c r="C240" s="130"/>
      <c r="D240" s="130"/>
      <c r="E240" s="99" t="n">
        <f aca="false">IF(E105 = "YES" , (H36*A108)*0.1 , 0)</f>
        <v>2.14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2217.755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121.39</v>
      </c>
      <c r="C255" s="194"/>
      <c r="D255" s="195" t="s">
        <v>218</v>
      </c>
      <c r="E255" s="195"/>
      <c r="F255" s="196" t="n">
        <f aca="false">(B254-F254)+B255</f>
        <v>-17.36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21.4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-17.36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B61" activeCellId="0" sqref="B6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2836.82</v>
      </c>
      <c r="C64" s="211" t="n">
        <v>10000</v>
      </c>
      <c r="D64" s="290" t="n">
        <f aca="false">B64</f>
        <v>2836.82</v>
      </c>
      <c r="E64" s="212"/>
      <c r="F64" s="63"/>
      <c r="G64" s="284" t="s">
        <v>93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405.26</v>
      </c>
      <c r="C67" s="211"/>
      <c r="D67" s="290"/>
      <c r="E67" s="212"/>
      <c r="F67" s="63"/>
      <c r="G67" s="284" t="s">
        <v>96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280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4163.48666666667</v>
      </c>
      <c r="C81" s="211"/>
      <c r="D81" s="211"/>
      <c r="E81" s="212"/>
      <c r="F81" s="63"/>
      <c r="G81" s="302" t="s">
        <v>105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346.957222222222</v>
      </c>
      <c r="C82" s="211"/>
      <c r="D82" s="211"/>
      <c r="E82" s="212"/>
      <c r="F82" s="63"/>
      <c r="G82" s="210" t="s">
        <v>106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12210.584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86.1981524808391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8296.78215248084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691.398512706737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763.398512706737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 t="n">
        <v>0</v>
      </c>
      <c r="C108" s="213"/>
      <c r="D108" s="213" t="n">
        <v>0</v>
      </c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18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691.398512706737</v>
      </c>
      <c r="B128" s="320" t="n">
        <f aca="false">IF(A105="YES", B89, 0)</f>
        <v>72</v>
      </c>
      <c r="C128" s="325"/>
      <c r="D128" s="320" t="n">
        <f aca="false">B91</f>
        <v>763.398512706737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6222.58661436063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6870.58661436063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691.398512706737</v>
      </c>
      <c r="B137" s="38" t="n">
        <f aca="false">IF(A105="YES", B89, 0)</f>
        <v>72</v>
      </c>
      <c r="C137" s="316"/>
      <c r="D137" s="38" t="n">
        <f aca="false">B91</f>
        <v>763.398512706737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917.25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763.398512706737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691.398512706737</v>
      </c>
      <c r="B171" s="354" t="n">
        <f aca="false">IF(A105="YES", B89, 0)</f>
        <v>72</v>
      </c>
      <c r="C171" s="357"/>
      <c r="D171" s="354" t="n">
        <f aca="false">B91</f>
        <v>763.398512706737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6222.58661436063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6870.58661436063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691.398512706737</v>
      </c>
      <c r="B180" s="99" t="n">
        <f aca="false">IF(A105="YES", B89, 0)</f>
        <v>72</v>
      </c>
      <c r="C180" s="352"/>
      <c r="D180" s="99" t="n">
        <f aca="false">B91</f>
        <v>763.398512706737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405.26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917.25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2836.82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405.26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2891.55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2836.82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405.26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2891.55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86.1981524808391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25350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1774.5</v>
      </c>
      <c r="C64" s="211" t="n">
        <v>10000</v>
      </c>
      <c r="D64" s="290" t="n">
        <f aca="false">B64</f>
        <v>1774.5</v>
      </c>
      <c r="E64" s="212"/>
      <c r="F64" s="63"/>
      <c r="G64" s="284" t="s">
        <v>93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253.5</v>
      </c>
      <c r="C67" s="211"/>
      <c r="D67" s="290"/>
      <c r="E67" s="212"/>
      <c r="F67" s="63"/>
      <c r="G67" s="284" t="s">
        <v>96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3101.16666666667</v>
      </c>
      <c r="C81" s="211"/>
      <c r="D81" s="211"/>
      <c r="E81" s="212"/>
      <c r="F81" s="63"/>
      <c r="G81" s="302" t="s">
        <v>105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258.430555555556</v>
      </c>
      <c r="C82" s="211"/>
      <c r="D82" s="211"/>
      <c r="E82" s="212"/>
      <c r="F82" s="63"/>
      <c r="G82" s="210" t="s">
        <v>106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9113.16666666667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77.1990722065349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5190.3657388732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432.530478239434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492.530478239434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 t="n">
        <v>0</v>
      </c>
      <c r="C108" s="213"/>
      <c r="D108" s="213" t="n">
        <v>0</v>
      </c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18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(E118+E117)-D115</f>
        <v>-2800.01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432.530478239434</v>
      </c>
      <c r="B128" s="320" t="n">
        <f aca="false">IF(A105="YES", B89, 0)</f>
        <v>60</v>
      </c>
      <c r="C128" s="325"/>
      <c r="D128" s="320" t="n">
        <f aca="false">B91</f>
        <v>492.530478239434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3892.7743041549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4432.7743041549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432.530478239434</v>
      </c>
      <c r="B137" s="38" t="n">
        <f aca="false">IF(A105="YES", B89, 0)</f>
        <v>60</v>
      </c>
      <c r="C137" s="316"/>
      <c r="D137" s="38" t="n">
        <f aca="false">B91</f>
        <v>492.530478239434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253.5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765.49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492.530478239434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432.530478239434</v>
      </c>
      <c r="B171" s="354" t="n">
        <f aca="false">IF(A105="YES", B89, 0)</f>
        <v>60</v>
      </c>
      <c r="C171" s="357"/>
      <c r="D171" s="354" t="n">
        <f aca="false">B91</f>
        <v>492.530478239434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3892.7743041549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4432.7743041549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432.530478239434</v>
      </c>
      <c r="B180" s="99" t="n">
        <f aca="false">IF(A105="YES", B89, 0)</f>
        <v>60</v>
      </c>
      <c r="C180" s="352"/>
      <c r="D180" s="99" t="n">
        <f aca="false">B91</f>
        <v>492.530478239434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253.5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765.49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1774.5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253.5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1980.99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1774.5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253.5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1980.99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77.1990722065349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75" zoomScaleNormal="75" zoomScalePageLayoutView="100" workbookViewId="0">
      <selection pane="topLeft" activeCell="B116" activeCellId="0" sqref="B11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45034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4225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268.75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231.25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233.916666666667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338</v>
      </c>
      <c r="H50" s="2" t="n">
        <f aca="false">H49-H41</f>
        <v>233.916666666667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233.916666666667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233.916666666667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93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93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316"/>
      <c r="D73" s="32"/>
      <c r="E73" s="317"/>
      <c r="F73" s="387"/>
      <c r="G73" s="365" t="s">
        <v>96</v>
      </c>
      <c r="H73" s="65" t="n">
        <f aca="false">H67*H72</f>
        <v>202.63</v>
      </c>
      <c r="I73" s="316"/>
      <c r="J73" s="32"/>
      <c r="K73" s="317"/>
      <c r="L73" s="387"/>
      <c r="M73" s="365" t="s">
        <v>96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280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281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105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105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371.783611111111</v>
      </c>
      <c r="C88" s="316"/>
      <c r="D88" s="316"/>
      <c r="E88" s="317"/>
      <c r="F88" s="387"/>
      <c r="G88" s="315" t="s">
        <v>106</v>
      </c>
      <c r="H88" s="33" t="n">
        <f aca="false">H87/H29</f>
        <v>499.200277777778</v>
      </c>
      <c r="I88" s="316"/>
      <c r="J88" s="316"/>
      <c r="K88" s="317"/>
      <c r="L88" s="387"/>
      <c r="M88" s="315" t="s">
        <v>106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233.916666666667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8722.084</v>
      </c>
      <c r="C91" s="316"/>
      <c r="D91" s="316"/>
      <c r="E91" s="317"/>
      <c r="F91" s="387"/>
      <c r="G91" s="395" t="s">
        <v>117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117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61.5717910447761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118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4783.65579104478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398.637982587065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398.637982587065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18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398.637982587065</v>
      </c>
      <c r="B134" s="320" t="n">
        <f aca="false">IF(A111="YES", B95, 0)</f>
        <v>0</v>
      </c>
      <c r="C134" s="324"/>
      <c r="D134" s="320" t="n">
        <f aca="false">B97</f>
        <v>398.637982587065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398.637982587065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398.637982587065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398.637982587065</v>
      </c>
      <c r="B143" s="38" t="n">
        <f aca="false">IF(A111="YES", B95, 0)</f>
        <v>0</v>
      </c>
      <c r="C143" s="316"/>
      <c r="D143" s="38" t="n">
        <f aca="false">B97</f>
        <v>398.637982587065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4225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753.491666666667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398.637982587065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398.637982587065</v>
      </c>
      <c r="B177" s="354" t="n">
        <f aca="false">IF(A111="YES", B95, 0)</f>
        <v>0</v>
      </c>
      <c r="C177" s="356"/>
      <c r="D177" s="354" t="n">
        <f aca="false">A177+B177</f>
        <v>398.637982587065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398.637982587065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398.637982587065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398.637982587065</v>
      </c>
      <c r="B186" s="99" t="n">
        <f aca="false">IF(A111="YES", B95, 0)</f>
        <v>0</v>
      </c>
      <c r="C186" s="352"/>
      <c r="D186" s="99" t="n">
        <f aca="false">B97</f>
        <v>398.637982587065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753.491666666667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2923.31166666667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2836.82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2923.31166666667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61.5717910447761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8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45034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4225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72</v>
      </c>
      <c r="B44" s="100" t="s">
        <v>335</v>
      </c>
      <c r="C44" s="100"/>
      <c r="D44" s="100" t="s">
        <v>335</v>
      </c>
      <c r="E44" s="100"/>
      <c r="F44" s="387"/>
      <c r="G44" s="2" t="s">
        <v>67</v>
      </c>
      <c r="H44" s="2" t="n">
        <f aca="false">((H40-(((H42/(1.2))*0.2)))/(H43))</f>
        <v>268.75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281.25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283.916666666667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233.916666666667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283.916666666667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316" t="n">
        <v>10000</v>
      </c>
      <c r="D70" s="32" t="n">
        <f aca="false">B70-A149</f>
        <v>1774.5</v>
      </c>
      <c r="E70" s="317" t="n">
        <f aca="false">D70/12</f>
        <v>147.875</v>
      </c>
      <c r="F70" s="387"/>
      <c r="G70" s="365" t="s">
        <v>93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93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316"/>
      <c r="D73" s="32"/>
      <c r="E73" s="317"/>
      <c r="F73" s="387"/>
      <c r="G73" s="365" t="s">
        <v>96</v>
      </c>
      <c r="H73" s="65" t="n">
        <f aca="false">H67*H72</f>
        <v>202.63</v>
      </c>
      <c r="I73" s="316"/>
      <c r="J73" s="32"/>
      <c r="K73" s="317"/>
      <c r="L73" s="387"/>
      <c r="M73" s="365" t="s">
        <v>96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280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281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222.222222222222</v>
      </c>
      <c r="C83" s="316"/>
      <c r="D83" s="32" t="n">
        <f aca="false">B83</f>
        <v>222.222222222222</v>
      </c>
      <c r="E83" s="317" t="n">
        <f aca="false">D83/12</f>
        <v>18.5185185185185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3176.86111111111</v>
      </c>
      <c r="C87" s="316"/>
      <c r="D87" s="316"/>
      <c r="E87" s="317"/>
      <c r="F87" s="387"/>
      <c r="G87" s="411" t="s">
        <v>105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105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264.738425925926</v>
      </c>
      <c r="C88" s="316"/>
      <c r="D88" s="316"/>
      <c r="E88" s="317"/>
      <c r="F88" s="387"/>
      <c r="G88" s="315" t="s">
        <v>106</v>
      </c>
      <c r="H88" s="33" t="n">
        <f aca="false">H87/H29</f>
        <v>499.200277777778</v>
      </c>
      <c r="I88" s="316"/>
      <c r="J88" s="316"/>
      <c r="K88" s="317"/>
      <c r="L88" s="387"/>
      <c r="M88" s="315" t="s">
        <v>106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233.916666666667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5983.86111111111</v>
      </c>
      <c r="C91" s="316"/>
      <c r="D91" s="316"/>
      <c r="E91" s="317"/>
      <c r="F91" s="387"/>
      <c r="G91" s="395" t="s">
        <v>117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117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50.6902312760522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118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6034.55134238716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502.879278532264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562.879278532264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200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20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19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(E124+E123)-E120</f>
        <v>-2800.01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502.879278532264</v>
      </c>
      <c r="B134" s="320" t="n">
        <f aca="false">IF(A111="YES", B95, 0)</f>
        <v>60</v>
      </c>
      <c r="C134" s="325"/>
      <c r="D134" s="320" t="n">
        <f aca="false">B97</f>
        <v>562.879278532264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502.879278532264</v>
      </c>
      <c r="C137" s="316"/>
      <c r="D137" s="38" t="n">
        <f aca="false">IF(A111="YES", B95*B63, 0)</f>
        <v>60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562.879278532264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502.879278532264</v>
      </c>
      <c r="B143" s="38" t="n">
        <f aca="false">IF(A111="YES", B95, 0)</f>
        <v>60</v>
      </c>
      <c r="C143" s="316"/>
      <c r="D143" s="38" t="n">
        <f aca="false">B97</f>
        <v>562.879278532264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200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253.5</v>
      </c>
      <c r="B154" s="99" t="n">
        <f aca="false">B108</f>
        <v>200</v>
      </c>
      <c r="C154" s="38"/>
      <c r="D154" s="38" t="n">
        <f aca="false">IF(A111="YES", (A44/100*B111)*B131, 0)*0.1</f>
        <v>12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4225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565.49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562.879278532264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502.879278532264</v>
      </c>
      <c r="B177" s="354" t="n">
        <f aca="false">IF(A111="YES", B95, 0)</f>
        <v>60</v>
      </c>
      <c r="C177" s="357"/>
      <c r="D177" s="354" t="n">
        <f aca="false">B91</f>
        <v>5983.86111111111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502.879278532264</v>
      </c>
      <c r="C180" s="352"/>
      <c r="D180" s="99" t="n">
        <f aca="false">IF(A111="YES", B95*B63, 0)</f>
        <v>60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562.879278532264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502.879278532264</v>
      </c>
      <c r="B186" s="99" t="n">
        <f aca="false">IF(A111="YES", B95, 0)</f>
        <v>60</v>
      </c>
      <c r="C186" s="352"/>
      <c r="D186" s="99" t="n">
        <f aca="false">B97</f>
        <v>562.879278532264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200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200</v>
      </c>
      <c r="C197" s="99"/>
      <c r="D197" s="99" t="n">
        <f aca="false">IF(A111="YES", (A44/100*B111)*B131, 0)*0.1</f>
        <v>12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565.49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1774.5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439.99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1960.99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1960.99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50.6902312760522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3101.16666666667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258.430555555556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9113.16666666667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77.1990722065349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5190.3657388732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432.530478239434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432.530478239434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432.530478239434</v>
      </c>
      <c r="B134" s="320" t="n">
        <f aca="false">IF(A111="YES", B95, 0)</f>
        <v>0</v>
      </c>
      <c r="C134" s="325"/>
      <c r="D134" s="320" t="n">
        <f aca="false">B97</f>
        <v>432.530478239434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3892.7743041549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3892.7743041549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432.530478239434</v>
      </c>
      <c r="B143" s="38" t="n">
        <f aca="false">IF(A111="YES", B95, 0)</f>
        <v>0</v>
      </c>
      <c r="C143" s="316"/>
      <c r="D143" s="38" t="n">
        <f aca="false">B97</f>
        <v>432.530478239434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432.530478239434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432.530478239434</v>
      </c>
      <c r="B177" s="354" t="n">
        <f aca="false">IF(A111="YES", B95, 0)</f>
        <v>0</v>
      </c>
      <c r="C177" s="357"/>
      <c r="D177" s="354" t="n">
        <f aca="false">B91</f>
        <v>9113.16666666667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3892.7743041549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3892.7743041549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432.530478239434</v>
      </c>
      <c r="B186" s="99" t="n">
        <f aca="false">IF(A111="YES", B95, 0)</f>
        <v>0</v>
      </c>
      <c r="C186" s="352"/>
      <c r="D186" s="99" t="n">
        <f aca="false">B97</f>
        <v>432.530478239434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77.1990722065349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1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11293.3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7373.02277127874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614.418564273229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614.418564273229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614.418564273229</v>
      </c>
      <c r="B134" s="320" t="n">
        <f aca="false">IF(A111="YES", B95, 0)</f>
        <v>0</v>
      </c>
      <c r="C134" s="325"/>
      <c r="D134" s="320" t="n">
        <f aca="false">B97</f>
        <v>614.418564273229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614.418564273229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614.418564273229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614.418564273229</v>
      </c>
      <c r="B143" s="38" t="n">
        <f aca="false">IF(A111="YES", B95, 0)</f>
        <v>0</v>
      </c>
      <c r="C143" s="316"/>
      <c r="D143" s="38" t="n">
        <f aca="false">B97</f>
        <v>614.418564273229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753.491666666667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614.418564273229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614.418564273229</v>
      </c>
      <c r="B177" s="354" t="n">
        <f aca="false">IF(A111="YES", B95, 0)</f>
        <v>0</v>
      </c>
      <c r="C177" s="357"/>
      <c r="D177" s="354" t="n">
        <f aca="false">B97</f>
        <v>614.418564273229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614.418564273229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614.418564273229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614.418564273229</v>
      </c>
      <c r="B186" s="99" t="n">
        <f aca="false">IF(A111="YES", B95, 0)</f>
        <v>0</v>
      </c>
      <c r="C186" s="352"/>
      <c r="D186" s="99" t="n">
        <f aca="false">B97</f>
        <v>614.418564273229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753.491666666667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4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2732.41666666667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227.701388888889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8744.41666666667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74.0753327954821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4818.49199946215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50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401.540999955179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401.540999955179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401.540999955179</v>
      </c>
      <c r="B134" s="320" t="n">
        <f aca="false">IF(A111="YES", B95, 0)</f>
        <v>0</v>
      </c>
      <c r="C134" s="325"/>
      <c r="D134" s="320" t="n">
        <f aca="false">B97</f>
        <v>401.540999955179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3613.86899959661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3613.86899959661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401.540999955179</v>
      </c>
      <c r="B143" s="38" t="n">
        <f aca="false">IF(A111="YES", B95, 0)</f>
        <v>0</v>
      </c>
      <c r="C143" s="316"/>
      <c r="D143" s="38" t="n">
        <f aca="false">B97</f>
        <v>401.540999955179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401.540999955179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401.540999955179</v>
      </c>
      <c r="B177" s="354" t="n">
        <f aca="false">IF(A111="YES", B95, 0)</f>
        <v>0</v>
      </c>
      <c r="C177" s="357"/>
      <c r="D177" s="354" t="n">
        <f aca="false">B91</f>
        <v>8744.41666666667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3613.86899959661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3613.86899959661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401.540999955179</v>
      </c>
      <c r="B186" s="99" t="n">
        <f aca="false">IF(A111="YES", B95, 0)</f>
        <v>0</v>
      </c>
      <c r="C186" s="352"/>
      <c r="D186" s="99" t="n">
        <f aca="false">B97</f>
        <v>401.540999955179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B154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353.49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1620.99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1620.99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74.0753327954821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242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349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3101.16666666667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258.430555555556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9113.16666666667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77.1990722065349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5190.3657388732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10.704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432.530478239434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443.234478239434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432.530478239434</v>
      </c>
      <c r="B134" s="320" t="n">
        <f aca="false">IF(A111="YES", B95, 0)</f>
        <v>10.704</v>
      </c>
      <c r="C134" s="325"/>
      <c r="D134" s="320" t="n">
        <f aca="false">B97</f>
        <v>443.234478239434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432.530478239434</v>
      </c>
      <c r="C137" s="316"/>
      <c r="D137" s="38" t="n">
        <f aca="false">IF(A111="YES", B95*B63, 0)</f>
        <v>10.704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443.234478239434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432.530478239434</v>
      </c>
      <c r="B143" s="38" t="n">
        <f aca="false">IF(A111="YES", B95, 0)</f>
        <v>10.704</v>
      </c>
      <c r="C143" s="316"/>
      <c r="D143" s="38" t="n">
        <f aca="false">B97</f>
        <v>443.234478239434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2.1408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755.6308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443.234478239434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432.530478239434</v>
      </c>
      <c r="B177" s="354" t="n">
        <f aca="false">IF(A111="YES", B95, 0)</f>
        <v>10.704</v>
      </c>
      <c r="C177" s="357"/>
      <c r="D177" s="354" t="n">
        <f aca="false">B91</f>
        <v>9113.16666666667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432.530478239434</v>
      </c>
      <c r="C180" s="352"/>
      <c r="D180" s="99" t="n">
        <f aca="false">IF(A111="YES", B95*B63, 0)</f>
        <v>10.704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443.234478239434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432.530478239434</v>
      </c>
      <c r="B186" s="99" t="n">
        <f aca="false">IF(A111="YES", B95, 0)</f>
        <v>10.704</v>
      </c>
      <c r="C186" s="352"/>
      <c r="D186" s="99" t="n">
        <f aca="false">B97</f>
        <v>443.234478239434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2.1408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755.6308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361.398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1882.398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1882.398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21.408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77.1990722065349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242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349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11293.3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7373.02277127874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13.9152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614.418564273229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628.333764273229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614.418564273229</v>
      </c>
      <c r="B134" s="320" t="n">
        <f aca="false">IF(A111="YES", B95, 0)</f>
        <v>13.9152</v>
      </c>
      <c r="C134" s="325"/>
      <c r="D134" s="320" t="n">
        <f aca="false">B97</f>
        <v>628.333764273229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614.418564273229</v>
      </c>
      <c r="C137" s="316"/>
      <c r="D137" s="38" t="n">
        <f aca="false">IF(A111="YES", B95*B63, 0)</f>
        <v>13.9152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628.333764273229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614.418564273229</v>
      </c>
      <c r="B143" s="38" t="n">
        <f aca="false">IF(A111="YES", B95, 0)</f>
        <v>13.9152</v>
      </c>
      <c r="C143" s="316"/>
      <c r="D143" s="38" t="n">
        <f aca="false">B97</f>
        <v>628.333764273229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756.702866666667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628.333764273229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614.418564273229</v>
      </c>
      <c r="B177" s="354" t="n">
        <f aca="false">IF(A111="YES", B95, 0)</f>
        <v>13.9152</v>
      </c>
      <c r="C177" s="357"/>
      <c r="D177" s="354" t="n">
        <f aca="false">B91</f>
        <v>11293.3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614.418564273229</v>
      </c>
      <c r="C180" s="352"/>
      <c r="D180" s="99" t="n">
        <f aca="false">IF(A111="YES", B95*B63, 0)</f>
        <v>13.9152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628.333764273229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614.418564273229</v>
      </c>
      <c r="B186" s="99" t="n">
        <f aca="false">IF(A111="YES", B95, 0)</f>
        <v>13.9152</v>
      </c>
      <c r="C186" s="352"/>
      <c r="D186" s="99" t="n">
        <f aca="false">B97</f>
        <v>628.333764273229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3.2112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756.702866666667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372.103666666667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1893.10366666667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1893.10366666667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32.112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0" colorId="64" zoomScale="75" zoomScaleNormal="75" zoomScalePageLayoutView="100" workbookViewId="0">
      <selection pane="topLeft" activeCell="B74" activeCellId="0" sqref="B7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25350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1774.5</v>
      </c>
      <c r="C70" s="211" t="n">
        <v>10000</v>
      </c>
      <c r="D70" s="290" t="n">
        <f aca="false">B70-A149</f>
        <v>1774.5</v>
      </c>
      <c r="E70" s="212" t="n">
        <f aca="false">D70/12</f>
        <v>147.875</v>
      </c>
      <c r="F70" s="63"/>
      <c r="G70" s="284" t="s">
        <v>93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93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253.5</v>
      </c>
      <c r="C73" s="211"/>
      <c r="D73" s="290"/>
      <c r="E73" s="212"/>
      <c r="F73" s="63"/>
      <c r="G73" s="284" t="s">
        <v>96</v>
      </c>
      <c r="H73" s="129" t="n">
        <f aca="false">H67*H72</f>
        <v>202.63</v>
      </c>
      <c r="I73" s="211"/>
      <c r="J73" s="290"/>
      <c r="K73" s="212"/>
      <c r="L73" s="63"/>
      <c r="M73" s="284" t="s">
        <v>96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3399.08333333333</v>
      </c>
      <c r="C87" s="211"/>
      <c r="D87" s="211"/>
      <c r="E87" s="212"/>
      <c r="F87" s="63"/>
      <c r="G87" s="302" t="s">
        <v>105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105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283.256944444445</v>
      </c>
      <c r="C88" s="211"/>
      <c r="D88" s="211"/>
      <c r="E88" s="212"/>
      <c r="F88" s="63"/>
      <c r="G88" s="210" t="s">
        <v>106</v>
      </c>
      <c r="H88" s="299" t="n">
        <f aca="false">H87/H29</f>
        <v>499.200277777778</v>
      </c>
      <c r="I88" s="211"/>
      <c r="J88" s="211"/>
      <c r="K88" s="212"/>
      <c r="L88" s="63"/>
      <c r="M88" s="210" t="s">
        <v>106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9411.08333333333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117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79.7227712787414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118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5490.80610461207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457.56717538434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457.56717538434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457.56717538434</v>
      </c>
      <c r="B134" s="320" t="n">
        <f aca="false">IF(A111="YES", B95, 0)</f>
        <v>0</v>
      </c>
      <c r="C134" s="325"/>
      <c r="D134" s="320" t="n">
        <f aca="false">B97</f>
        <v>457.56717538434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4118.10457845906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4118.10457845906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457.56717538434</v>
      </c>
      <c r="B143" s="38" t="n">
        <f aca="false">IF(A111="YES", B95, 0)</f>
        <v>0</v>
      </c>
      <c r="C143" s="316"/>
      <c r="D143" s="38" t="n">
        <f aca="false">B97</f>
        <v>457.56717538434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253.5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457.56717538434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457.56717538434</v>
      </c>
      <c r="B177" s="354" t="n">
        <f aca="false">IF(A111="YES", B95, 0)</f>
        <v>0</v>
      </c>
      <c r="C177" s="357"/>
      <c r="D177" s="354" t="n">
        <f aca="false">B91</f>
        <v>9411.08333333333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4118.10457845906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4118.10457845906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457.56717538434</v>
      </c>
      <c r="B186" s="99" t="n">
        <f aca="false">IF(A111="YES", B95, 0)</f>
        <v>0</v>
      </c>
      <c r="C186" s="352"/>
      <c r="D186" s="99" t="n">
        <f aca="false">B97</f>
        <v>457.56717538434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253.5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1860.99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1774.5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79.7227712787414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0" colorId="64" zoomScale="75" zoomScaleNormal="75" zoomScalePageLayoutView="100" workbookViewId="0">
      <selection pane="topLeft" activeCell="K35" activeCellId="0" sqref="K3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20310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474.246906948761</v>
      </c>
      <c r="F33" s="228"/>
      <c r="G33" s="228"/>
      <c r="H33" s="47"/>
      <c r="I33" s="2"/>
      <c r="J33" s="34" t="s">
        <v>352</v>
      </c>
      <c r="K33" s="48" t="n">
        <f aca="false">E21</f>
        <v>21125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461.496906948761</v>
      </c>
      <c r="B36" s="228" t="n">
        <f aca="false">IF(B26="YES", K42, "0.00")</f>
        <v>12.75</v>
      </c>
      <c r="C36" s="228"/>
      <c r="D36" s="228"/>
      <c r="E36" s="228" t="n">
        <f aca="false">K31</f>
        <v>20310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21125</v>
      </c>
      <c r="L39" s="2" t="n">
        <f aca="false">(L47*K46)+K44</f>
        <v>24899.8159718053</v>
      </c>
      <c r="N39" s="1" t="n">
        <f aca="false">K39-L39</f>
        <v>-3774.81597180526</v>
      </c>
      <c r="P39" s="208"/>
    </row>
    <row r="40" customFormat="false" ht="17.35" hidden="false" customHeight="false" outlineLevel="0" collapsed="false">
      <c r="A40" s="103" t="n">
        <f aca="false">E36*A45/100</f>
        <v>20310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109</v>
      </c>
      <c r="K40" s="2" t="n">
        <f aca="false">(A40)/1.2</f>
        <v>16925</v>
      </c>
      <c r="L40" s="2" t="n">
        <f aca="false">K39-L39</f>
        <v>-3774.81597180526</v>
      </c>
      <c r="N40" s="1" t="n">
        <f aca="false">N38-N39</f>
        <v>6686.49597180526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15777.1892425596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5347.81075744043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461.496906948761</v>
      </c>
      <c r="L47" s="2" t="n">
        <f aca="false">L49-K42</f>
        <v>787.25</v>
      </c>
      <c r="M47" s="1" t="n">
        <f aca="false">K47-L47</f>
        <v>-325.753093051239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474.246906948761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474.246906948761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4289.92059924057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115.625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461.496906948761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461.496906948761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474.246906948761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474.246906948761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27750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20310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20310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20310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18393.9833598667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17644.8002266518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17644.8002266518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10.4718562469129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9356.01664013328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893.443952965973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9827.88348262571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9827.88348262571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20.0290909090909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893.443952965973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913.473043875064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21125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25350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25350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25350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21125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21125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4225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25350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25350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893.443952965973</v>
      </c>
      <c r="B167" s="174" t="n">
        <f aca="false">B94</f>
        <v>20.0290909090909</v>
      </c>
      <c r="C167" s="171"/>
      <c r="D167" s="171"/>
      <c r="E167" s="174" t="n">
        <f aca="false">B96</f>
        <v>913.473043875064</v>
      </c>
      <c r="F167" s="23"/>
      <c r="G167" s="23"/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20310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20310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20310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20310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-17008.6434734992</v>
      </c>
      <c r="B182" s="99" t="str">
        <f aca="false">B114</f>
        <v>239.99</v>
      </c>
      <c r="C182" s="99"/>
      <c r="D182" s="23"/>
      <c r="E182" s="99" t="n">
        <f aca="false">E179+A182+B182+A185</f>
        <v>10991.3465265008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B233</f>
        <v>923.473043875064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20330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20320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20320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115.625</v>
      </c>
      <c r="C188" s="130"/>
      <c r="D188" s="130"/>
      <c r="E188" s="99" t="n">
        <f aca="false">(E40*A108)*0.1</f>
        <v>3.06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218.676666666667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913.473043875064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893.443952965973</v>
      </c>
      <c r="B212" s="174" t="n">
        <f aca="false">B167</f>
        <v>20.0290909090909</v>
      </c>
      <c r="C212" s="171"/>
      <c r="D212" s="171"/>
      <c r="E212" s="174" t="n">
        <f aca="false">E167</f>
        <v>913.473043875064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-17008.6434734992</v>
      </c>
      <c r="B224" s="99" t="str">
        <f aca="false">B182</f>
        <v>239.99</v>
      </c>
      <c r="C224" s="99"/>
      <c r="D224" s="109"/>
      <c r="E224" s="99" t="n">
        <f aca="false">E182</f>
        <v>10991.3465265008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893.443952965973</v>
      </c>
      <c r="B230" s="99" t="n">
        <f aca="false">B167</f>
        <v>20.0290909090909</v>
      </c>
      <c r="C230" s="183"/>
      <c r="D230" s="183"/>
      <c r="E230" s="99" t="n">
        <f aca="false">E167</f>
        <v>913.473043875064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20310</v>
      </c>
      <c r="B233" s="99" t="n">
        <f aca="false">E212+A227</f>
        <v>923.473043875064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115.625</v>
      </c>
      <c r="C240" s="130"/>
      <c r="D240" s="130"/>
      <c r="E240" s="99" t="n">
        <f aca="false">E188</f>
        <v>3.06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2218.67666666667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138.75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130.591666666667</v>
      </c>
      <c r="C255" s="194"/>
      <c r="D255" s="195" t="s">
        <v>218</v>
      </c>
      <c r="E255" s="195"/>
      <c r="F255" s="196" t="n">
        <f aca="false">(B254-F254)+B255</f>
        <v>-8.15833333333333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9827.88348262571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138.75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-8.15833333333333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4" colorId="64" zoomScale="75" zoomScaleNormal="75" zoomScalePageLayoutView="100" workbookViewId="0">
      <selection pane="topLeft" activeCell="K36" activeCellId="0" sqref="K3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648.737329716138</v>
      </c>
      <c r="F33" s="228"/>
      <c r="G33" s="228"/>
      <c r="H33" s="47"/>
      <c r="I33" s="2"/>
      <c r="J33" s="34" t="s">
        <v>352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648.737329716138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26101.9910899984</v>
      </c>
      <c r="N39" s="1" t="n">
        <f aca="false">K39-L39</f>
        <v>-4935.32108999842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-4935.32108999842</v>
      </c>
      <c r="N40" s="1" t="n">
        <f aca="false">N38-N39</f>
        <v>7847.00108999842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648.737329716138</v>
      </c>
      <c r="L47" s="2" t="n">
        <f aca="false">L49-K42</f>
        <v>800</v>
      </c>
      <c r="M47" s="1" t="n">
        <f aca="false">K47-L47</f>
        <v>-151.262670283862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648.737329716138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648.737329716138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6486.05314631966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210.416666666667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648.737329716138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648.737329716138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648.737329716138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648.737329716138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25250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29.6156943349079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25250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852.588486174303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29840.5970161006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29840.5970161006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852.588486174303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852.588486174303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19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25250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852.588486174303</v>
      </c>
      <c r="B167" s="174" t="str">
        <f aca="false">B94</f>
        <v>0</v>
      </c>
      <c r="C167" s="171"/>
      <c r="D167" s="171"/>
      <c r="E167" s="174" t="n">
        <f aca="false">B96</f>
        <v>852.588486174303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25250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5443.18550227492</v>
      </c>
      <c r="B182" s="99" t="str">
        <f aca="false">B114</f>
        <v>199.99</v>
      </c>
      <c r="C182" s="99"/>
      <c r="D182" s="23"/>
      <c r="E182" s="99" t="n">
        <f aca="false">E179+A182+B182+A185</f>
        <v>30903.1755022749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862.588486174303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210.416666666667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310.406666666667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852.588486174303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852.588486174303</v>
      </c>
      <c r="B212" s="174" t="str">
        <f aca="false">B167</f>
        <v>0</v>
      </c>
      <c r="C212" s="171"/>
      <c r="D212" s="171"/>
      <c r="E212" s="174" t="n">
        <f aca="false">E167</f>
        <v>852.588486174303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5443.18550227492</v>
      </c>
      <c r="B224" s="99" t="str">
        <f aca="false">B182</f>
        <v>199.99</v>
      </c>
      <c r="C224" s="99"/>
      <c r="D224" s="109"/>
      <c r="E224" s="99" t="n">
        <f aca="false">E182</f>
        <v>30903.1755022749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852.588486174303</v>
      </c>
      <c r="B230" s="99" t="str">
        <f aca="false">B167</f>
        <v>0</v>
      </c>
      <c r="C230" s="183"/>
      <c r="D230" s="183"/>
      <c r="E230" s="99" t="n">
        <f aca="false">E167</f>
        <v>852.588486174303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862.588486174303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24.3156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210.416666666667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2268.73666666667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252.5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-152.51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29840.5970161006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252.5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-152.51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J18" activeCellId="0" sqref="J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1839.35777998069</v>
      </c>
      <c r="F33" s="228"/>
      <c r="G33" s="228"/>
      <c r="H33" s="47"/>
      <c r="I33" s="2"/>
      <c r="J33" s="34" t="s">
        <v>352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1826.60777998069</v>
      </c>
      <c r="B36" s="228" t="n">
        <f aca="false">IF(B26="YES", K42, "0.00")</f>
        <v>12.75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9122.62672924568</v>
      </c>
      <c r="N39" s="1" t="n">
        <f aca="false">K39-L39</f>
        <v>12044.0432707543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12044.0432707543</v>
      </c>
      <c r="N40" s="1" t="n">
        <f aca="false">N38-N39</f>
        <v>-9132.36327075432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1826.60777998069</v>
      </c>
      <c r="L47" s="2" t="n">
        <f aca="false">L49-K42</f>
        <v>787.25</v>
      </c>
      <c r="M47" s="1" t="n">
        <f aca="false">K47-L47</f>
        <v>1039.35777998069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1839.35777998069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1839.35777998069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2829.97834367243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105.208333333333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1826.60777998069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1826.60777998069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1839.35777998069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1839.35777998069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25250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25250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2249.93379122189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26999.2054946626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26999.2054946626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19.89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2249.93379122189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2269.82379122189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25250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2249.93379122189</v>
      </c>
      <c r="B167" s="174" t="n">
        <f aca="false">B94</f>
        <v>19.89</v>
      </c>
      <c r="C167" s="171"/>
      <c r="D167" s="171"/>
      <c r="E167" s="174" t="n">
        <f aca="false">B96</f>
        <v>2269.82379122189</v>
      </c>
      <c r="F167" s="23"/>
      <c r="G167" s="23"/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25250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1769.09549466265</v>
      </c>
      <c r="B182" s="99" t="str">
        <f aca="false">B114</f>
        <v>239.99</v>
      </c>
      <c r="C182" s="99"/>
      <c r="D182" s="23"/>
      <c r="E182" s="99" t="n">
        <f aca="false">E179+A182+B182+A185</f>
        <v>27269.0854946626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E167+A185</f>
        <v>2279.82379122189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9.72624</v>
      </c>
      <c r="B188" s="99" t="n">
        <f aca="false">(G158*B67)/1.2</f>
        <v>105.208333333333</v>
      </c>
      <c r="C188" s="130"/>
      <c r="D188" s="130"/>
      <c r="E188" s="99" t="n">
        <f aca="false">(E40*A108)*0.1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209.79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2269.82379122189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2249.93379122189</v>
      </c>
      <c r="B212" s="174" t="n">
        <f aca="false">B167</f>
        <v>19.89</v>
      </c>
      <c r="C212" s="171"/>
      <c r="D212" s="171"/>
      <c r="E212" s="174" t="n">
        <f aca="false">E167</f>
        <v>2269.82379122189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1769.09549466265</v>
      </c>
      <c r="B224" s="99" t="str">
        <f aca="false">B182</f>
        <v>239.99</v>
      </c>
      <c r="C224" s="99"/>
      <c r="D224" s="109"/>
      <c r="E224" s="99" t="n">
        <f aca="false">E182</f>
        <v>27269.0854946626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2249.93379122189</v>
      </c>
      <c r="B230" s="99" t="n">
        <f aca="false">B167</f>
        <v>19.89</v>
      </c>
      <c r="C230" s="183"/>
      <c r="D230" s="183"/>
      <c r="E230" s="99" t="n">
        <f aca="false">E167</f>
        <v>2269.82379122189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2279.82379122189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105.208333333333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2168.12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126.25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145.891666666667</v>
      </c>
      <c r="C255" s="194"/>
      <c r="D255" s="195" t="s">
        <v>218</v>
      </c>
      <c r="E255" s="195"/>
      <c r="F255" s="196" t="n">
        <f aca="false">(B254-F254)+B255</f>
        <v>19.6416666666667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24749.2717034408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126.25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19.6416666666667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K41" activeCellId="0" sqref="K4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648.737329716138</v>
      </c>
      <c r="F33" s="228"/>
      <c r="G33" s="228"/>
      <c r="H33" s="47"/>
      <c r="I33" s="2"/>
      <c r="J33" s="34" t="s">
        <v>352</v>
      </c>
      <c r="K33" s="48" t="n">
        <f aca="false">E21</f>
        <v>21166.67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648.737329716138</v>
      </c>
      <c r="B36" s="228" t="n">
        <f aca="false">IF(B26="YES", K42, "0.00")</f>
        <v>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21166.67</v>
      </c>
      <c r="L39" s="2" t="n">
        <f aca="false">(L47*K46)+K44</f>
        <v>26101.9910899984</v>
      </c>
      <c r="N39" s="1" t="n">
        <f aca="false">K39-L39</f>
        <v>-4935.32108999842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-4935.32108999842</v>
      </c>
      <c r="N40" s="1" t="n">
        <f aca="false">N38-N39</f>
        <v>7847.00108999842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21166.67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648.737329716138</v>
      </c>
      <c r="L47" s="2" t="n">
        <f aca="false">L49-K42</f>
        <v>800</v>
      </c>
      <c r="M47" s="1" t="n">
        <f aca="false">K47-L47</f>
        <v>-151.262670283862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648.737329716138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648.737329716138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7962.16682456305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231.25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648.737329716138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648.737329716138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648.737329716138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648.737329716138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27750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36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31.0137935455467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27750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894.763162695543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32211.4738570396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32211.4738570396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894.763162695543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894.763162695543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21166.67</v>
      </c>
      <c r="C121" s="117" t="n">
        <v>23125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25400.004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25400.004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25400.004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21166.67</v>
      </c>
      <c r="C125" s="129" t="n">
        <f aca="false">C121-C124</f>
        <v>23125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21166.67</v>
      </c>
      <c r="H135" s="150" t="n">
        <f aca="false">C125+E125+G125+H128</f>
        <v>23125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4233.334</v>
      </c>
      <c r="H137" s="33" t="n">
        <f aca="false">(H135+H136)*20%</f>
        <v>4625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25400.004</v>
      </c>
      <c r="H141" s="154" t="n">
        <f aca="false">(H135+H136+H139+H140+H137)-H138</f>
        <v>27750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25400.004</v>
      </c>
      <c r="H147" s="161" t="n">
        <f aca="false">H141-((H144*1.2)+(H145*1.2)+(H146*1.2)+(H142*1.2))</f>
        <v>27750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1958.33</v>
      </c>
      <c r="I148" s="1" t="n">
        <f aca="false">(H148-G81)/1.2</f>
        <v>1631.94166666667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27750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894.763162695543</v>
      </c>
      <c r="B167" s="174" t="n">
        <f aca="false">B94</f>
        <v>0</v>
      </c>
      <c r="C167" s="171"/>
      <c r="D167" s="171"/>
      <c r="E167" s="174" t="n">
        <f aca="false">B96</f>
        <v>894.763162695543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23125</v>
      </c>
      <c r="B173" s="99" t="n">
        <f aca="false">H137</f>
        <v>4625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27750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4461.47385703956</v>
      </c>
      <c r="B182" s="99" t="str">
        <f aca="false">B114</f>
        <v>199.99</v>
      </c>
      <c r="C182" s="99"/>
      <c r="D182" s="23"/>
      <c r="E182" s="99" t="n">
        <f aca="false">E179+A182+B182+A185</f>
        <v>32421.4638570396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E167+A185</f>
        <v>904.763162695543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231.25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331.24</v>
      </c>
      <c r="C191" s="130"/>
      <c r="D191" s="130"/>
      <c r="E191" s="99" t="n">
        <f aca="false">H148</f>
        <v>1958.33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894.763162695543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894.763162695543</v>
      </c>
      <c r="B212" s="174" t="n">
        <f aca="false">B167</f>
        <v>0</v>
      </c>
      <c r="C212" s="171"/>
      <c r="D212" s="171"/>
      <c r="E212" s="174" t="n">
        <f aca="false">E167</f>
        <v>894.763162695543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23125</v>
      </c>
      <c r="B215" s="99" t="n">
        <f aca="false">B173</f>
        <v>4625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27750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4461.47385703956</v>
      </c>
      <c r="B224" s="99" t="str">
        <f aca="false">B182</f>
        <v>199.99</v>
      </c>
      <c r="C224" s="99"/>
      <c r="D224" s="109"/>
      <c r="E224" s="99" t="n">
        <f aca="false">E182</f>
        <v>32421.4638570396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894.763162695543</v>
      </c>
      <c r="B230" s="99" t="n">
        <f aca="false">B167</f>
        <v>0</v>
      </c>
      <c r="C230" s="183"/>
      <c r="D230" s="183"/>
      <c r="E230" s="99" t="n">
        <f aca="false">E167</f>
        <v>894.763162695543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904.763162695543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1958.33</v>
      </c>
      <c r="B240" s="99" t="n">
        <f aca="false">B68</f>
        <v>231.25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2289.57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277.5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-177.51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31316.710694344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277.5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-177.51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21125</v>
      </c>
      <c r="C2" s="4" t="s">
        <v>2</v>
      </c>
      <c r="D2" s="5" t="n">
        <f aca="false">C9</f>
        <v>4225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25350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21125</v>
      </c>
      <c r="C9" s="14" t="n">
        <f aca="false">B9*0.2</f>
        <v>4225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21125</v>
      </c>
      <c r="C15" s="14" t="n">
        <f aca="false">SUM(C9:C13)</f>
        <v>4225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951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1846.78680828596</v>
      </c>
      <c r="E33" s="212"/>
      <c r="F33" s="63"/>
      <c r="G33" s="215" t="s">
        <v>352</v>
      </c>
      <c r="H33" s="459" t="n">
        <f aca="false">E21-E11</f>
        <v>21125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1823.01180828596</v>
      </c>
      <c r="B36" s="99" t="n">
        <f aca="false">IF(B26="YES", H42, "")</f>
        <v>23.775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21125</v>
      </c>
      <c r="I39" s="234" t="n">
        <f aca="false">(I48*H46)+H44</f>
        <v>15947.649374984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23.775</v>
      </c>
      <c r="C40" s="103"/>
      <c r="D40" s="181" t="n">
        <f aca="false">I32</f>
        <v>951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5177.35062501602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23.775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370</v>
      </c>
      <c r="H45" s="234" t="n">
        <f aca="false">(H39-H44)</f>
        <v>21125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1823.01180828596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1846.78680828596</v>
      </c>
      <c r="I48" s="234" t="n">
        <f aca="false">I49-H42</f>
        <v>1376.225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1846.78680828596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25350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1774.5</v>
      </c>
      <c r="C64" s="464" t="n">
        <v>10000</v>
      </c>
      <c r="D64" s="290" t="n">
        <f aca="false">B64</f>
        <v>1774.5</v>
      </c>
      <c r="E64" s="465" t="n">
        <f aca="false">D64/(B58+B57)</f>
        <v>147.875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253.5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102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55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3101.16666666667</v>
      </c>
      <c r="C81" s="472"/>
      <c r="D81" s="473"/>
      <c r="E81" s="465"/>
      <c r="F81" s="63"/>
      <c r="G81" s="302" t="s">
        <v>105</v>
      </c>
      <c r="H81" s="303" t="n">
        <f aca="false">SUM(J64:J80)</f>
        <v>627.75</v>
      </c>
      <c r="I81" s="211"/>
      <c r="J81" s="211"/>
      <c r="K81" s="212"/>
      <c r="L81" s="63"/>
      <c r="M81" s="302" t="s">
        <v>105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258.430555555556</v>
      </c>
      <c r="C82" s="472"/>
      <c r="D82" s="211"/>
      <c r="E82" s="465"/>
      <c r="F82" s="63"/>
      <c r="G82" s="210" t="s">
        <v>106</v>
      </c>
      <c r="H82" s="299" t="n">
        <f aca="false">H81/H29</f>
        <v>52.3125</v>
      </c>
      <c r="I82" s="211"/>
      <c r="J82" s="211"/>
      <c r="K82" s="212"/>
      <c r="L82" s="63"/>
      <c r="M82" s="210" t="s">
        <v>106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1823.01180828596</v>
      </c>
      <c r="C83" s="472"/>
      <c r="D83" s="211"/>
      <c r="E83" s="465" t="n">
        <f aca="false">B83+E80+E77+E64</f>
        <v>2062.923845323</v>
      </c>
      <c r="F83" s="63"/>
      <c r="G83" s="304" t="s">
        <v>107</v>
      </c>
      <c r="H83" s="305" t="n">
        <f aca="false">H47</f>
        <v>1823.01180828596</v>
      </c>
      <c r="I83" s="211"/>
      <c r="J83" s="211"/>
      <c r="K83" s="212"/>
      <c r="L83" s="63"/>
      <c r="M83" s="304" t="s">
        <v>107</v>
      </c>
      <c r="N83" s="305" t="n">
        <f aca="false">H47</f>
        <v>1823.01180828596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24977.3083660982</v>
      </c>
      <c r="C85" s="472"/>
      <c r="D85" s="472"/>
      <c r="E85" s="465" t="n">
        <f aca="false">B85/(B58+B57)</f>
        <v>2081.44236384152</v>
      </c>
      <c r="F85" s="63"/>
      <c r="G85" s="287" t="s">
        <v>117</v>
      </c>
      <c r="H85" s="127" t="n">
        <f aca="false">((H83*H29)+H81)*1.2</f>
        <v>27004.6700393178</v>
      </c>
      <c r="I85" s="211"/>
      <c r="J85" s="211"/>
      <c r="K85" s="212"/>
      <c r="L85" s="63"/>
      <c r="M85" s="287" t="s">
        <v>117</v>
      </c>
      <c r="N85" s="127" t="n">
        <f aca="false">((N83*H29)+N81)</f>
        <v>22490.1416994315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211.586718712409</v>
      </c>
      <c r="C86" s="472" t="s">
        <v>230</v>
      </c>
      <c r="D86" s="211"/>
      <c r="E86" s="465" t="n">
        <f aca="false">B86/(B58+B57)</f>
        <v>17.6322265593674</v>
      </c>
      <c r="F86" s="63"/>
      <c r="G86" s="210" t="s">
        <v>118</v>
      </c>
      <c r="H86" s="299" t="n">
        <f aca="false">((((H83*H29)+H81))/(1-H70))*H70</f>
        <v>190.634016009706</v>
      </c>
      <c r="I86" s="211"/>
      <c r="J86" s="211"/>
      <c r="K86" s="212"/>
      <c r="L86" s="63"/>
      <c r="M86" s="210" t="s">
        <v>118</v>
      </c>
      <c r="N86" s="299" t="n">
        <f aca="false">(N85/(1-N70))*N70</f>
        <v>190.517537590989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25188.8950848106</v>
      </c>
      <c r="C87" s="472"/>
      <c r="D87" s="474"/>
      <c r="E87" s="465" t="n">
        <f aca="false">E86+E85</f>
        <v>2099.07459040088</v>
      </c>
      <c r="F87" s="63"/>
      <c r="G87" s="284" t="s">
        <v>119</v>
      </c>
      <c r="H87" s="129" t="n">
        <f aca="false">IF(H110="YES",((H85+H86)-K114),(H85+H86))</f>
        <v>27195.3040553275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22680.6592370225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30.9075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80.5552941176471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67.1294117647059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2099.07459040088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1599.72376796044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1334.15642570721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2129.98209040088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1680.27906207809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1401.28583747191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1599.72376796044</v>
      </c>
      <c r="H127" s="174" t="n">
        <f aca="false">IF(G105="YES", H89*H57, 0)</f>
        <v>483.331764705882</v>
      </c>
      <c r="I127" s="174"/>
      <c r="J127" s="333" t="n">
        <f aca="false">H91</f>
        <v>1680.27906207809</v>
      </c>
      <c r="K127" s="212"/>
      <c r="L127" s="63"/>
      <c r="M127" s="332" t="n">
        <f aca="false">N90</f>
        <v>1334.15642570721</v>
      </c>
      <c r="N127" s="174" t="n">
        <f aca="false">IF(M105="YES", N89*N57, 0)</f>
        <v>402.776470588235</v>
      </c>
      <c r="O127" s="174"/>
      <c r="P127" s="174" t="n">
        <f aca="false">N91</f>
        <v>1401.28583747191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2099.07459040088</v>
      </c>
      <c r="B128" s="320" t="n">
        <f aca="false">IF(A105="YES", B89, 0)</f>
        <v>30.9075</v>
      </c>
      <c r="C128" s="324"/>
      <c r="D128" s="320" t="n">
        <f aca="false">B91</f>
        <v>2129.98209040088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2099.07459040088</v>
      </c>
      <c r="C131" s="316"/>
      <c r="D131" s="38" t="n">
        <f aca="false">IF(A105="YES", B89*B57, 0)</f>
        <v>30.9075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9598.34260776266</v>
      </c>
      <c r="H133" s="99" t="n">
        <f aca="false">IF(G105="YES", H89*H57, 0)</f>
        <v>483.331764705882</v>
      </c>
      <c r="I133" s="217"/>
      <c r="J133" s="181" t="n">
        <f aca="false">H91*H57</f>
        <v>10081.6743724685</v>
      </c>
      <c r="K133" s="212"/>
      <c r="L133" s="63"/>
      <c r="M133" s="182" t="n">
        <f aca="false">N90*N57</f>
        <v>8004.93855424324</v>
      </c>
      <c r="N133" s="99" t="n">
        <f aca="false">IF(M105="YES", N89*N57, 0)</f>
        <v>402.776470588235</v>
      </c>
      <c r="O133" s="217"/>
      <c r="P133" s="181" t="n">
        <f aca="false">N91*N57</f>
        <v>8407.71502483147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2129.98209040088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2099.07459040088</v>
      </c>
      <c r="B137" s="38" t="n">
        <f aca="false">IF(A105="YES", B89, 0)</f>
        <v>30.9075</v>
      </c>
      <c r="C137" s="316"/>
      <c r="D137" s="38" t="n">
        <f aca="false">B91</f>
        <v>2129.98209040088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5.706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5.706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253.5</v>
      </c>
      <c r="B148" s="99" t="n">
        <f aca="false">B102</f>
        <v>400</v>
      </c>
      <c r="C148" s="38"/>
      <c r="D148" s="38" t="n">
        <f aca="false">IF(A105="YES", (B40*B105)*B125, 0)*0.1</f>
        <v>8.559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762.049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1680.27906207809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1401.28583747191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2129.98209040088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2099.07459040088</v>
      </c>
      <c r="B177" s="354" t="n">
        <f aca="false">IF(A105="YES", B89, 0)</f>
        <v>30.9075</v>
      </c>
      <c r="C177" s="356"/>
      <c r="D177" s="354" t="n">
        <f aca="false">B91</f>
        <v>2129.98209040088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2099.07459040088</v>
      </c>
      <c r="C180" s="352"/>
      <c r="D180" s="99" t="n">
        <f aca="false">IF(A105="YES", B89*B57, 0)</f>
        <v>30.9075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2129.98209040088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2099.07459040088</v>
      </c>
      <c r="B186" s="99" t="n">
        <f aca="false">IF(A105="YES", B89, 0)</f>
        <v>30.9075</v>
      </c>
      <c r="C186" s="352"/>
      <c r="D186" s="99" t="n">
        <f aca="false">B91</f>
        <v>2129.98209040088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253.5</v>
      </c>
      <c r="B197" s="99" t="n">
        <f aca="false">B102</f>
        <v>400</v>
      </c>
      <c r="C197" s="99"/>
      <c r="D197" s="99" t="n">
        <f aca="false">IF(A105="YES", (B40*B105)*B125, 0)*0.1</f>
        <v>8.559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762.049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1774.5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253.5</v>
      </c>
      <c r="C211" s="319" t="s">
        <v>217</v>
      </c>
      <c r="D211" s="369" t="n">
        <f aca="false">B225+E221+B221+B223</f>
        <v>425.58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1946.58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1774.5</v>
      </c>
      <c r="C217" s="374" t="s">
        <v>221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253.5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1946.58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85.59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211.586718712409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3" colorId="64" zoomScale="75" zoomScaleNormal="7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665.530211777516</v>
      </c>
      <c r="E33" s="212"/>
      <c r="F33" s="63"/>
      <c r="G33" s="215" t="s">
        <v>352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665.530211777516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-23359.2395313712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370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665.530211777516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665.530211777516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665.530211777516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2629.9587475</v>
      </c>
      <c r="C64" s="464" t="n">
        <v>10000</v>
      </c>
      <c r="D64" s="290" t="n">
        <f aca="false">B64</f>
        <v>2629.9587475</v>
      </c>
      <c r="E64" s="465" t="n">
        <f aca="false">D64/(B58+B57)</f>
        <v>75.1416785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497.416745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275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825</v>
      </c>
      <c r="C76" s="211"/>
      <c r="D76" s="290" t="n">
        <f aca="false">B76</f>
        <v>825</v>
      </c>
      <c r="E76" s="212"/>
      <c r="F76" s="63"/>
      <c r="G76" s="284" t="s">
        <v>281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12.6984126984127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45.7142857142857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4896.62541416667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139.903583261905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665.530211777516</v>
      </c>
      <c r="C83" s="472"/>
      <c r="D83" s="211"/>
      <c r="E83" s="465" t="n">
        <f aca="false">B83+E80+E77+E64</f>
        <v>799.084588690215</v>
      </c>
      <c r="F83" s="63"/>
      <c r="G83" s="304" t="s">
        <v>107</v>
      </c>
      <c r="H83" s="305" t="n">
        <f aca="false">H47</f>
        <v>665.530211777516</v>
      </c>
      <c r="I83" s="211"/>
      <c r="J83" s="211"/>
      <c r="K83" s="212"/>
      <c r="L83" s="63"/>
      <c r="M83" s="304" t="s">
        <v>107</v>
      </c>
      <c r="N83" s="305" t="n">
        <f aca="false">H47</f>
        <v>665.530211777516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33828.2193916557</v>
      </c>
      <c r="C85" s="472"/>
      <c r="D85" s="472"/>
      <c r="E85" s="465" t="n">
        <f aca="false">B85/(B58+B57)</f>
        <v>966.520554047305</v>
      </c>
      <c r="F85" s="63"/>
      <c r="G85" s="287" t="s">
        <v>117</v>
      </c>
      <c r="H85" s="127" t="n">
        <f aca="false">((H83*H29)+H81)*1.2</f>
        <v>29209.2688946557</v>
      </c>
      <c r="I85" s="211"/>
      <c r="J85" s="211"/>
      <c r="K85" s="212"/>
      <c r="L85" s="63"/>
      <c r="M85" s="287" t="s">
        <v>117</v>
      </c>
      <c r="N85" s="127" t="n">
        <f aca="false">((N83*H29)+N81)</f>
        <v>24011.0574122131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238.803485015722</v>
      </c>
      <c r="C86" s="472" t="s">
        <v>230</v>
      </c>
      <c r="D86" s="211"/>
      <c r="E86" s="465" t="n">
        <f aca="false">B86/(B58+B57)</f>
        <v>6.82295671473491</v>
      </c>
      <c r="F86" s="63"/>
      <c r="G86" s="210" t="s">
        <v>118</v>
      </c>
      <c r="H86" s="299" t="n">
        <f aca="false">((((H83*H29)+H81))/(1-H70))*H70</f>
        <v>206.196936529437</v>
      </c>
      <c r="I86" s="211"/>
      <c r="J86" s="211"/>
      <c r="K86" s="212"/>
      <c r="L86" s="63"/>
      <c r="M86" s="210" t="s">
        <v>118</v>
      </c>
      <c r="N86" s="299" t="n">
        <f aca="false">(N85/(1-N70))*N70</f>
        <v>203.401454480224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34067.0228766714</v>
      </c>
      <c r="C87" s="472"/>
      <c r="D87" s="474"/>
      <c r="E87" s="465" t="n">
        <f aca="false">E86+E85</f>
        <v>973.34351076204</v>
      </c>
      <c r="F87" s="63"/>
      <c r="G87" s="284" t="s">
        <v>119</v>
      </c>
      <c r="H87" s="129" t="n">
        <f aca="false">IF(H110="YES",((H85+H86)-K114),(H85+H86))</f>
        <v>29415.4658311851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24214.4588666933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(I32+(I32*B105))/(B57+B58))*(C45/100)*1.2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973.34351076204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735.386645779628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605.361471667332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973.34351076204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735.386645779628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605.361471667332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1287.988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735.386645779628</v>
      </c>
      <c r="H127" s="174" t="n">
        <f aca="false">IF(G105="YES", H89*H57, 0)</f>
        <v>0</v>
      </c>
      <c r="I127" s="174"/>
      <c r="J127" s="333" t="n">
        <f aca="false">H91</f>
        <v>735.386645779628</v>
      </c>
      <c r="K127" s="212"/>
      <c r="L127" s="63"/>
      <c r="M127" s="332" t="n">
        <f aca="false">N90</f>
        <v>605.361471667332</v>
      </c>
      <c r="N127" s="174" t="n">
        <f aca="false">IF(M105="YES", N89*N57, 0)</f>
        <v>0</v>
      </c>
      <c r="O127" s="174"/>
      <c r="P127" s="174" t="n">
        <f aca="false">N91</f>
        <v>605.361471667332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973.34351076204</v>
      </c>
      <c r="B128" s="320" t="n">
        <f aca="false">IF(A105="YES", B89, 0)</f>
        <v>0</v>
      </c>
      <c r="C128" s="324"/>
      <c r="D128" s="320" t="n">
        <f aca="false">B91</f>
        <v>973.34351076204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973.34351076204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4412.31987467777</v>
      </c>
      <c r="H133" s="99" t="n">
        <f aca="false">IF(G105="YES", H89*H57, 0)</f>
        <v>0</v>
      </c>
      <c r="I133" s="217"/>
      <c r="J133" s="181" t="n">
        <f aca="false">H91*H57</f>
        <v>4412.31987467777</v>
      </c>
      <c r="K133" s="212"/>
      <c r="L133" s="63"/>
      <c r="M133" s="182" t="n">
        <f aca="false">N90*N57</f>
        <v>3632.16883000399</v>
      </c>
      <c r="N133" s="99" t="n">
        <f aca="false">IF(M105="YES", N89*N57, 0)</f>
        <v>0</v>
      </c>
      <c r="O133" s="217"/>
      <c r="P133" s="181" t="n">
        <f aca="false">N91*N57</f>
        <v>3632.16883000399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973.34351076204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973.34351076204</v>
      </c>
      <c r="B137" s="38" t="n">
        <f aca="false">IF(A105="YES", B89, 0)</f>
        <v>0</v>
      </c>
      <c r="C137" s="316"/>
      <c r="D137" s="38" t="n">
        <f aca="false">B91</f>
        <v>973.34351076204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497.416745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997.408411666667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735.386645779628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605.361471667332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973.34351076204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973.34351076204</v>
      </c>
      <c r="B177" s="354" t="n">
        <f aca="false">IF(A105="YES", B89, 0)</f>
        <v>0</v>
      </c>
      <c r="C177" s="356"/>
      <c r="D177" s="354" t="n">
        <f aca="false">B91</f>
        <v>973.34351076204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973.34351076204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973.34351076204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973.34351076204</v>
      </c>
      <c r="B186" s="99" t="n">
        <f aca="false">IF(A105="YES", B89, 0)</f>
        <v>0</v>
      </c>
      <c r="C186" s="352"/>
      <c r="D186" s="99" t="n">
        <f aca="false">B91</f>
        <v>973.34351076204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497.416745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997.408411666667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2629.9587475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497.416745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2472.53366916667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2629.9587475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497.416745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2472.53366916667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238.803485015722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953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1850.43277998069</v>
      </c>
      <c r="E33" s="212"/>
      <c r="F33" s="63"/>
      <c r="G33" s="215" t="s">
        <v>352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1826.60777998069</v>
      </c>
      <c r="B36" s="99" t="n">
        <f aca="false">IF(B26="YES", H42, "")</f>
        <v>23.825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15947.0699766525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23.825</v>
      </c>
      <c r="C40" s="103"/>
      <c r="D40" s="181" t="n">
        <f aca="false">I32</f>
        <v>953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5219.6000233475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23.825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370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1826.60777998069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1850.43277998069</v>
      </c>
      <c r="I48" s="234" t="n">
        <f aca="false">I49-H42</f>
        <v>1376.175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1850.43277998069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1778.00028</v>
      </c>
      <c r="C64" s="464" t="n">
        <v>10000</v>
      </c>
      <c r="D64" s="290" t="n">
        <f aca="false">B64</f>
        <v>1778.00028</v>
      </c>
      <c r="E64" s="465" t="n">
        <f aca="false">D64/(B58+B57)</f>
        <v>148.16669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B60*B66</f>
        <v>254.00004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102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275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297.916666666667</v>
      </c>
      <c r="C76" s="211"/>
      <c r="D76" s="290" t="n">
        <f aca="false">B76</f>
        <v>297.916666666667</v>
      </c>
      <c r="E76" s="212"/>
      <c r="F76" s="63"/>
      <c r="G76" s="284" t="s">
        <v>281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79.8263888888889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3402.58361333333</v>
      </c>
      <c r="C81" s="472"/>
      <c r="D81" s="473"/>
      <c r="E81" s="465"/>
      <c r="F81" s="63"/>
      <c r="G81" s="302" t="s">
        <v>105</v>
      </c>
      <c r="H81" s="303" t="n">
        <f aca="false">SUM(J64:J80)</f>
        <v>627.75</v>
      </c>
      <c r="I81" s="211"/>
      <c r="J81" s="211"/>
      <c r="K81" s="212"/>
      <c r="L81" s="63"/>
      <c r="M81" s="302" t="s">
        <v>105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283.548634444444</v>
      </c>
      <c r="C82" s="472"/>
      <c r="D82" s="211"/>
      <c r="E82" s="465"/>
      <c r="F82" s="63"/>
      <c r="G82" s="210" t="s">
        <v>106</v>
      </c>
      <c r="H82" s="299" t="n">
        <f aca="false">H81/H29</f>
        <v>52.3125</v>
      </c>
      <c r="I82" s="211"/>
      <c r="J82" s="211"/>
      <c r="K82" s="212"/>
      <c r="L82" s="63"/>
      <c r="M82" s="210" t="s">
        <v>106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1826.60777998069</v>
      </c>
      <c r="C83" s="472"/>
      <c r="D83" s="211"/>
      <c r="E83" s="465" t="n">
        <f aca="false">B83+E80+E77+E64</f>
        <v>2091.63789590662</v>
      </c>
      <c r="F83" s="63"/>
      <c r="G83" s="304" t="s">
        <v>107</v>
      </c>
      <c r="H83" s="305" t="n">
        <f aca="false">H47</f>
        <v>1826.60777998069</v>
      </c>
      <c r="I83" s="211"/>
      <c r="J83" s="211"/>
      <c r="K83" s="212"/>
      <c r="L83" s="63"/>
      <c r="M83" s="304" t="s">
        <v>107</v>
      </c>
      <c r="N83" s="305" t="n">
        <f aca="false">H47</f>
        <v>1826.60777998069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25321.8769731017</v>
      </c>
      <c r="C85" s="472"/>
      <c r="D85" s="472"/>
      <c r="E85" s="465" t="n">
        <f aca="false">B85/(B58+B57)</f>
        <v>2110.15641442514</v>
      </c>
      <c r="F85" s="63"/>
      <c r="G85" s="287" t="s">
        <v>117</v>
      </c>
      <c r="H85" s="127" t="n">
        <f aca="false">((H83*H29)+H81)*1.2</f>
        <v>27056.452031722</v>
      </c>
      <c r="I85" s="211"/>
      <c r="J85" s="211"/>
      <c r="K85" s="212"/>
      <c r="L85" s="63"/>
      <c r="M85" s="287" t="s">
        <v>117</v>
      </c>
      <c r="N85" s="127" t="n">
        <f aca="false">((N83*H29)+N81)</f>
        <v>22533.2933597683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214.505613729381</v>
      </c>
      <c r="C86" s="472" t="s">
        <v>230</v>
      </c>
      <c r="D86" s="211"/>
      <c r="E86" s="465" t="n">
        <f aca="false">B86/(B58+B57)</f>
        <v>17.8754678107817</v>
      </c>
      <c r="F86" s="63"/>
      <c r="G86" s="210" t="s">
        <v>118</v>
      </c>
      <c r="H86" s="299" t="n">
        <f aca="false">((((H83*H29)+H81))/(1-H70))*H70</f>
        <v>190.99956053051</v>
      </c>
      <c r="I86" s="211"/>
      <c r="J86" s="211"/>
      <c r="K86" s="212"/>
      <c r="L86" s="63"/>
      <c r="M86" s="210" t="s">
        <v>118</v>
      </c>
      <c r="N86" s="299" t="n">
        <f aca="false">(N85/(1-N70))*N70</f>
        <v>190.883082111793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25536.382586831</v>
      </c>
      <c r="C87" s="472"/>
      <c r="D87" s="474"/>
      <c r="E87" s="465" t="n">
        <f aca="false">E86+E85</f>
        <v>2128.03188223592</v>
      </c>
      <c r="F87" s="63"/>
      <c r="G87" s="284" t="s">
        <v>119</v>
      </c>
      <c r="H87" s="129" t="n">
        <f aca="false">IF(H110="YES",((H85+H86)-K114),(H85+H86))</f>
        <v>27247.4515922525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22724.1764418801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30.9725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80.7247058823529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67.2705882352941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2128.03188223592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1602.7912701325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1336.71626128707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2159.00438223592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1683.51597601485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1403.98684952236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1602.7912701325</v>
      </c>
      <c r="H127" s="174" t="n">
        <f aca="false">IF(G105="YES", H89*H57, 0)</f>
        <v>484.348235294118</v>
      </c>
      <c r="I127" s="174"/>
      <c r="J127" s="333" t="n">
        <f aca="false">H91</f>
        <v>1683.51597601485</v>
      </c>
      <c r="K127" s="212"/>
      <c r="L127" s="63"/>
      <c r="M127" s="332" t="n">
        <f aca="false">N90</f>
        <v>1336.71626128707</v>
      </c>
      <c r="N127" s="174" t="n">
        <f aca="false">IF(M105="YES", N89*N57, 0)</f>
        <v>403.623529411765</v>
      </c>
      <c r="O127" s="174"/>
      <c r="P127" s="174" t="n">
        <f aca="false">N91</f>
        <v>1403.98684952236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2128.03188223592</v>
      </c>
      <c r="B128" s="320" t="n">
        <f aca="false">IF(A105="YES", B89, 0)</f>
        <v>30.9725</v>
      </c>
      <c r="C128" s="324"/>
      <c r="D128" s="320" t="n">
        <f aca="false">B91</f>
        <v>2159.00438223592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2128.03188223592</v>
      </c>
      <c r="C131" s="316"/>
      <c r="D131" s="38" t="n">
        <f aca="false">IF(A105="YES", B89*B57, 0)</f>
        <v>30.9725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9616.747620795</v>
      </c>
      <c r="H133" s="99" t="n">
        <f aca="false">IF(G105="YES", H89*H57, 0)</f>
        <v>484.348235294118</v>
      </c>
      <c r="I133" s="217"/>
      <c r="J133" s="181" t="n">
        <f aca="false">H91*H57</f>
        <v>10101.0958560891</v>
      </c>
      <c r="K133" s="212"/>
      <c r="L133" s="63"/>
      <c r="M133" s="182" t="n">
        <f aca="false">N90*N57</f>
        <v>8020.29756772239</v>
      </c>
      <c r="N133" s="99" t="n">
        <f aca="false">IF(M105="YES", N89*N57, 0)</f>
        <v>403.623529411765</v>
      </c>
      <c r="O133" s="217"/>
      <c r="P133" s="181" t="n">
        <f aca="false">N91*N57</f>
        <v>8423.92109713416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2159.00438223592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2128.03188223592</v>
      </c>
      <c r="B137" s="38" t="n">
        <f aca="false">IF(A105="YES", B89, 0)</f>
        <v>30.9725</v>
      </c>
      <c r="C137" s="316"/>
      <c r="D137" s="38" t="n">
        <f aca="false">B91</f>
        <v>2159.00438223592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5.718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5.718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254.00004</v>
      </c>
      <c r="B148" s="99" t="n">
        <f aca="false">B102</f>
        <v>400</v>
      </c>
      <c r="C148" s="38"/>
      <c r="D148" s="38" t="n">
        <f aca="false">IF(A105="YES", (B40*B105)*B125, 0)*0.1</f>
        <v>8.577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762.56704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1683.51597601485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1403.98684952236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2159.00438223592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2128.03188223592</v>
      </c>
      <c r="B177" s="354" t="n">
        <f aca="false">IF(A105="YES", B89, 0)</f>
        <v>30.9725</v>
      </c>
      <c r="C177" s="356"/>
      <c r="D177" s="354" t="n">
        <f aca="false">B91</f>
        <v>2159.00438223592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2128.03188223592</v>
      </c>
      <c r="C180" s="352"/>
      <c r="D180" s="99" t="n">
        <f aca="false">IF(A105="YES", B89*B57, 0)</f>
        <v>30.9725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2159.00438223592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2128.03188223592</v>
      </c>
      <c r="B186" s="99" t="n">
        <f aca="false">IF(A105="YES", B89, 0)</f>
        <v>30.9725</v>
      </c>
      <c r="C186" s="352"/>
      <c r="D186" s="99" t="n">
        <f aca="false">B91</f>
        <v>2159.00438223592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254.00004</v>
      </c>
      <c r="B197" s="99" t="n">
        <f aca="false">B102</f>
        <v>400</v>
      </c>
      <c r="C197" s="99"/>
      <c r="D197" s="99" t="n">
        <f aca="false">IF(A105="YES", (B40*B105)*B125, 0)*0.1</f>
        <v>8.577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762.56704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1778.00028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254.00004</v>
      </c>
      <c r="C211" s="319" t="s">
        <v>217</v>
      </c>
      <c r="D211" s="369" t="n">
        <f aca="false">B225+E221+B221+B223</f>
        <v>425.76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1949.76024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1778.00028</v>
      </c>
      <c r="C217" s="374" t="s">
        <v>221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254.00004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1949.76024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85.77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214.505613729381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3" colorId="64" zoomScale="75" zoomScaleNormal="7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1734.74197357815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78.5454545454545</v>
      </c>
      <c r="C176" s="171"/>
      <c r="D176" s="171"/>
      <c r="E176" s="174" t="n">
        <f aca="false">B105</f>
        <v>1734.74197357815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239.99</v>
      </c>
      <c r="C191" s="99"/>
      <c r="D191" s="23"/>
      <c r="E191" s="99" t="n">
        <f aca="false">E188+A191+B191+A194</f>
        <v>24468.1517093596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1734.74197357815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78.5454545454545</v>
      </c>
      <c r="C221" s="171"/>
      <c r="D221" s="171"/>
      <c r="E221" s="174" t="n">
        <f aca="false">E176</f>
        <v>1734.74197357815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239.99</v>
      </c>
      <c r="C233" s="99"/>
      <c r="D233" s="109"/>
      <c r="E233" s="99" t="n">
        <f aca="false">E191</f>
        <v>24468.1517093596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78.5454545454545</v>
      </c>
      <c r="C239" s="183"/>
      <c r="D239" s="183"/>
      <c r="E239" s="99" t="n">
        <f aca="false">E176</f>
        <v>1734.74197357815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</v>
      </c>
      <c r="C9" s="14" t="n">
        <f aca="false">B9*0.2</f>
        <v>4725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23625</v>
      </c>
      <c r="B37" s="32"/>
      <c r="C37" s="41" t="s">
        <v>45</v>
      </c>
      <c r="D37" s="41"/>
      <c r="E37" s="32"/>
      <c r="F37" s="43" t="n">
        <f aca="false">A37-C37</f>
        <v>22625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4725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310.416666666667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239.583333333333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242.25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192.25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270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242.25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18743.7873019305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242.25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242.25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242.25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22625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17443.1682206957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1705.07157290278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18755.7873019305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18755.7873019305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1705.07157290278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1770.52611835732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234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28350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28350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28350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28350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28350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23625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4725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28350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28350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1375</v>
      </c>
      <c r="I157" s="1" t="n">
        <f aca="false">(H157-G90)/1.2</f>
        <v>1145.83333333333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1705.07157290278</v>
      </c>
      <c r="B176" s="174" t="n">
        <f aca="false">B103</f>
        <v>65.4545454545455</v>
      </c>
      <c r="C176" s="171"/>
      <c r="D176" s="171"/>
      <c r="E176" s="174" t="n">
        <f aca="false">B105</f>
        <v>1770.52611835732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-5244.21269806946</v>
      </c>
      <c r="B191" s="99" t="str">
        <f aca="false">B123</f>
        <v>199.99</v>
      </c>
      <c r="C191" s="99"/>
      <c r="D191" s="23"/>
      <c r="E191" s="99" t="n">
        <f aca="false">E188+A191+B191+A194</f>
        <v>24965.7773019305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1375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1770.52611835732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1705.07157290278</v>
      </c>
      <c r="B221" s="174" t="n">
        <f aca="false">B176</f>
        <v>65.4545454545455</v>
      </c>
      <c r="C221" s="171"/>
      <c r="D221" s="171"/>
      <c r="E221" s="174" t="n">
        <f aca="false">E176</f>
        <v>1770.52611835732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-5244.21269806946</v>
      </c>
      <c r="B233" s="99" t="str">
        <f aca="false">B191</f>
        <v>199.99</v>
      </c>
      <c r="C233" s="99"/>
      <c r="D233" s="109"/>
      <c r="E233" s="99" t="n">
        <f aca="false">E191</f>
        <v>24965.7773019305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1705.07157290278</v>
      </c>
      <c r="B239" s="99" t="n">
        <f aca="false">B176</f>
        <v>65.4545454545455</v>
      </c>
      <c r="C239" s="183"/>
      <c r="D239" s="183"/>
      <c r="E239" s="99" t="n">
        <f aca="false">E176</f>
        <v>1770.52611835732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1375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1599.99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18755.7873019305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21520.7919667607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18115.7382128122</v>
      </c>
      <c r="C88" s="130" t="n">
        <f aca="false">B81-B86</f>
        <v>18115.7382128122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688.161112597635</v>
      </c>
      <c r="C89" s="130" t="n">
        <f aca="false">(B88/B87)</f>
        <v>688.161112597635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22021.1556031243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22021.1556031243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688.161112597635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688.161112597635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4" t="str">
        <f aca="false">B94</f>
        <v>0</v>
      </c>
      <c r="C167" s="171"/>
      <c r="D167" s="171"/>
      <c r="E167" s="174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-1978.84439687567</v>
      </c>
      <c r="B182" s="99" t="str">
        <f aca="false">B114</f>
        <v>239.99</v>
      </c>
      <c r="C182" s="99"/>
      <c r="D182" s="23"/>
      <c r="E182" s="99" t="n">
        <f aca="false">E179+A182+B182+A185</f>
        <v>28271.1456031243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688.161112597635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688.161112597635</v>
      </c>
      <c r="B212" s="174" t="str">
        <f aca="false">B167</f>
        <v>0</v>
      </c>
      <c r="C212" s="171"/>
      <c r="D212" s="171"/>
      <c r="E212" s="174" t="n">
        <f aca="false">E167</f>
        <v>688.161112597635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-1978.84439687567</v>
      </c>
      <c r="B224" s="99" t="str">
        <f aca="false">B182</f>
        <v>239.99</v>
      </c>
      <c r="C224" s="99"/>
      <c r="D224" s="109"/>
      <c r="E224" s="99" t="n">
        <f aca="false">E182</f>
        <v>28271.1456031243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688.161112597635</v>
      </c>
      <c r="B230" s="99" t="str">
        <f aca="false">B167</f>
        <v>0</v>
      </c>
      <c r="C230" s="183"/>
      <c r="D230" s="183"/>
      <c r="E230" s="99" t="n">
        <f aca="false">E167</f>
        <v>688.161112597635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</v>
      </c>
      <c r="C9" s="14" t="n">
        <f aca="false">B9*0.2</f>
        <v>4725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376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270</v>
      </c>
      <c r="I36" s="0"/>
      <c r="J36" s="44" t="s">
        <v>51</v>
      </c>
      <c r="K36" s="52" t="n">
        <f aca="false">K32-K34</f>
        <v>22625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18254.7873019305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152.50002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22625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17443.1682206957</v>
      </c>
      <c r="C88" s="130" t="n">
        <f aca="false">B81-B86</f>
        <v>17443.1682206957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1705.07157290278</v>
      </c>
      <c r="C89" s="130" t="n">
        <f aca="false">(B88/B87)</f>
        <v>1705.07157290278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18755.7873019305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18755.7873019305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1705.07157290278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1705.07157290278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28350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28350</v>
      </c>
      <c r="C125" s="129" t="n">
        <f aca="false">C121-C124</f>
        <v>25416.67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23625</v>
      </c>
      <c r="H135" s="150" t="n">
        <f aca="false">C125+E125+G125+H128</f>
        <v>25416.67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4725</v>
      </c>
      <c r="H137" s="33" t="n">
        <f aca="false">(H135+H136)*20%</f>
        <v>5083.334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28350</v>
      </c>
      <c r="H141" s="154" t="n">
        <f aca="false">(H135+H136+H139+H140+H137)-H138</f>
        <v>30500.004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28350</v>
      </c>
      <c r="H147" s="161" t="n">
        <f aca="false">H141-((H144*1.2)+(H145*1.2)+(H146*1.2)+(H142*1.2))</f>
        <v>30500.004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1791.67</v>
      </c>
      <c r="I148" s="1" t="n">
        <f aca="false">(H148-G81)/1.2</f>
        <v>1493.05833333333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1705.07157290278</v>
      </c>
      <c r="B167" s="174" t="n">
        <f aca="false">B94</f>
        <v>0</v>
      </c>
      <c r="C167" s="171"/>
      <c r="D167" s="171"/>
      <c r="E167" s="174" t="n">
        <f aca="false">B96</f>
        <v>1705.07157290278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25416.67</v>
      </c>
      <c r="B173" s="99" t="n">
        <f aca="false">H137</f>
        <v>5083.334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-5744.21669806946</v>
      </c>
      <c r="B182" s="99" t="str">
        <f aca="false">B114</f>
        <v>199.99</v>
      </c>
      <c r="C182" s="99"/>
      <c r="D182" s="23"/>
      <c r="E182" s="99" t="n">
        <f aca="false">E179+A182+B182+A185</f>
        <v>24965.7773019305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127.08335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227.07335</v>
      </c>
      <c r="C191" s="130"/>
      <c r="D191" s="130"/>
      <c r="E191" s="99" t="n">
        <f aca="false">H148</f>
        <v>1791.67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1705.07157290278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1705.07157290278</v>
      </c>
      <c r="B212" s="174" t="n">
        <f aca="false">B167</f>
        <v>0</v>
      </c>
      <c r="C212" s="171"/>
      <c r="D212" s="171"/>
      <c r="E212" s="174" t="n">
        <f aca="false">E167</f>
        <v>1705.07157290278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25416.67</v>
      </c>
      <c r="B215" s="99" t="n">
        <f aca="false">B173</f>
        <v>5083.334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-5744.21669806946</v>
      </c>
      <c r="B224" s="99" t="str">
        <f aca="false">B182</f>
        <v>199.99</v>
      </c>
      <c r="C224" s="99"/>
      <c r="D224" s="109"/>
      <c r="E224" s="99" t="n">
        <f aca="false">E182</f>
        <v>24965.7773019305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1705.07157290278</v>
      </c>
      <c r="B230" s="99" t="n">
        <f aca="false">B167</f>
        <v>0</v>
      </c>
      <c r="C230" s="183"/>
      <c r="D230" s="183"/>
      <c r="E230" s="99" t="n">
        <f aca="false">E167</f>
        <v>1705.07157290278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1791.67</v>
      </c>
      <c r="B240" s="99" t="n">
        <f aca="false">B188</f>
        <v>127.08335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2018.74335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152.50002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-52.51002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152.50002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-52.51002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</v>
      </c>
      <c r="C9" s="14" t="n">
        <f aca="false">B9*0.2</f>
        <v>4725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45" t="s">
        <v>376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270</v>
      </c>
      <c r="I36" s="0"/>
      <c r="J36" s="44" t="s">
        <v>51</v>
      </c>
      <c r="K36" s="52" t="n">
        <f aca="false">K32-K34</f>
        <v>22625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17557.0540911073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152.50002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22625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5433.96849626786</v>
      </c>
      <c r="C86" s="130" t="n">
        <f aca="false">(B82/((1+B84)^(B85+1)))</f>
        <v>5433.96849626786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10.4718562469129</v>
      </c>
      <c r="C87" s="130" t="n">
        <f aca="false">((1-(1/((1+B84)^B85)))/B84)</f>
        <v>10.4718562469129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17191.0315037321</v>
      </c>
      <c r="C88" s="130" t="n">
        <f aca="false">B81-B86</f>
        <v>17191.0315037321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1641.64128100976</v>
      </c>
      <c r="C89" s="130" t="n">
        <f aca="false">(B88/B87)</f>
        <v>1641.64128100976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18058.0540911073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18058.0540911073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1641.64128100976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1641.64128100976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271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272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28350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28350</v>
      </c>
      <c r="C125" s="129" t="n">
        <f aca="false">C121-C124</f>
        <v>25416.67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23625</v>
      </c>
      <c r="H135" s="150" t="n">
        <f aca="false">C125+E125+G125+H128</f>
        <v>25416.67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4725</v>
      </c>
      <c r="H137" s="33" t="n">
        <f aca="false">(H135+H136)*20%</f>
        <v>5083.334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28350</v>
      </c>
      <c r="H141" s="154" t="n">
        <f aca="false">(H135+H136+H139+H140+H137)-H138</f>
        <v>30500.004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28350</v>
      </c>
      <c r="H147" s="161" t="n">
        <f aca="false">H141-((H144*1.2)+(H145*1.2)+(H146*1.2)+(H142*1.2))</f>
        <v>30500.004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1791.67</v>
      </c>
      <c r="I148" s="1" t="n">
        <f aca="false">(H148-G81)/1.2</f>
        <v>1493.05833333333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1641.64128100976</v>
      </c>
      <c r="B167" s="174" t="n">
        <f aca="false">B94</f>
        <v>0</v>
      </c>
      <c r="C167" s="171"/>
      <c r="D167" s="171"/>
      <c r="E167" s="174" t="n">
        <f aca="false">B96</f>
        <v>1641.64128100976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25416.67</v>
      </c>
      <c r="B173" s="99" t="n">
        <f aca="false">H137</f>
        <v>5083.334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-6441.94990889265</v>
      </c>
      <c r="B182" s="99" t="str">
        <f aca="false">B114</f>
        <v>239.99</v>
      </c>
      <c r="C182" s="99"/>
      <c r="D182" s="23"/>
      <c r="E182" s="99" t="n">
        <f aca="false">E179+A182+B182+A185</f>
        <v>24308.0440911073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127.08335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227.075016666667</v>
      </c>
      <c r="C191" s="130"/>
      <c r="D191" s="130"/>
      <c r="E191" s="99" t="n">
        <f aca="false">H148</f>
        <v>1791.67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1641.64128100976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1641.64128100976</v>
      </c>
      <c r="B212" s="174" t="n">
        <f aca="false">B167</f>
        <v>0</v>
      </c>
      <c r="C212" s="171"/>
      <c r="D212" s="171"/>
      <c r="E212" s="174" t="n">
        <f aca="false">E167</f>
        <v>1641.64128100976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25416.67</v>
      </c>
      <c r="B215" s="99" t="n">
        <f aca="false">B173</f>
        <v>5083.334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-6441.94990889265</v>
      </c>
      <c r="B224" s="99" t="str">
        <f aca="false">B182</f>
        <v>239.99</v>
      </c>
      <c r="C224" s="99"/>
      <c r="D224" s="109"/>
      <c r="E224" s="99" t="n">
        <f aca="false">E182</f>
        <v>24308.0440911073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1641.64128100976</v>
      </c>
      <c r="B230" s="99" t="n">
        <f aca="false">B167</f>
        <v>0</v>
      </c>
      <c r="C230" s="183"/>
      <c r="D230" s="183"/>
      <c r="E230" s="99" t="n">
        <f aca="false">E167</f>
        <v>1641.64128100976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1791.67</v>
      </c>
      <c r="B240" s="99" t="n">
        <f aca="false">B188</f>
        <v>127.08335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2018.74501666666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152.50002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-52.5083533333333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152.50002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-52.5083533333333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28350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23625.0</v>
      </c>
      <c r="C9" s="14" t="n">
        <f aca="false">B9*0.2</f>
        <v>4725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0"/>
      <c r="J32" s="44" t="s">
        <v>37</v>
      </c>
      <c r="K32" s="262" t="s">
        <v>388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389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390</v>
      </c>
      <c r="C35" s="219"/>
      <c r="D35" s="219" t="s">
        <v>391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393</v>
      </c>
      <c r="I36" s="0"/>
      <c r="J36" s="44" t="s">
        <v>51</v>
      </c>
      <c r="K36" s="52" t="n">
        <f aca="false">K32-K34</f>
        <v>22625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386</v>
      </c>
      <c r="C38" s="219"/>
      <c r="D38" s="100" t="s">
        <v>392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390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18254.7873019305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152.50002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22625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17443.1682206957</v>
      </c>
      <c r="C88" s="130" t="n">
        <f aca="false">B81-B86</f>
        <v>17443.1682206957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1705.07157290278</v>
      </c>
      <c r="C89" s="130" t="n">
        <f aca="false">(B88/B87)</f>
        <v>1705.07157290278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18755.7873019305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18755.7873019305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1705.07157290278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1705.07157290278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386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395</v>
      </c>
      <c r="C108" s="103"/>
      <c r="D108" s="103" t="n">
        <v>0.0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28350</v>
      </c>
      <c r="C121" s="117" t="n">
        <v>25416.67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28350</v>
      </c>
      <c r="C125" s="129" t="n">
        <f aca="false">C121-C124</f>
        <v>25416.67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23625</v>
      </c>
      <c r="H135" s="150" t="n">
        <f aca="false">C125+E125+G125+H128</f>
        <v>25416.67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4725</v>
      </c>
      <c r="H137" s="33" t="n">
        <f aca="false">(H135+H136)*20%</f>
        <v>5083.334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28350</v>
      </c>
      <c r="H141" s="154" t="n">
        <f aca="false">(H135+H136+H139+H140+H137)-H138</f>
        <v>30500.004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28350</v>
      </c>
      <c r="H147" s="161" t="n">
        <f aca="false">H141-((H144*1.2)+(H145*1.2)+(H146*1.2)+(H142*1.2))</f>
        <v>30500.004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1791.67</v>
      </c>
      <c r="I148" s="1" t="n">
        <f aca="false">(H148-G81)/1.2</f>
        <v>1493.05833333333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1705.07157290278</v>
      </c>
      <c r="B167" s="174" t="n">
        <f aca="false">B94</f>
        <v>0</v>
      </c>
      <c r="C167" s="171"/>
      <c r="D167" s="171"/>
      <c r="E167" s="174" t="n">
        <f aca="false">B96</f>
        <v>1705.07157290278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25416.67</v>
      </c>
      <c r="B173" s="99" t="n">
        <f aca="false">H137</f>
        <v>5083.334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-5744.21669806946</v>
      </c>
      <c r="B182" s="99" t="str">
        <f aca="false">B114</f>
        <v>199.99</v>
      </c>
      <c r="C182" s="99"/>
      <c r="D182" s="23"/>
      <c r="E182" s="99" t="n">
        <f aca="false">E179+A182+B182+A185</f>
        <v>24965.7773019305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127.08335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227.07335</v>
      </c>
      <c r="C191" s="130"/>
      <c r="D191" s="130"/>
      <c r="E191" s="99" t="n">
        <f aca="false">H148</f>
        <v>1791.67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1705.07157290278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1705.07157290278</v>
      </c>
      <c r="B212" s="174" t="n">
        <f aca="false">B167</f>
        <v>0</v>
      </c>
      <c r="C212" s="171"/>
      <c r="D212" s="171"/>
      <c r="E212" s="174" t="n">
        <f aca="false">E167</f>
        <v>1705.07157290278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25416.67</v>
      </c>
      <c r="B215" s="99" t="n">
        <f aca="false">B173</f>
        <v>5083.334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-5744.21669806946</v>
      </c>
      <c r="B224" s="99" t="str">
        <f aca="false">B182</f>
        <v>199.99</v>
      </c>
      <c r="C224" s="99"/>
      <c r="D224" s="109"/>
      <c r="E224" s="99" t="n">
        <f aca="false">E182</f>
        <v>24965.7773019305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1705.07157290278</v>
      </c>
      <c r="B230" s="99" t="n">
        <f aca="false">B167</f>
        <v>0</v>
      </c>
      <c r="C230" s="183"/>
      <c r="D230" s="183"/>
      <c r="E230" s="99" t="n">
        <f aca="false">E167</f>
        <v>1705.07157290278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1791.67</v>
      </c>
      <c r="B240" s="99" t="n">
        <f aca="false">B188</f>
        <v>127.08335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2018.74335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152.50002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-52.51002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152.50002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-52.51002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45034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4725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310.416666666667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189.583333333333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192.25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338</v>
      </c>
      <c r="H50" s="2" t="n">
        <f aca="false">H49-H41</f>
        <v>192.25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192.25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192.25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276</v>
      </c>
      <c r="B66" s="211" t="n">
        <f aca="false">E19</f>
        <v>28350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316" t="n">
        <v>10000</v>
      </c>
      <c r="D70" s="32" t="n">
        <f aca="false">B70-A149</f>
        <v>1984.5</v>
      </c>
      <c r="E70" s="317" t="n">
        <f aca="false">D70/12</f>
        <v>165.375</v>
      </c>
      <c r="F70" s="387"/>
      <c r="G70" s="365" t="s">
        <v>93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93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B66*B72</f>
        <v>283.5</v>
      </c>
      <c r="C73" s="316"/>
      <c r="D73" s="32"/>
      <c r="E73" s="317"/>
      <c r="F73" s="387"/>
      <c r="G73" s="365" t="s">
        <v>96</v>
      </c>
      <c r="H73" s="65" t="n">
        <f aca="false">H67*H72</f>
        <v>187.02</v>
      </c>
      <c r="I73" s="316"/>
      <c r="J73" s="32"/>
      <c r="K73" s="317"/>
      <c r="L73" s="387"/>
      <c r="M73" s="365" t="s">
        <v>96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0</v>
      </c>
      <c r="C80" s="316"/>
      <c r="D80" s="316"/>
      <c r="E80" s="403" t="n">
        <f aca="false">E79+D82</f>
        <v>660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0</v>
      </c>
      <c r="C81" s="316"/>
      <c r="D81" s="316"/>
      <c r="E81" s="317" t="n">
        <f aca="false">E80/12</f>
        <v>55</v>
      </c>
      <c r="F81" s="387"/>
      <c r="G81" s="400" t="s">
        <v>280</v>
      </c>
      <c r="H81" s="77" t="n">
        <f aca="false">IF(G18&gt;40000, 325, 0)</f>
        <v>0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((B80+B81)/12)*(H29+1)</f>
        <v>0</v>
      </c>
      <c r="C82" s="316"/>
      <c r="D82" s="32" t="n">
        <f aca="false">IF(A50="YES", 0, B82)</f>
        <v>0</v>
      </c>
      <c r="E82" s="317"/>
      <c r="F82" s="387"/>
      <c r="G82" s="365" t="s">
        <v>281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0</v>
      </c>
      <c r="C83" s="316"/>
      <c r="D83" s="32" t="n">
        <f aca="false">B83</f>
        <v>0</v>
      </c>
      <c r="E83" s="317" t="n">
        <f aca="false">D83/12</f>
        <v>0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0</v>
      </c>
      <c r="C84" s="316"/>
      <c r="D84" s="32" t="n">
        <f aca="false">B84</f>
        <v>0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2644.5</v>
      </c>
      <c r="C87" s="316"/>
      <c r="D87" s="316"/>
      <c r="E87" s="317"/>
      <c r="F87" s="387"/>
      <c r="G87" s="411" t="s">
        <v>105</v>
      </c>
      <c r="H87" s="412" t="n">
        <f aca="false">SUM(J70:J86)</f>
        <v>5744.78</v>
      </c>
      <c r="I87" s="316"/>
      <c r="J87" s="316"/>
      <c r="K87" s="317"/>
      <c r="L87" s="387"/>
      <c r="M87" s="411" t="s">
        <v>105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220.375</v>
      </c>
      <c r="C88" s="316"/>
      <c r="D88" s="316"/>
      <c r="E88" s="317"/>
      <c r="F88" s="387"/>
      <c r="G88" s="315" t="s">
        <v>106</v>
      </c>
      <c r="H88" s="33" t="n">
        <f aca="false">H87/H29</f>
        <v>478.731666666667</v>
      </c>
      <c r="I88" s="316"/>
      <c r="J88" s="316"/>
      <c r="K88" s="317"/>
      <c r="L88" s="387"/>
      <c r="M88" s="315" t="s">
        <v>106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192.25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5941.8</v>
      </c>
      <c r="C91" s="316"/>
      <c r="D91" s="316"/>
      <c r="E91" s="317"/>
      <c r="F91" s="387"/>
      <c r="G91" s="395" t="s">
        <v>117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117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41.9449374747882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118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5983.74493747479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498.645411456232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498.645411456232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19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498.645411456232</v>
      </c>
      <c r="B134" s="320" t="n">
        <f aca="false">IF(A111="YES", B95, 0)</f>
        <v>0</v>
      </c>
      <c r="C134" s="324"/>
      <c r="D134" s="320" t="n">
        <f aca="false">B97</f>
        <v>498.645411456232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498.645411456232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498.645411456232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498.645411456232</v>
      </c>
      <c r="B143" s="38" t="n">
        <f aca="false">IF(A111="YES", B95, 0)</f>
        <v>0</v>
      </c>
      <c r="C143" s="316"/>
      <c r="D143" s="38" t="n">
        <f aca="false">B97</f>
        <v>498.645411456232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283.5</v>
      </c>
      <c r="B154" s="38" t="n">
        <f aca="false">B108</f>
        <v>0</v>
      </c>
      <c r="C154" s="38"/>
      <c r="D154" s="38" t="n">
        <f aca="false">IF(A111="YES", (A44/100*B111)*B131, 0)*0.1</f>
        <v>0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4725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383.491666666667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498.645411456232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498.645411456232</v>
      </c>
      <c r="B177" s="354" t="n">
        <f aca="false">IF(A111="YES", B95, 0)</f>
        <v>0</v>
      </c>
      <c r="C177" s="356"/>
      <c r="D177" s="354" t="n">
        <f aca="false">A177+B177</f>
        <v>498.645411456232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498.645411456232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498.645411456232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498.645411456232</v>
      </c>
      <c r="B186" s="99" t="n">
        <f aca="false">IF(A111="YES", B95, 0)</f>
        <v>0</v>
      </c>
      <c r="C186" s="352"/>
      <c r="D186" s="99" t="n">
        <f aca="false">B97</f>
        <v>498.645411456232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283.5</v>
      </c>
      <c r="B197" s="99" t="n">
        <f aca="false">B108</f>
        <v>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383.491666666667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1984.5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283.5</v>
      </c>
      <c r="C211" s="319" t="s">
        <v>217</v>
      </c>
      <c r="D211" s="369" t="n">
        <f aca="false">B225+E221+B221+B223</f>
        <v>99.9916666666667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1800.99166666667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283.5</v>
      </c>
      <c r="C219" s="335" t="s">
        <v>328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1800.99166666667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41.9449374747882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75" zoomScaleNormal="75" zoomScalePageLayoutView="100" workbookViewId="0">
      <selection pane="topLeft" activeCell="H41" activeCellId="0" sqref="H4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45034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4725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72</v>
      </c>
      <c r="B44" s="100" t="s">
        <v>335</v>
      </c>
      <c r="C44" s="100"/>
      <c r="D44" s="100" t="s">
        <v>335</v>
      </c>
      <c r="E44" s="100"/>
      <c r="F44" s="387"/>
      <c r="G44" s="2" t="s">
        <v>67</v>
      </c>
      <c r="H44" s="2" t="n">
        <f aca="false">((H40-(((H42/(1.2))*0.2)))/(H43))</f>
        <v>310.416666666667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239.583333333333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242.25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192.25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242.25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276</v>
      </c>
      <c r="B66" s="211" t="n">
        <f aca="false">E19</f>
        <v>28350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316" t="n">
        <v>10000</v>
      </c>
      <c r="D70" s="32" t="n">
        <f aca="false">B70-A149</f>
        <v>1984.5</v>
      </c>
      <c r="E70" s="317" t="n">
        <f aca="false">D70/12</f>
        <v>165.375</v>
      </c>
      <c r="F70" s="387"/>
      <c r="G70" s="365" t="s">
        <v>93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93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94</v>
      </c>
      <c r="B71" s="292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316"/>
      <c r="D73" s="32"/>
      <c r="E73" s="317"/>
      <c r="F73" s="387"/>
      <c r="G73" s="365" t="s">
        <v>96</v>
      </c>
      <c r="H73" s="65" t="n">
        <f aca="false">H67*H72</f>
        <v>187.02</v>
      </c>
      <c r="I73" s="316"/>
      <c r="J73" s="32"/>
      <c r="K73" s="317"/>
      <c r="L73" s="387"/>
      <c r="M73" s="365" t="s">
        <v>96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280</v>
      </c>
      <c r="H81" s="77" t="n">
        <f aca="false">IF(G18&gt;40000, 325, 0)</f>
        <v>0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281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222.222222222222</v>
      </c>
      <c r="C83" s="316"/>
      <c r="D83" s="32" t="n">
        <f aca="false">B83</f>
        <v>222.222222222222</v>
      </c>
      <c r="E83" s="317" t="n">
        <f aca="false">D83/12</f>
        <v>18.5185185185185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3267.69444444444</v>
      </c>
      <c r="C87" s="316"/>
      <c r="D87" s="316"/>
      <c r="E87" s="317"/>
      <c r="F87" s="387"/>
      <c r="G87" s="411" t="s">
        <v>105</v>
      </c>
      <c r="H87" s="412" t="n">
        <f aca="false">SUM(J70:J86)</f>
        <v>5744.78</v>
      </c>
      <c r="I87" s="316"/>
      <c r="J87" s="316"/>
      <c r="K87" s="317"/>
      <c r="L87" s="387"/>
      <c r="M87" s="411" t="s">
        <v>105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272.30787037037</v>
      </c>
      <c r="C88" s="316"/>
      <c r="D88" s="316"/>
      <c r="E88" s="317"/>
      <c r="F88" s="387"/>
      <c r="G88" s="315" t="s">
        <v>106</v>
      </c>
      <c r="H88" s="33" t="n">
        <f aca="false">H87/H29</f>
        <v>478.731666666667</v>
      </c>
      <c r="I88" s="316"/>
      <c r="J88" s="316"/>
      <c r="K88" s="317"/>
      <c r="L88" s="387"/>
      <c r="M88" s="315" t="s">
        <v>106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192.25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5574.69444444444</v>
      </c>
      <c r="C91" s="316"/>
      <c r="D91" s="316"/>
      <c r="E91" s="317"/>
      <c r="F91" s="387"/>
      <c r="G91" s="395" t="s">
        <v>117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117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47.2241159069517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118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5621.9185603514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468.493213362616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528.493213362616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131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200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20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19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(E124+E123)-E120</f>
        <v>-2800.01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468.493213362616</v>
      </c>
      <c r="B134" s="320" t="n">
        <f aca="false">IF(A111="YES", B95, 0)</f>
        <v>60</v>
      </c>
      <c r="C134" s="325"/>
      <c r="D134" s="320" t="n">
        <f aca="false">B97</f>
        <v>528.493213362616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468.493213362616</v>
      </c>
      <c r="C137" s="316"/>
      <c r="D137" s="38" t="n">
        <f aca="false">IF(A111="YES", B95*B63, 0)</f>
        <v>60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528.493213362616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468.493213362616</v>
      </c>
      <c r="B143" s="38" t="n">
        <f aca="false">IF(A111="YES", B95, 0)</f>
        <v>60</v>
      </c>
      <c r="C143" s="316"/>
      <c r="D143" s="38" t="n">
        <f aca="false">B97</f>
        <v>528.493213362616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200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200</v>
      </c>
      <c r="C154" s="38"/>
      <c r="D154" s="38" t="n">
        <f aca="false">IF(A111="YES", (A44/100*B111)*B131, 0)*0.1</f>
        <v>12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4725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686.03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528.493213362616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468.493213362616</v>
      </c>
      <c r="B177" s="354" t="n">
        <f aca="false">IF(A111="YES", B95, 0)</f>
        <v>60</v>
      </c>
      <c r="C177" s="357"/>
      <c r="D177" s="354" t="n">
        <f aca="false">B91</f>
        <v>5574.69444444444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468.493213362616</v>
      </c>
      <c r="C180" s="352"/>
      <c r="D180" s="99" t="n">
        <f aca="false">IF(A111="YES", B95*B63, 0)</f>
        <v>60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528.493213362616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468.493213362616</v>
      </c>
      <c r="B186" s="99" t="n">
        <f aca="false">IF(A111="YES", B95, 0)</f>
        <v>60</v>
      </c>
      <c r="C186" s="352"/>
      <c r="D186" s="99" t="n">
        <f aca="false">B97</f>
        <v>528.493213362616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200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200</v>
      </c>
      <c r="C197" s="99"/>
      <c r="D197" s="99" t="n">
        <f aca="false">IF(A111="YES", (A44/100*B111)*B131, 0)*0.1</f>
        <v>12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686.03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1984.5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439.99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2050.45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20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2050.45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120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47.2241159069517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28350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1984.5</v>
      </c>
      <c r="C70" s="211" t="n">
        <v>10000</v>
      </c>
      <c r="D70" s="290" t="n">
        <f aca="false">B70-A149</f>
        <v>1984.5</v>
      </c>
      <c r="E70" s="212" t="n">
        <f aca="false">D70/12</f>
        <v>165.375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B66*B72</f>
        <v>283.5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3311.16666666667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275.930555555556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9323.16666666667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78.9780153287616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5402.14468199543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450.178723499619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450.178723499619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450.178723499619</v>
      </c>
      <c r="B134" s="320" t="n">
        <f aca="false">IF(A111="YES", B95, 0)</f>
        <v>0</v>
      </c>
      <c r="C134" s="325"/>
      <c r="D134" s="320" t="n">
        <f aca="false">B97</f>
        <v>450.178723499619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4051.60851149657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4051.60851149657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450.178723499619</v>
      </c>
      <c r="B143" s="38" t="n">
        <f aca="false">IF(A111="YES", B95, 0)</f>
        <v>0</v>
      </c>
      <c r="C143" s="316"/>
      <c r="D143" s="38" t="n">
        <f aca="false">B97</f>
        <v>450.178723499619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283.5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783.49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450.178723499619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450.178723499619</v>
      </c>
      <c r="B177" s="354" t="n">
        <f aca="false">IF(A111="YES", B95, 0)</f>
        <v>0</v>
      </c>
      <c r="C177" s="357"/>
      <c r="D177" s="354" t="n">
        <f aca="false">B91</f>
        <v>9323.16666666667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4051.60851149657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4051.60851149657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450.178723499619</v>
      </c>
      <c r="B186" s="99" t="n">
        <f aca="false">IF(A111="YES", B95, 0)</f>
        <v>0</v>
      </c>
      <c r="C186" s="352"/>
      <c r="D186" s="99" t="n">
        <f aca="false">B97</f>
        <v>450.178723499619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283.5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1984.5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283.5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2040.99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1984.5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283.5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2040.99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78.9780153287616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1223.33333333333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</v>
      </c>
      <c r="C81" s="211"/>
      <c r="D81" s="211"/>
      <c r="E81" s="212" t="n">
        <f aca="false">E80/12</f>
        <v>101.944444444444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563.333333333333</v>
      </c>
      <c r="C82" s="211"/>
      <c r="D82" s="290" t="n">
        <f aca="false">IF(A50="YES", 0, B82)</f>
        <v>563.333333333333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3832.5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319.375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11813.4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83.3943122226704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7896.79431222267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658.066192685223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736.066192685223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658.066192685223</v>
      </c>
      <c r="B134" s="320" t="n">
        <f aca="false">IF(A111="YES", B95, 0)</f>
        <v>78</v>
      </c>
      <c r="C134" s="325"/>
      <c r="D134" s="320" t="n">
        <f aca="false">B97</f>
        <v>736.066192685223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5922.595734167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6624.595734167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658.066192685223</v>
      </c>
      <c r="B143" s="38" t="n">
        <f aca="false">IF(A111="YES", B95, 0)</f>
        <v>78</v>
      </c>
      <c r="C143" s="316"/>
      <c r="D143" s="38" t="n">
        <f aca="false">B97</f>
        <v>736.066192685223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736.066192685223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658.066192685223</v>
      </c>
      <c r="B177" s="354" t="n">
        <f aca="false">IF(A111="YES", B95, 0)</f>
        <v>78</v>
      </c>
      <c r="C177" s="357"/>
      <c r="D177" s="354" t="n">
        <f aca="false">B97</f>
        <v>736.066192685223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5922.595734167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6624.595734167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658.066192685223</v>
      </c>
      <c r="B186" s="99" t="n">
        <f aca="false">IF(A111="YES", B95, 0)</f>
        <v>78</v>
      </c>
      <c r="C186" s="352"/>
      <c r="D186" s="99" t="n">
        <f aca="false">B97</f>
        <v>736.066192685223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2088.45166666667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2088.45166666667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83.3943122226704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A63" activeCellId="0" sqref="A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1223.33333333333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</v>
      </c>
      <c r="C81" s="211"/>
      <c r="D81" s="211"/>
      <c r="E81" s="212" t="n">
        <f aca="false">E80/12</f>
        <v>101.944444444444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563.333333333333</v>
      </c>
      <c r="C82" s="211"/>
      <c r="D82" s="290" t="n">
        <f aca="false">IF(A50="YES", 0, B82)</f>
        <v>563.333333333333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3165.83333333333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263.819444444445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9177.83333333333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77.7468737394111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5255.58020707274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437.965017256062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502.965017256062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437.965017256062</v>
      </c>
      <c r="B134" s="320" t="n">
        <f aca="false">IF(A111="YES", B95, 0)</f>
        <v>65</v>
      </c>
      <c r="C134" s="325"/>
      <c r="D134" s="320" t="n">
        <f aca="false">B97</f>
        <v>502.965017256062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3941.68515530456</v>
      </c>
      <c r="C137" s="316"/>
      <c r="D137" s="38" t="n">
        <f aca="false">IF(A111="YES", B95*B63, 0)</f>
        <v>585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4526.68515530456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437.965017256062</v>
      </c>
      <c r="B143" s="38" t="n">
        <f aca="false">IF(A111="YES", B95, 0)</f>
        <v>65</v>
      </c>
      <c r="C143" s="316"/>
      <c r="D143" s="38" t="n">
        <f aca="false">B97</f>
        <v>502.965017256062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18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492.03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502.965017256062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437.965017256062</v>
      </c>
      <c r="B177" s="354" t="n">
        <f aca="false">IF(A111="YES", B95, 0)</f>
        <v>65</v>
      </c>
      <c r="C177" s="357"/>
      <c r="D177" s="354" t="n">
        <f aca="false">B91</f>
        <v>9177.83333333333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3941.68515530456</v>
      </c>
      <c r="C180" s="352"/>
      <c r="D180" s="99" t="n">
        <f aca="false">IF(A111="YES", B95*B63, 0)</f>
        <v>585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4526.68515530456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437.965017256062</v>
      </c>
      <c r="B186" s="99" t="n">
        <f aca="false">IF(A111="YES", B95, 0)</f>
        <v>65</v>
      </c>
      <c r="C186" s="352"/>
      <c r="D186" s="99" t="n">
        <f aca="false">B97</f>
        <v>502.965017256062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492.03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279.99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1848.45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1848.45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77.7468737394111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A1" activeCellId="0" sqref="A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2602.5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216.875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8614.5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72.9747882210569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8687.47478822106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723.956232351755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723.956232351755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19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723.956232351755</v>
      </c>
      <c r="B134" s="320" t="n">
        <f aca="false">IF(A111="YES", B95, 0)</f>
        <v>0</v>
      </c>
      <c r="C134" s="325"/>
      <c r="D134" s="320" t="n">
        <f aca="false">B97</f>
        <v>723.956232351755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723.956232351755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723.956232351755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723.956232351755</v>
      </c>
      <c r="B143" s="38" t="n">
        <f aca="false">IF(A111="YES", B95, 0)</f>
        <v>0</v>
      </c>
      <c r="C143" s="316"/>
      <c r="D143" s="38" t="n">
        <f aca="false">B97</f>
        <v>723.956232351755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723.956232351755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723.956232351755</v>
      </c>
      <c r="B177" s="354" t="n">
        <f aca="false">IF(A111="YES", B95, 0)</f>
        <v>0</v>
      </c>
      <c r="C177" s="357"/>
      <c r="D177" s="354" t="n">
        <f aca="false">B91</f>
        <v>8614.5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723.956232351755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723.956232351755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723.956232351755</v>
      </c>
      <c r="B186" s="99" t="n">
        <f aca="false">IF(A111="YES", B95, 0)</f>
        <v>0</v>
      </c>
      <c r="C186" s="352"/>
      <c r="D186" s="99" t="n">
        <f aca="false">B97</f>
        <v>723.956232351755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1668.45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72.9747882210569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30.35</v>
      </c>
      <c r="E32" s="222"/>
      <c r="F32" s="63"/>
      <c r="G32" s="223" t="s">
        <v>242</v>
      </c>
      <c r="H32" s="221" t="str">
        <f aca="false">A41</f>
        <v>30.35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530.35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377</v>
      </c>
      <c r="B41" s="237" t="n">
        <f aca="false">IF(B38="YES", D38+A41, D38)</f>
        <v>530.35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30.35</v>
      </c>
      <c r="I44" s="393" t="n">
        <f aca="false">((A41*(B35-1))+D32)/B35</f>
        <v>30.35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531.35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531.35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3447.91666666667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287.326388888889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11351.9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80.1364461476402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7432.03644614764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47.346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619.336370512303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666.682370512303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131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619.336370512303</v>
      </c>
      <c r="B134" s="320" t="n">
        <f aca="false">IF(A111="YES", B95, 0)</f>
        <v>47.346</v>
      </c>
      <c r="C134" s="325"/>
      <c r="D134" s="320" t="n">
        <f aca="false">B97</f>
        <v>666.682370512303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619.336370512303</v>
      </c>
      <c r="C137" s="316"/>
      <c r="D137" s="38" t="n">
        <f aca="false">IF(A111="YES", B95*B63, 0)</f>
        <v>47.346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666.682370512303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619.336370512303</v>
      </c>
      <c r="B143" s="38" t="n">
        <f aca="false">IF(A111="YES", B95, 0)</f>
        <v>47.346</v>
      </c>
      <c r="C143" s="316"/>
      <c r="D143" s="38" t="n">
        <f aca="false">B97</f>
        <v>666.682370512303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7.284</v>
      </c>
      <c r="H148" s="99" t="n">
        <f aca="false">G108-100</f>
        <v>139.988</v>
      </c>
      <c r="I148" s="99"/>
      <c r="J148" s="99" t="n">
        <f aca="false">(H145+J145+G148+H148)-H151</f>
        <v>1383.122</v>
      </c>
      <c r="K148" s="101"/>
      <c r="L148" s="63"/>
      <c r="M148" s="107" t="n">
        <f aca="false">IF(M111="YES", ((A41*N111)*0.1)*(M133), 0)</f>
        <v>7.284</v>
      </c>
      <c r="N148" s="99" t="n">
        <f aca="false">M108-100</f>
        <v>99.99</v>
      </c>
      <c r="O148" s="99"/>
      <c r="P148" s="99" t="n">
        <f aca="false">(N145+P145+M148+N148)-N151</f>
        <v>1343.124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10.926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884.957666666667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666.682370512303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619.336370512303</v>
      </c>
      <c r="B177" s="354" t="n">
        <f aca="false">IF(A111="YES", B95, 0)</f>
        <v>47.346</v>
      </c>
      <c r="C177" s="357"/>
      <c r="D177" s="354" t="n">
        <f aca="false">B91</f>
        <v>11351.9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619.336370512303</v>
      </c>
      <c r="C180" s="352"/>
      <c r="D180" s="99" t="n">
        <f aca="false">IF(A111="YES", B95*B63, 0)</f>
        <v>47.346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666.682370512303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619.336370512303</v>
      </c>
      <c r="B186" s="99" t="n">
        <f aca="false">IF(A111="YES", B95, 0)</f>
        <v>47.346</v>
      </c>
      <c r="C186" s="352"/>
      <c r="D186" s="99" t="n">
        <f aca="false">B97</f>
        <v>666.682370512303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10.926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884.957666666667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449.251666666667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2017.71166666667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2017.71166666667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109.26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80.1364461476402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276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93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93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374.04</v>
      </c>
      <c r="C73" s="211"/>
      <c r="D73" s="290"/>
      <c r="E73" s="212"/>
      <c r="F73" s="63"/>
      <c r="G73" s="284" t="s">
        <v>96</v>
      </c>
      <c r="H73" s="129" t="n">
        <f aca="false">H67*H72</f>
        <v>187.02</v>
      </c>
      <c r="I73" s="211"/>
      <c r="J73" s="290"/>
      <c r="K73" s="212"/>
      <c r="L73" s="63"/>
      <c r="M73" s="284" t="s">
        <v>96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280</v>
      </c>
      <c r="H81" s="298" t="n">
        <f aca="false">IF(G18&gt;40000, 325, 0)</f>
        <v>0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281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2781.25</v>
      </c>
      <c r="C87" s="211"/>
      <c r="D87" s="211"/>
      <c r="E87" s="212"/>
      <c r="F87" s="63"/>
      <c r="G87" s="302" t="s">
        <v>105</v>
      </c>
      <c r="H87" s="303" t="n">
        <f aca="false">SUM(J70:J86)</f>
        <v>5744.78</v>
      </c>
      <c r="I87" s="211"/>
      <c r="J87" s="211"/>
      <c r="K87" s="212"/>
      <c r="L87" s="63"/>
      <c r="M87" s="302" t="s">
        <v>105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231.770833333333</v>
      </c>
      <c r="C88" s="211"/>
      <c r="D88" s="211"/>
      <c r="E88" s="212"/>
      <c r="F88" s="63"/>
      <c r="G88" s="210" t="s">
        <v>106</v>
      </c>
      <c r="H88" s="299" t="n">
        <f aca="false">H87/H29</f>
        <v>478.731666666667</v>
      </c>
      <c r="I88" s="211"/>
      <c r="J88" s="211"/>
      <c r="K88" s="212"/>
      <c r="L88" s="63"/>
      <c r="M88" s="210" t="s">
        <v>106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8793.25</v>
      </c>
      <c r="C91" s="211"/>
      <c r="D91" s="211"/>
      <c r="E91" s="212"/>
      <c r="F91" s="63"/>
      <c r="G91" s="287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74.4890076643808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4867.73900766438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405.644917305365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405.644917305365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405.644917305365</v>
      </c>
      <c r="B134" s="320" t="n">
        <f aca="false">IF(A111="YES", B95, 0)</f>
        <v>0</v>
      </c>
      <c r="C134" s="325"/>
      <c r="D134" s="320" t="n">
        <f aca="false">B97</f>
        <v>405.644917305365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3650.80425574829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3650.80425574829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405.644917305365</v>
      </c>
      <c r="B143" s="38" t="n">
        <f aca="false">IF(A111="YES", B95, 0)</f>
        <v>0</v>
      </c>
      <c r="C143" s="316"/>
      <c r="D143" s="38" t="n">
        <f aca="false">B97</f>
        <v>405.644917305365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405.644917305365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405.644917305365</v>
      </c>
      <c r="B177" s="354" t="n">
        <f aca="false">IF(A111="YES", B95, 0)</f>
        <v>0</v>
      </c>
      <c r="C177" s="357"/>
      <c r="D177" s="354" t="n">
        <f aca="false">B91</f>
        <v>8793.25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3650.80425574829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3650.80425574829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405.644917305365</v>
      </c>
      <c r="B186" s="99" t="n">
        <f aca="false">IF(A111="YES", B95, 0)</f>
        <v>0</v>
      </c>
      <c r="C186" s="352"/>
      <c r="D186" s="99" t="n">
        <f aca="false">B97</f>
        <v>405.644917305365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374.04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1668.45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1942.5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0</v>
      </c>
      <c r="C223" s="335" t="s">
        <v>218</v>
      </c>
      <c r="D223" s="316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74.4890076643808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9" colorId="64" zoomScale="75" zoomScaleNormal="7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475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2035.18797553986</v>
      </c>
      <c r="F33" s="228"/>
      <c r="G33" s="228"/>
      <c r="H33" s="47"/>
      <c r="I33" s="2"/>
      <c r="J33" s="34" t="s">
        <v>352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1995.60464220652</v>
      </c>
      <c r="B36" s="228" t="n">
        <f aca="false">IF(B26="YES", K42, "0.00")</f>
        <v>39.5833333333333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23125</v>
      </c>
      <c r="L39" s="2" t="n">
        <f aca="false">(L47*K46)+K44</f>
        <v>8811.68295801491</v>
      </c>
      <c r="N39" s="1" t="n">
        <f aca="false">K39-L39</f>
        <v>14313.3170419851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39.5833333333333</v>
      </c>
      <c r="C40" s="103"/>
      <c r="D40" s="103"/>
      <c r="E40" s="179" t="n">
        <f aca="false">K32</f>
        <v>475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14313.3170419851</v>
      </c>
      <c r="N40" s="1" t="n">
        <f aca="false">N38-N39</f>
        <v>-11401.6370419851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39.5833333333333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23125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1995.60464220652</v>
      </c>
      <c r="L47" s="2" t="n">
        <f aca="false">L49-K42</f>
        <v>760.416666666667</v>
      </c>
      <c r="M47" s="1" t="n">
        <f aca="false">K47-L47</f>
        <v>1235.18797553986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2035.18797553986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2035.18797553986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7010.42567114101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121.25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1995.60464220652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1995.60464220652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2035.18797553986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2035.18797553986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29100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10.3399216528992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29100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2814.33467069266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30957.6813776193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30957.6813776193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67.3636363636364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61.75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51.8181818181818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62.1818181818182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2814.33467069266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2881.6983070563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29100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2814.33467069266</v>
      </c>
      <c r="B167" s="174" t="n">
        <f aca="false">B94</f>
        <v>67.3636363636364</v>
      </c>
      <c r="C167" s="171"/>
      <c r="D167" s="171"/>
      <c r="E167" s="174" t="n">
        <f aca="false">B96</f>
        <v>2881.6983070563</v>
      </c>
      <c r="F167" s="23"/>
      <c r="G167" s="23"/>
      <c r="H167" s="33"/>
      <c r="J167" s="173" t="e">
        <f aca="false">K95</f>
        <v>#VALUE!</v>
      </c>
      <c r="K167" s="174" t="n">
        <f aca="false">K94</f>
        <v>61.75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51.8181818181818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62.1818181818182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29100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4739.37968467559</v>
      </c>
      <c r="B182" s="99" t="str">
        <f aca="false">B114</f>
        <v>239.99</v>
      </c>
      <c r="C182" s="99"/>
      <c r="D182" s="23"/>
      <c r="E182" s="99" t="n">
        <f aca="false">E179+A182+B182+A185</f>
        <v>34089.3696846756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B233</f>
        <v>2891.6983070563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121.25</v>
      </c>
      <c r="C188" s="130"/>
      <c r="D188" s="130"/>
      <c r="E188" s="99" t="n">
        <f aca="false">(E40*A108)*0.1</f>
        <v>14.25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14.25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9.5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9.5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235.491666666667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2881.6983070563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2814.33467069266</v>
      </c>
      <c r="B212" s="174" t="n">
        <f aca="false">B167</f>
        <v>67.3636363636364</v>
      </c>
      <c r="C212" s="171"/>
      <c r="D212" s="171"/>
      <c r="E212" s="174" t="n">
        <f aca="false">E167</f>
        <v>2881.6983070563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29100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4739.37968467559</v>
      </c>
      <c r="B224" s="99" t="str">
        <f aca="false">B182</f>
        <v>239.99</v>
      </c>
      <c r="C224" s="99"/>
      <c r="D224" s="109"/>
      <c r="E224" s="99" t="n">
        <f aca="false">E182</f>
        <v>34089.3696846756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2814.33467069266</v>
      </c>
      <c r="B230" s="99" t="n">
        <f aca="false">B167</f>
        <v>67.3636363636364</v>
      </c>
      <c r="C230" s="183"/>
      <c r="D230" s="183"/>
      <c r="E230" s="99" t="n">
        <f aca="false">E167</f>
        <v>2881.6983070563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E212+A227</f>
        <v>2891.6983070563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121.25</v>
      </c>
      <c r="C240" s="130"/>
      <c r="D240" s="130"/>
      <c r="E240" s="99" t="n">
        <f aca="false">E188</f>
        <v>14.25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2110.49166666667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145.5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242.491666666667</v>
      </c>
      <c r="C255" s="194"/>
      <c r="D255" s="195" t="s">
        <v>218</v>
      </c>
      <c r="E255" s="195"/>
      <c r="F255" s="196" t="n">
        <f aca="false">(B254-F254)+B255</f>
        <v>96.9916666666667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30957.6813776193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145.5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96.9916666666667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94" colorId="64" zoomScale="75" zoomScaleNormal="75" zoomScalePageLayoutView="100" workbookViewId="0">
      <selection pane="topLeft" activeCell="E234" activeCellId="0" sqref="E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739.763676142544</v>
      </c>
      <c r="F33" s="228"/>
      <c r="G33" s="228"/>
      <c r="H33" s="47"/>
      <c r="I33" s="2"/>
      <c r="J33" s="34" t="s">
        <v>352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739.763676142544</v>
      </c>
      <c r="B36" s="228" t="n">
        <f aca="false">IF(B26="YES", K42, "0.00")</f>
        <v>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25909.1715613066</v>
      </c>
      <c r="N39" s="1" t="n">
        <f aca="false">K39-L39</f>
        <v>-1950.84156130656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-1950.84156130656</v>
      </c>
      <c r="N40" s="1" t="n">
        <f aca="false">N38-N39</f>
        <v>4862.52156130656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0.00583333333333333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32.3864644516332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739.763676142544</v>
      </c>
      <c r="L47" s="2" t="n">
        <f aca="false">L49-K42</f>
        <v>800</v>
      </c>
      <c r="M47" s="1" t="n">
        <f aca="false">K47-L47</f>
        <v>-60.2363238574559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739.763676142544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739.763676142544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7115.38009594654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229.166666666667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739.763676142544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739.763676142544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739.763676142544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739.763676142544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27500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0.142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28.5211615326607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27500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964.196355345089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33746.8724370781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33746.8724370781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964.196355345089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964.196355345089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19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0.142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28749.996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1041.67</v>
      </c>
      <c r="I148" s="1" t="n">
        <f aca="false">(H148-G81)/1.2</f>
        <v>868.058333333331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27500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964.196355345089</v>
      </c>
      <c r="B167" s="174" t="n">
        <f aca="false">B94</f>
        <v>0</v>
      </c>
      <c r="C167" s="171"/>
      <c r="D167" s="171"/>
      <c r="E167" s="174" t="n">
        <f aca="false">B96</f>
        <v>964.196355345089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27500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7211.06879242322</v>
      </c>
      <c r="B182" s="99" t="str">
        <f aca="false">B114</f>
        <v>199.99</v>
      </c>
      <c r="C182" s="99"/>
      <c r="D182" s="23"/>
      <c r="E182" s="99" t="n">
        <f aca="false">E179+A182+B182+A185</f>
        <v>34921.0587924232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974.196355345089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229.166666666667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329.156666666667</v>
      </c>
      <c r="C191" s="130"/>
      <c r="D191" s="130"/>
      <c r="E191" s="99" t="n">
        <f aca="false">H148</f>
        <v>1041.67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964.196355345089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964.196355345089</v>
      </c>
      <c r="B212" s="174" t="n">
        <f aca="false">B167</f>
        <v>0</v>
      </c>
      <c r="C212" s="171"/>
      <c r="D212" s="171"/>
      <c r="E212" s="174" t="n">
        <f aca="false">E167</f>
        <v>964.196355345089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27500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7211.06879242322</v>
      </c>
      <c r="B224" s="99" t="str">
        <f aca="false">B182</f>
        <v>199.99</v>
      </c>
      <c r="C224" s="99"/>
      <c r="D224" s="109"/>
      <c r="E224" s="99" t="n">
        <f aca="false">E182</f>
        <v>34921.0587924232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964.196355345089</v>
      </c>
      <c r="B230" s="99" t="n">
        <f aca="false">B167</f>
        <v>0</v>
      </c>
      <c r="C230" s="183"/>
      <c r="D230" s="183"/>
      <c r="E230" s="99" t="n">
        <f aca="false">E167</f>
        <v>964.196355345089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974.196355345089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1041.67</v>
      </c>
      <c r="B240" s="99" t="n">
        <f aca="false">B68</f>
        <v>229.166666666667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1370.82666666666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0.07</v>
      </c>
      <c r="C253" s="194"/>
      <c r="D253" s="195" t="s">
        <v>214</v>
      </c>
      <c r="E253" s="195"/>
      <c r="F253" s="193" t="n">
        <f aca="false">B83</f>
        <v>0.142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-175.01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0.07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0.142</v>
      </c>
      <c r="C260" s="43"/>
      <c r="D260" s="163" t="s">
        <v>215</v>
      </c>
      <c r="E260" s="163"/>
      <c r="F260" s="143" t="n">
        <f aca="false">(B89*B59)-(C89*B59)</f>
        <v>33746.8724370781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58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275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2090.4347020187</v>
      </c>
      <c r="F33" s="228"/>
      <c r="G33" s="228"/>
      <c r="H33" s="47"/>
      <c r="I33" s="2"/>
      <c r="J33" s="34" t="s">
        <v>352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2067.51803535204</v>
      </c>
      <c r="B36" s="228" t="n">
        <f aca="false">IF(B26="YES", K42, "0.00")</f>
        <v>22.9166666666667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22.9166666666667</v>
      </c>
      <c r="C40" s="103"/>
      <c r="D40" s="103"/>
      <c r="E40" s="179" t="n">
        <f aca="false">K32</f>
        <v>275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22.9166666666667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2090.4347020187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2090.4347020187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3124.60118175478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118.749983333333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2067.51803535204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2067.51803535204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2090.4347020187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2090.4347020187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28499.996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28499.996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2539.52887327084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30474.34647925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30474.34647925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35.75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35.75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30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36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2539.52887327084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2575.27887327084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18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25833.33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25833.33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25833.33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5166.666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30999.996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28749.996</v>
      </c>
      <c r="H147" s="161" t="n">
        <f aca="false">H141-((H144*1.2)+(H145*1.2)+(H146*1.2)+(H142*1.2))</f>
        <v>30999.996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28499.996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2539.52887327084</v>
      </c>
      <c r="B167" s="174" t="n">
        <f aca="false">B94</f>
        <v>35.75</v>
      </c>
      <c r="C167" s="171"/>
      <c r="D167" s="171"/>
      <c r="E167" s="174" t="n">
        <f aca="false">B96</f>
        <v>2575.27887327084</v>
      </c>
      <c r="F167" s="23"/>
      <c r="G167" s="23"/>
      <c r="H167" s="33"/>
      <c r="J167" s="173" t="e">
        <f aca="false">K95</f>
        <v>#VALUE!</v>
      </c>
      <c r="K167" s="174" t="n">
        <f aca="false">K94</f>
        <v>35.75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30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36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25833.33</v>
      </c>
      <c r="B173" s="99" t="n">
        <f aca="false">H137</f>
        <v>5166.666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30999.996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28499.996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2010.10047925004</v>
      </c>
      <c r="B182" s="99" t="str">
        <f aca="false">B114</f>
        <v>239.99</v>
      </c>
      <c r="C182" s="99"/>
      <c r="D182" s="23"/>
      <c r="E182" s="99" t="n">
        <f aca="false">E179+A182+B182+A185</f>
        <v>30760.08647925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E167+A185</f>
        <v>2585.27887327084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118.749983333333</v>
      </c>
      <c r="C188" s="130"/>
      <c r="D188" s="130"/>
      <c r="E188" s="99" t="n">
        <f aca="false">(E40*A108)*0.1</f>
        <v>8.25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8.25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5.5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5.5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226.99165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2575.27887327084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2539.52887327084</v>
      </c>
      <c r="B212" s="174" t="n">
        <f aca="false">B167</f>
        <v>35.75</v>
      </c>
      <c r="C212" s="171"/>
      <c r="D212" s="171"/>
      <c r="E212" s="174" t="n">
        <f aca="false">E167</f>
        <v>2575.27887327084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25833.33</v>
      </c>
      <c r="B215" s="99" t="n">
        <f aca="false">B173</f>
        <v>5166.666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30999.996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28499.996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2010.10047925004</v>
      </c>
      <c r="B224" s="99" t="str">
        <f aca="false">B182</f>
        <v>239.99</v>
      </c>
      <c r="C224" s="99"/>
      <c r="D224" s="109"/>
      <c r="E224" s="99" t="n">
        <f aca="false">E182</f>
        <v>30760.08647925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2539.52887327084</v>
      </c>
      <c r="B230" s="99" t="n">
        <f aca="false">B167</f>
        <v>35.75</v>
      </c>
      <c r="C230" s="183"/>
      <c r="D230" s="183"/>
      <c r="E230" s="99" t="n">
        <f aca="false">E167</f>
        <v>2575.27887327084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2585.27887327084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118.749983333333</v>
      </c>
      <c r="C240" s="130"/>
      <c r="D240" s="130"/>
      <c r="E240" s="99" t="n">
        <f aca="false">E188</f>
        <v>8.25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2101.99165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142.49998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182.491666666667</v>
      </c>
      <c r="C255" s="194"/>
      <c r="D255" s="195" t="s">
        <v>218</v>
      </c>
      <c r="E255" s="195"/>
      <c r="F255" s="196" t="n">
        <f aca="false">(B254-F254)+B255</f>
        <v>39.9916866666666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27934.8176059792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142.49998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82.5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39.9916866666666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true" showOutlineSymbols="true" defaultGridColor="true" view="normal" topLeftCell="A121" colorId="64" zoomScale="75" zoomScaleNormal="75" zoomScalePageLayoutView="100" workbookViewId="0">
      <selection pane="topLeft" activeCell="E122" activeCellId="0" sqref="E12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24458.33</v>
      </c>
      <c r="C2" s="4" t="s">
        <v>2</v>
      </c>
      <c r="D2" s="5" t="n">
        <f aca="false">C9</f>
        <v>4891.666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29349.996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24458.33</v>
      </c>
      <c r="C9" s="14" t="n">
        <f aca="false">B9*0.2</f>
        <v>4891.666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24458.33</v>
      </c>
      <c r="C15" s="14" t="n">
        <f aca="false">SUM(C9:C13)</f>
        <v>4891.666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29349.996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24458.33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19650.0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338.669919252835</v>
      </c>
      <c r="F33" s="228"/>
      <c r="G33" s="228"/>
      <c r="H33" s="47"/>
      <c r="I33" s="2"/>
      <c r="J33" s="34" t="s">
        <v>352</v>
      </c>
      <c r="K33" s="48" t="n">
        <f aca="false">E21</f>
        <v>24458.33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338.669919252835</v>
      </c>
      <c r="B36" s="228" t="n">
        <f aca="false">IF(B26="YES", K42, "0.00")</f>
        <v>0</v>
      </c>
      <c r="C36" s="228"/>
      <c r="D36" s="228"/>
      <c r="E36" s="228" t="n">
        <f aca="false">K31</f>
        <v>19650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24458.33</v>
      </c>
      <c r="L39" s="2" t="n">
        <f aca="false">(L47*K46)+K44</f>
        <v>39510.3720715134</v>
      </c>
      <c r="N39" s="1" t="n">
        <f aca="false">K39-L39</f>
        <v>-15052.0420715134</v>
      </c>
      <c r="P39" s="208"/>
    </row>
    <row r="40" customFormat="false" ht="17.35" hidden="false" customHeight="false" outlineLevel="0" collapsed="false">
      <c r="A40" s="103" t="n">
        <f aca="false">E36*A45/100</f>
        <v>19650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16375</v>
      </c>
      <c r="L40" s="2" t="n">
        <f aca="false">K39-L39</f>
        <v>-15052.0420715134</v>
      </c>
      <c r="N40" s="1" t="n">
        <f aca="false">N38-N39</f>
        <v>17963.7220715134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13408.380981515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11049.949018485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338.669919252835</v>
      </c>
      <c r="L47" s="2" t="n">
        <f aca="false">L49-K42</f>
        <v>800</v>
      </c>
      <c r="M47" s="1" t="n">
        <f aca="false">K47-L47</f>
        <v>-461.330080747165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338.669919252835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338.669919252835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7351.67236090576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262.5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338.669919252835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338.669919252835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338.669919252835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338.669919252835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31500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19650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19650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19650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14596.8838503821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13292.5932058847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13292.5932058847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30.2709495836952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16903.1161496179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558.393984400224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19543.7894540078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19543.7894540078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558.393984400224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558.393984400224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386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24458.33</v>
      </c>
      <c r="C121" s="117" t="n">
        <v>26250.0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153</v>
      </c>
      <c r="K122" s="119" t="n">
        <f aca="false">B4</f>
        <v>29349.996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153</v>
      </c>
      <c r="T122" s="119" t="n">
        <f aca="false">B4</f>
        <v>29349.996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153</v>
      </c>
      <c r="AC122" s="119" t="n">
        <f aca="false">B4</f>
        <v>29349.996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24458.33</v>
      </c>
      <c r="C125" s="129" t="n">
        <f aca="false">C121-C124</f>
        <v>26250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24458.33</v>
      </c>
      <c r="H135" s="150" t="n">
        <f aca="false">C125+E125+G125+H128</f>
        <v>26250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4891.666</v>
      </c>
      <c r="H137" s="33" t="n">
        <f aca="false">(H135+H136)*20%</f>
        <v>5250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29349.996</v>
      </c>
      <c r="H141" s="154" t="n">
        <f aca="false">(H135+H136+H139+H140+H137)-H138</f>
        <v>31500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29349.996</v>
      </c>
      <c r="H147" s="161" t="n">
        <f aca="false">H141-((H144*1.2)+(H145*1.2)+(H146*1.2)+(H142*1.2))</f>
        <v>31500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1791.67</v>
      </c>
      <c r="I148" s="1" t="n">
        <f aca="false">(H148-G81)/1.2</f>
        <v>1493.05833333333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31500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558.393984400224</v>
      </c>
      <c r="B167" s="174" t="n">
        <f aca="false">B94</f>
        <v>0</v>
      </c>
      <c r="C167" s="171"/>
      <c r="D167" s="171"/>
      <c r="E167" s="174" t="n">
        <f aca="false">B96</f>
        <v>558.393984400224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19650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19650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19650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19650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26250</v>
      </c>
      <c r="B173" s="99" t="n">
        <f aca="false">H137</f>
        <v>5250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31500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31500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-11397.8165615919</v>
      </c>
      <c r="B182" s="99" t="str">
        <f aca="false">B114</f>
        <v>199.99</v>
      </c>
      <c r="C182" s="99"/>
      <c r="D182" s="23"/>
      <c r="E182" s="99" t="n">
        <f aca="false">E179+A182+B182+A185</f>
        <v>20312.1734384081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E167+A185</f>
        <v>568.393984400224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19670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19660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19660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262.5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362.49</v>
      </c>
      <c r="C191" s="130"/>
      <c r="D191" s="130"/>
      <c r="E191" s="99" t="n">
        <f aca="false">H148</f>
        <v>1791.67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558.393984400224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558.393984400224</v>
      </c>
      <c r="B212" s="174" t="n">
        <f aca="false">B167</f>
        <v>0</v>
      </c>
      <c r="C212" s="171"/>
      <c r="D212" s="171"/>
      <c r="E212" s="174" t="n">
        <f aca="false">E167</f>
        <v>558.393984400224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26250</v>
      </c>
      <c r="B215" s="99" t="n">
        <f aca="false">B173</f>
        <v>5250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31500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31500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-11397.8165615919</v>
      </c>
      <c r="B224" s="99" t="str">
        <f aca="false">B182</f>
        <v>199.99</v>
      </c>
      <c r="C224" s="99"/>
      <c r="D224" s="109"/>
      <c r="E224" s="99" t="n">
        <f aca="false">E182</f>
        <v>20312.1734384081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558.393984400224</v>
      </c>
      <c r="B230" s="99" t="n">
        <f aca="false">B167</f>
        <v>0</v>
      </c>
      <c r="C230" s="183"/>
      <c r="D230" s="183"/>
      <c r="E230" s="99" t="n">
        <f aca="false">E167</f>
        <v>558.393984400224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19650</v>
      </c>
      <c r="B233" s="99" t="n">
        <f aca="false">E185</f>
        <v>568.393984400224</v>
      </c>
      <c r="C233" s="130"/>
      <c r="D233" s="130"/>
      <c r="E233" s="99" t="n">
        <f aca="false">A188</f>
        <v>7.481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1791.67</v>
      </c>
      <c r="B240" s="99" t="n">
        <f aca="false">B68</f>
        <v>262.5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2154.16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315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-215.01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19543.7894540078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315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-215.01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67" colorId="64" zoomScale="75" zoomScaleNormal="75" zoomScalePageLayoutView="100" workbookViewId="0">
      <selection pane="topLeft" activeCell="B76" activeCellId="0" sqref="B7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2618.35</v>
      </c>
      <c r="C64" s="211" t="n">
        <v>10000</v>
      </c>
      <c r="D64" s="290" t="n">
        <f aca="false">B64</f>
        <v>2618.35</v>
      </c>
      <c r="E64" s="212"/>
      <c r="F64" s="63"/>
      <c r="G64" s="284" t="s">
        <v>93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374.05</v>
      </c>
      <c r="C67" s="211"/>
      <c r="D67" s="290"/>
      <c r="E67" s="212"/>
      <c r="F67" s="63"/>
      <c r="G67" s="284" t="s">
        <v>96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280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3945.01666666667</v>
      </c>
      <c r="C81" s="211"/>
      <c r="D81" s="211"/>
      <c r="E81" s="212"/>
      <c r="F81" s="63"/>
      <c r="G81" s="302" t="s">
        <v>105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328.751388888889</v>
      </c>
      <c r="C82" s="211"/>
      <c r="D82" s="211"/>
      <c r="E82" s="212"/>
      <c r="F82" s="63"/>
      <c r="G82" s="210" t="s">
        <v>106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11948.42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84.3474586526826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8032.76745865268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669.397288221057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741.397288221057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 t="n">
        <v>0</v>
      </c>
      <c r="C108" s="213"/>
      <c r="D108" s="213" t="n">
        <v>0</v>
      </c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18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669.397288221057</v>
      </c>
      <c r="B128" s="320" t="n">
        <f aca="false">IF(A105="YES", B89, 0)</f>
        <v>72</v>
      </c>
      <c r="C128" s="325"/>
      <c r="D128" s="320" t="n">
        <f aca="false">B91</f>
        <v>741.397288221057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6024.57559398951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6672.57559398951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669.397288221057</v>
      </c>
      <c r="B137" s="38" t="n">
        <f aca="false">IF(A105="YES", B89, 0)</f>
        <v>72</v>
      </c>
      <c r="C137" s="316"/>
      <c r="D137" s="38" t="n">
        <f aca="false">B91</f>
        <v>741.397288221057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741.397288221057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669.397288221057</v>
      </c>
      <c r="B171" s="354" t="n">
        <f aca="false">IF(A105="YES", B89, 0)</f>
        <v>72</v>
      </c>
      <c r="C171" s="357"/>
      <c r="D171" s="354" t="n">
        <f aca="false">B91</f>
        <v>741.397288221057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6024.57559398951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6672.57559398951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669.397288221057</v>
      </c>
      <c r="B180" s="99" t="n">
        <f aca="false">IF(A105="YES", B89, 0)</f>
        <v>72</v>
      </c>
      <c r="C180" s="352"/>
      <c r="D180" s="99" t="n">
        <f aca="false">B91</f>
        <v>741.397288221057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2618.35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374.05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2704.29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2618.35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2704.29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84.3474586526826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276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2012.49972</v>
      </c>
      <c r="C64" s="211" t="n">
        <v>10000</v>
      </c>
      <c r="D64" s="290" t="n">
        <f aca="false">B64</f>
        <v>2012.49972</v>
      </c>
      <c r="E64" s="212"/>
      <c r="F64" s="63"/>
      <c r="G64" s="284" t="s">
        <v>93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374.05</v>
      </c>
      <c r="C67" s="211"/>
      <c r="D67" s="290"/>
      <c r="E67" s="212"/>
      <c r="F67" s="63"/>
      <c r="G67" s="284" t="s">
        <v>96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3339.16638666667</v>
      </c>
      <c r="C81" s="211"/>
      <c r="D81" s="211"/>
      <c r="E81" s="212"/>
      <c r="F81" s="63"/>
      <c r="G81" s="302" t="s">
        <v>105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278.263865555556</v>
      </c>
      <c r="C82" s="211"/>
      <c r="D82" s="211"/>
      <c r="E82" s="212"/>
      <c r="F82" s="63"/>
      <c r="G82" s="210" t="s">
        <v>106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9351.16638666667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79.2152053731343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5430.3815920398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452.53179933665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512.53179933665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 t="n">
        <v>0</v>
      </c>
      <c r="C108" s="213"/>
      <c r="D108" s="213" t="n">
        <v>0</v>
      </c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18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(E118+E117)-D115</f>
        <v>-2800.01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452.53179933665</v>
      </c>
      <c r="B128" s="320" t="n">
        <f aca="false">IF(A105="YES", B89, 0)</f>
        <v>60</v>
      </c>
      <c r="C128" s="325"/>
      <c r="D128" s="320" t="n">
        <f aca="false">B91</f>
        <v>512.53179933665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4072.78619402985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4612.78619402985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452.53179933665</v>
      </c>
      <c r="B137" s="38" t="n">
        <f aca="false">IF(A105="YES", B89, 0)</f>
        <v>60</v>
      </c>
      <c r="C137" s="316"/>
      <c r="D137" s="38" t="n">
        <f aca="false">B91</f>
        <v>512.53179933665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512.53179933665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452.53179933665</v>
      </c>
      <c r="B171" s="354" t="n">
        <f aca="false">IF(A105="YES", B89, 0)</f>
        <v>60</v>
      </c>
      <c r="C171" s="357"/>
      <c r="D171" s="354" t="n">
        <f aca="false">B91</f>
        <v>512.53179933665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4072.78619402985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4612.78619402985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452.53179933665</v>
      </c>
      <c r="B180" s="99" t="n">
        <f aca="false">IF(A105="YES", B89, 0)</f>
        <v>60</v>
      </c>
      <c r="C180" s="352"/>
      <c r="D180" s="99" t="n">
        <f aca="false">B91</f>
        <v>512.53179933665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2012.49972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374.05</v>
      </c>
      <c r="C205" s="319" t="s">
        <v>217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2098.43972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2012.49972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2098.43972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79.2152053731343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H33" activeCellId="0" sqref="H3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21166.67</v>
      </c>
      <c r="C2" s="4" t="s">
        <v>2</v>
      </c>
      <c r="D2" s="5" t="n">
        <f aca="false">C9</f>
        <v>4233.334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25400.004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21166.67</v>
      </c>
      <c r="C9" s="14" t="n">
        <f aca="false">B9*0.2</f>
        <v>4233.334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21166.67</v>
      </c>
      <c r="C15" s="14" t="n">
        <f aca="false">SUM(C9:C13)</f>
        <v>4233.334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25400.004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21166.67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665.530211777516</v>
      </c>
      <c r="E33" s="212"/>
      <c r="F33" s="63"/>
      <c r="G33" s="215" t="s">
        <v>352</v>
      </c>
      <c r="H33" s="459" t="n">
        <f aca="false">E21-E11</f>
        <v>21166.67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665.530211777516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21166.67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-23359.2395313712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370</v>
      </c>
      <c r="H45" s="234" t="n">
        <f aca="false">(H39-H44)</f>
        <v>21166.67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665.530211777516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665.530211777516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665.530211777516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25400.004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2629.9587475</v>
      </c>
      <c r="C64" s="464" t="n">
        <v>10000</v>
      </c>
      <c r="D64" s="290" t="n">
        <f aca="false">B64</f>
        <v>2629.9587475</v>
      </c>
      <c r="E64" s="465" t="n">
        <f aca="false">D64/(B58+B57)</f>
        <v>75.1416785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(B61*B66)</f>
        <v>732.495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281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36.2857142857143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3899.9587475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111.427392785714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665.530211777516</v>
      </c>
      <c r="C83" s="472"/>
      <c r="D83" s="211"/>
      <c r="E83" s="465" t="n">
        <f aca="false">B83+E80+E77+E64</f>
        <v>776.957604563231</v>
      </c>
      <c r="F83" s="63"/>
      <c r="G83" s="304" t="s">
        <v>107</v>
      </c>
      <c r="H83" s="305" t="n">
        <f aca="false">H47</f>
        <v>665.530211777516</v>
      </c>
      <c r="I83" s="211"/>
      <c r="J83" s="211"/>
      <c r="K83" s="212"/>
      <c r="L83" s="63"/>
      <c r="M83" s="304" t="s">
        <v>107</v>
      </c>
      <c r="N83" s="305" t="n">
        <f aca="false">H47</f>
        <v>665.530211777516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27193.5161597131</v>
      </c>
      <c r="C85" s="472"/>
      <c r="D85" s="472"/>
      <c r="E85" s="465" t="n">
        <f aca="false">B85/(B58+B57)</f>
        <v>776.957604563231</v>
      </c>
      <c r="F85" s="63"/>
      <c r="G85" s="287" t="s">
        <v>117</v>
      </c>
      <c r="H85" s="127" t="n">
        <f aca="false">((H83*H29)+H81)*1.2</f>
        <v>29209.2688946557</v>
      </c>
      <c r="I85" s="211"/>
      <c r="J85" s="211"/>
      <c r="K85" s="212"/>
      <c r="L85" s="63"/>
      <c r="M85" s="287" t="s">
        <v>117</v>
      </c>
      <c r="N85" s="127" t="n">
        <f aca="false">((N83*H29)+N81)</f>
        <v>24011.0574122131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230.360564483249</v>
      </c>
      <c r="C86" s="472" t="s">
        <v>230</v>
      </c>
      <c r="D86" s="211"/>
      <c r="E86" s="465" t="n">
        <f aca="false">B86/(B58+B57)</f>
        <v>6.58173041380712</v>
      </c>
      <c r="F86" s="63"/>
      <c r="G86" s="210" t="s">
        <v>118</v>
      </c>
      <c r="H86" s="299" t="n">
        <f aca="false">((((H83*H29)+H81))/(1-H70))*H70</f>
        <v>206.196936529437</v>
      </c>
      <c r="I86" s="211"/>
      <c r="J86" s="211"/>
      <c r="K86" s="212"/>
      <c r="L86" s="63"/>
      <c r="M86" s="210" t="s">
        <v>118</v>
      </c>
      <c r="N86" s="299" t="n">
        <f aca="false">(N85/(1-N70))*N70</f>
        <v>203.401454480224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27423.8767241963</v>
      </c>
      <c r="C87" s="472"/>
      <c r="D87" s="474"/>
      <c r="E87" s="465" t="n">
        <f aca="false">E86+E85</f>
        <v>783.539334977038</v>
      </c>
      <c r="F87" s="63"/>
      <c r="G87" s="284" t="s">
        <v>119</v>
      </c>
      <c r="H87" s="129" t="n">
        <f aca="false">IF(H110="YES",((H85+H86)-K114),(H85+H86))</f>
        <v>29415.4658311851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24214.4588666933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783.539334977038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735.386645779628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605.361471667332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783.539334977038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735.386645779628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605.361471667332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735.386645779628</v>
      </c>
      <c r="H127" s="174" t="n">
        <f aca="false">IF(G105="YES", H89*H57, 0)</f>
        <v>0</v>
      </c>
      <c r="I127" s="174"/>
      <c r="J127" s="333" t="n">
        <f aca="false">H91</f>
        <v>735.386645779628</v>
      </c>
      <c r="K127" s="212"/>
      <c r="L127" s="63"/>
      <c r="M127" s="332" t="n">
        <f aca="false">N90</f>
        <v>605.361471667332</v>
      </c>
      <c r="N127" s="174" t="n">
        <f aca="false">IF(M105="YES", N89*N57, 0)</f>
        <v>0</v>
      </c>
      <c r="O127" s="174"/>
      <c r="P127" s="174" t="n">
        <f aca="false">N91</f>
        <v>605.361471667332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783.539334977038</v>
      </c>
      <c r="B128" s="320" t="n">
        <f aca="false">IF(A105="YES", B89, 0)</f>
        <v>0</v>
      </c>
      <c r="C128" s="324"/>
      <c r="D128" s="320" t="n">
        <f aca="false">B91</f>
        <v>783.539334977038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783.539334977038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4412.31987467777</v>
      </c>
      <c r="H133" s="99" t="n">
        <f aca="false">IF(G105="YES", H89*H57, 0)</f>
        <v>0</v>
      </c>
      <c r="I133" s="217"/>
      <c r="J133" s="181" t="n">
        <f aca="false">H91*H57</f>
        <v>4412.31987467777</v>
      </c>
      <c r="K133" s="212"/>
      <c r="L133" s="63"/>
      <c r="M133" s="182" t="n">
        <f aca="false">N90*N57</f>
        <v>3632.16883000399</v>
      </c>
      <c r="N133" s="99" t="n">
        <f aca="false">IF(M105="YES", N89*N57, 0)</f>
        <v>0</v>
      </c>
      <c r="O133" s="217"/>
      <c r="P133" s="181" t="n">
        <f aca="false">N91*N57</f>
        <v>3632.16883000399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783.539334977038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783.539334977038</v>
      </c>
      <c r="B137" s="38" t="n">
        <f aca="false">IF(A105="YES", B89, 0)</f>
        <v>0</v>
      </c>
      <c r="C137" s="316"/>
      <c r="D137" s="38" t="n">
        <f aca="false">B91</f>
        <v>783.539334977038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832.485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735.386645779628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605.361471667332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783.539334977038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783.539334977038</v>
      </c>
      <c r="B177" s="354" t="n">
        <f aca="false">IF(A105="YES", B89, 0)</f>
        <v>0</v>
      </c>
      <c r="C177" s="356"/>
      <c r="D177" s="354" t="n">
        <f aca="false">B91</f>
        <v>783.539334977038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783.539334977038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783.539334977038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783.539334977038</v>
      </c>
      <c r="B186" s="99" t="n">
        <f aca="false">IF(A105="YES", B89, 0)</f>
        <v>0</v>
      </c>
      <c r="C186" s="352"/>
      <c r="D186" s="99" t="n">
        <f aca="false">B91</f>
        <v>783.539334977038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832.485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2629.9587475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732.495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1997.4537475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2629.9587475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0</v>
      </c>
      <c r="C223" s="335" t="s">
        <v>218</v>
      </c>
      <c r="D223" s="316"/>
      <c r="E223" s="33" t="n">
        <f aca="false">(B217-B211+D211)</f>
        <v>1997.4537475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230.360564483249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21" colorId="64" zoomScale="75" zoomScaleNormal="75" zoomScalePageLayoutView="100" workbookViewId="0">
      <selection pane="topLeft" activeCell="B90" activeCellId="0" sqref="B9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753.306610758122</v>
      </c>
      <c r="E33" s="212"/>
      <c r="F33" s="63"/>
      <c r="G33" s="215" t="s">
        <v>352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753.306610758122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-20567.5795313712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370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753.306610758122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753.306610758122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753.306610758122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2976.8225025</v>
      </c>
      <c r="C64" s="464" t="n">
        <v>10000</v>
      </c>
      <c r="D64" s="290" t="n">
        <f aca="false">B64</f>
        <v>2976.8225025</v>
      </c>
      <c r="E64" s="465" t="n">
        <f aca="false">D64/(B58+B57)</f>
        <v>85.0520715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732.495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281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12.6984126984127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472"/>
      <c r="D80" s="290" t="n">
        <f aca="false">B80</f>
        <v>200</v>
      </c>
      <c r="E80" s="465" t="n">
        <f aca="false">(D73+D76+D79+D80)/(B58+B57)</f>
        <v>36.2857142857143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4913.48916916667</v>
      </c>
      <c r="C81" s="472"/>
      <c r="D81" s="473"/>
      <c r="E81" s="465"/>
      <c r="F81" s="63"/>
      <c r="G81" s="302" t="s">
        <v>105</v>
      </c>
      <c r="H81" s="303" t="n">
        <f aca="false">SUM(J64:J80)</f>
        <v>1047.5</v>
      </c>
      <c r="I81" s="211"/>
      <c r="J81" s="211"/>
      <c r="K81" s="212"/>
      <c r="L81" s="63"/>
      <c r="M81" s="302" t="s">
        <v>105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140.385404833333</v>
      </c>
      <c r="C82" s="472"/>
      <c r="D82" s="211"/>
      <c r="E82" s="465"/>
      <c r="F82" s="63"/>
      <c r="G82" s="210" t="s">
        <v>106</v>
      </c>
      <c r="H82" s="299" t="n">
        <f aca="false">H81/H29</f>
        <v>29.9285714285714</v>
      </c>
      <c r="I82" s="211"/>
      <c r="J82" s="211"/>
      <c r="K82" s="212"/>
      <c r="L82" s="63"/>
      <c r="M82" s="210" t="s">
        <v>106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753.306610758122</v>
      </c>
      <c r="C83" s="472"/>
      <c r="D83" s="211"/>
      <c r="E83" s="465" t="n">
        <f aca="false">B83+E80+E77+E64</f>
        <v>887.342809242249</v>
      </c>
      <c r="F83" s="63"/>
      <c r="G83" s="304" t="s">
        <v>107</v>
      </c>
      <c r="H83" s="305" t="n">
        <f aca="false">H47</f>
        <v>753.306610758122</v>
      </c>
      <c r="I83" s="211"/>
      <c r="J83" s="211"/>
      <c r="K83" s="212"/>
      <c r="L83" s="63"/>
      <c r="M83" s="304" t="s">
        <v>107</v>
      </c>
      <c r="N83" s="305" t="n">
        <f aca="false">H47</f>
        <v>753.306610758122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37535.0646548411</v>
      </c>
      <c r="C85" s="472"/>
      <c r="D85" s="472"/>
      <c r="E85" s="465" t="n">
        <f aca="false">B85/(B58+B57)</f>
        <v>1072.43041870975</v>
      </c>
      <c r="F85" s="63"/>
      <c r="G85" s="287" t="s">
        <v>117</v>
      </c>
      <c r="H85" s="127" t="n">
        <f aca="false">((H83*H29)+H81)*1.2</f>
        <v>32895.8776518411</v>
      </c>
      <c r="I85" s="211"/>
      <c r="J85" s="211"/>
      <c r="K85" s="212"/>
      <c r="L85" s="63"/>
      <c r="M85" s="287" t="s">
        <v>117</v>
      </c>
      <c r="N85" s="127" t="n">
        <f aca="false">((N83*H29)+N81)</f>
        <v>27083.2313765343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264.971210754223</v>
      </c>
      <c r="C86" s="472" t="s">
        <v>230</v>
      </c>
      <c r="D86" s="211"/>
      <c r="E86" s="465" t="n">
        <f aca="false">B86/(B58+B57)</f>
        <v>7.57060602154924</v>
      </c>
      <c r="F86" s="63"/>
      <c r="G86" s="210" t="s">
        <v>118</v>
      </c>
      <c r="H86" s="299" t="n">
        <f aca="false">((((H83*H29)+H81))/(1-H70))*H70</f>
        <v>232.2218067395</v>
      </c>
      <c r="I86" s="211"/>
      <c r="J86" s="211"/>
      <c r="K86" s="212"/>
      <c r="L86" s="63"/>
      <c r="M86" s="210" t="s">
        <v>118</v>
      </c>
      <c r="N86" s="299" t="n">
        <f aca="false">(N85/(1-N70))*N70</f>
        <v>229.426324690286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37800.0358655954</v>
      </c>
      <c r="C87" s="472"/>
      <c r="D87" s="474"/>
      <c r="E87" s="465" t="n">
        <f aca="false">E86+E85</f>
        <v>1080.0010247313</v>
      </c>
      <c r="F87" s="63"/>
      <c r="G87" s="284" t="s">
        <v>119</v>
      </c>
      <c r="H87" s="129" t="n">
        <f aca="false">IF(H110="YES",((H85+H86)-K114),(H85+H86))</f>
        <v>33128.0994585806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27312.6577012246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(I32+(I32*B105))/(B57+B58))*(C45/100)*1.2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1080.0010247313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828.202486464516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682.816442530614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1080.0010247313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828.202486464516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682.816442530614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1287.988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828.202486464516</v>
      </c>
      <c r="H127" s="174" t="n">
        <f aca="false">IF(G105="YES", H89*H57, 0)</f>
        <v>0</v>
      </c>
      <c r="I127" s="174"/>
      <c r="J127" s="333" t="n">
        <f aca="false">H91</f>
        <v>828.202486464516</v>
      </c>
      <c r="K127" s="212"/>
      <c r="L127" s="63"/>
      <c r="M127" s="332" t="n">
        <f aca="false">N90</f>
        <v>682.816442530614</v>
      </c>
      <c r="N127" s="174" t="n">
        <f aca="false">IF(M105="YES", N89*N57, 0)</f>
        <v>0</v>
      </c>
      <c r="O127" s="174"/>
      <c r="P127" s="174" t="n">
        <f aca="false">N91</f>
        <v>682.816442530614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1080.0010247313</v>
      </c>
      <c r="B128" s="320" t="n">
        <f aca="false">IF(A105="YES", B89, 0)</f>
        <v>0</v>
      </c>
      <c r="C128" s="324"/>
      <c r="D128" s="320" t="n">
        <f aca="false">B91</f>
        <v>1080.0010247313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1080.0010247313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4969.2149187871</v>
      </c>
      <c r="H133" s="99" t="n">
        <f aca="false">IF(G105="YES", H89*H57, 0)</f>
        <v>0</v>
      </c>
      <c r="I133" s="217"/>
      <c r="J133" s="181" t="n">
        <f aca="false">H91*H57</f>
        <v>4969.2149187871</v>
      </c>
      <c r="K133" s="212"/>
      <c r="L133" s="63"/>
      <c r="M133" s="182" t="n">
        <f aca="false">N90*N57</f>
        <v>4096.89865518369</v>
      </c>
      <c r="N133" s="99" t="n">
        <f aca="false">IF(M105="YES", N89*N57, 0)</f>
        <v>0</v>
      </c>
      <c r="O133" s="217"/>
      <c r="P133" s="181" t="n">
        <f aca="false">N91*N57</f>
        <v>4096.89865518369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1080.0010247313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1080.0010247313</v>
      </c>
      <c r="B137" s="38" t="n">
        <f aca="false">IF(A105="YES", B89, 0)</f>
        <v>0</v>
      </c>
      <c r="C137" s="316"/>
      <c r="D137" s="38" t="n">
        <f aca="false">B91</f>
        <v>1080.0010247313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1272.485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828.202486464516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682.816442530614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1080.0010247313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1080.0010247313</v>
      </c>
      <c r="B177" s="354" t="n">
        <f aca="false">IF(A105="YES", B89, 0)</f>
        <v>0</v>
      </c>
      <c r="C177" s="356"/>
      <c r="D177" s="354" t="n">
        <f aca="false">B91</f>
        <v>1080.0010247313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1080.0010247313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1080.0010247313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1080.0010247313</v>
      </c>
      <c r="B186" s="99" t="n">
        <f aca="false">IF(A105="YES", B89, 0)</f>
        <v>0</v>
      </c>
      <c r="C186" s="352"/>
      <c r="D186" s="99" t="n">
        <f aca="false">B91</f>
        <v>1080.0010247313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1272.485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2976.8225025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732.495</v>
      </c>
      <c r="C211" s="319" t="s">
        <v>217</v>
      </c>
      <c r="D211" s="369" t="n">
        <f aca="false">B225+E221+B221+B223</f>
        <v>379.99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2624.3175025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2976.8225025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2624.3175025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264.971210754223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" colorId="64" zoomScale="75" zoomScaleNormal="75" zoomScalePageLayoutView="100" workbookViewId="0">
      <selection pane="topLeft" activeCell="H44" activeCellId="0" sqref="H44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146</v>
      </c>
      <c r="C2" s="481" t="s">
        <v>147</v>
      </c>
      <c r="D2" s="481" t="s">
        <v>148</v>
      </c>
      <c r="E2" s="482" t="s">
        <v>149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152</v>
      </c>
      <c r="B3" s="483" t="n">
        <v>46854.17</v>
      </c>
      <c r="C3" s="483" t="n">
        <v>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153</v>
      </c>
      <c r="B4" s="484" t="n">
        <v>0</v>
      </c>
      <c r="C4" s="484" t="n">
        <v>0</v>
      </c>
      <c r="D4" s="484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154</v>
      </c>
      <c r="B5" s="483" t="n">
        <v>0</v>
      </c>
      <c r="C5" s="483" t="n">
        <v>0</v>
      </c>
      <c r="D5" s="483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45034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65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72</v>
      </c>
      <c r="B44" s="100" t="s">
        <v>335</v>
      </c>
      <c r="C44" s="100"/>
      <c r="D44" s="100" t="s">
        <v>335</v>
      </c>
      <c r="E44" s="100"/>
      <c r="F44" s="387"/>
      <c r="G44" s="2" t="s">
        <v>67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277</v>
      </c>
      <c r="B68" s="399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278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93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93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93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94</v>
      </c>
      <c r="B71" s="399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95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96</v>
      </c>
      <c r="B73" s="65" t="n">
        <f aca="false">B67*B72</f>
        <v>578.85</v>
      </c>
      <c r="C73" s="316"/>
      <c r="D73" s="32"/>
      <c r="E73" s="317"/>
      <c r="F73" s="387"/>
      <c r="G73" s="365" t="s">
        <v>96</v>
      </c>
      <c r="H73" s="65" t="n">
        <f aca="false">H67*H72</f>
        <v>289.425</v>
      </c>
      <c r="I73" s="316"/>
      <c r="J73" s="32"/>
      <c r="K73" s="317"/>
      <c r="L73" s="387"/>
      <c r="M73" s="365" t="s">
        <v>96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165</v>
      </c>
      <c r="C80" s="316"/>
      <c r="D80" s="316"/>
      <c r="E80" s="403" t="n">
        <f aca="false">E79+D82</f>
        <v>703.333333333333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355</v>
      </c>
      <c r="C81" s="316"/>
      <c r="D81" s="316"/>
      <c r="E81" s="317" t="n">
        <f aca="false">E80/12</f>
        <v>58.6111111111111</v>
      </c>
      <c r="F81" s="387"/>
      <c r="G81" s="400" t="s">
        <v>280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281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5421.95</v>
      </c>
      <c r="C87" s="316"/>
      <c r="D87" s="316"/>
      <c r="E87" s="317"/>
      <c r="F87" s="387"/>
      <c r="G87" s="411" t="s">
        <v>105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105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451.829166666667</v>
      </c>
      <c r="C88" s="316"/>
      <c r="D88" s="316"/>
      <c r="E88" s="317"/>
      <c r="F88" s="387"/>
      <c r="G88" s="315" t="s">
        <v>106</v>
      </c>
      <c r="H88" s="33" t="n">
        <f aca="false">H87/H29</f>
        <v>600.461111111111</v>
      </c>
      <c r="I88" s="316"/>
      <c r="J88" s="316"/>
      <c r="K88" s="317"/>
      <c r="L88" s="387"/>
      <c r="M88" s="315" t="s">
        <v>106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-217.958333333333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((B89*H29)+B87)*1.2</f>
        <v>3367.74</v>
      </c>
      <c r="C91" s="316"/>
      <c r="D91" s="316"/>
      <c r="E91" s="317"/>
      <c r="F91" s="387"/>
      <c r="G91" s="395" t="s">
        <v>117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117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118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-608.486119402985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-50.7071766169154</v>
      </c>
      <c r="C96" s="316"/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27.2928233830846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287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291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18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-50.7071766169154</v>
      </c>
      <c r="B134" s="320" t="n">
        <f aca="false">IF(A111="YES", B95, 0)</f>
        <v>78</v>
      </c>
      <c r="C134" s="324"/>
      <c r="D134" s="320" t="n">
        <f aca="false">B97</f>
        <v>27.2928233830846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-456.364589552238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245.635410447762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-50.7071766169154</v>
      </c>
      <c r="B143" s="38" t="n">
        <f aca="false">IF(A111="YES", B95, 0)</f>
        <v>78</v>
      </c>
      <c r="C143" s="316"/>
      <c r="D143" s="38" t="n">
        <f aca="false">B97</f>
        <v>27.2928233830846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27.2928233830846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-50.7071766169154</v>
      </c>
      <c r="B177" s="354" t="n">
        <f aca="false">IF(A111="YES", B95, 0)</f>
        <v>78</v>
      </c>
      <c r="C177" s="356"/>
      <c r="D177" s="354" t="n">
        <f aca="false">A177+B177</f>
        <v>27.2928233830846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-456.364589552238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245.635410447762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-50.7071766169154</v>
      </c>
      <c r="B186" s="99" t="n">
        <f aca="false">IF(A111="YES", B95, 0)</f>
        <v>78</v>
      </c>
      <c r="C186" s="352"/>
      <c r="D186" s="99" t="n">
        <f aca="false">B97</f>
        <v>27.2928233830846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4051.95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3993.09166666667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3993.09166666667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23.7738805970149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2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146</v>
      </c>
      <c r="C2" s="481" t="s">
        <v>147</v>
      </c>
      <c r="D2" s="481" t="s">
        <v>148</v>
      </c>
      <c r="E2" s="482" t="s">
        <v>149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152</v>
      </c>
      <c r="B3" s="483" t="n">
        <v>46854.17</v>
      </c>
      <c r="C3" s="483" t="n">
        <v>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153</v>
      </c>
      <c r="B4" s="484" t="n">
        <v>0</v>
      </c>
      <c r="C4" s="484" t="n">
        <v>0</v>
      </c>
      <c r="D4" s="484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154</v>
      </c>
      <c r="B5" s="483" t="n">
        <v>0</v>
      </c>
      <c r="C5" s="483" t="n">
        <v>0</v>
      </c>
      <c r="D5" s="483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235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237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238</v>
      </c>
      <c r="B29" s="219" t="n">
        <v>12345</v>
      </c>
      <c r="C29" s="219"/>
      <c r="D29" s="389" t="n">
        <f aca="true">TODAY()+1</f>
        <v>45034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120</v>
      </c>
      <c r="B43" s="236" t="s">
        <v>69</v>
      </c>
      <c r="C43" s="226" t="s">
        <v>4</v>
      </c>
      <c r="D43" s="236" t="s">
        <v>209</v>
      </c>
      <c r="E43" s="239"/>
      <c r="F43" s="387"/>
      <c r="G43" s="2" t="s">
        <v>66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67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71</v>
      </c>
      <c r="H45" s="2" t="n">
        <f aca="false">(H39-H44)+H41</f>
        <v>-220.625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73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74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76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77</v>
      </c>
      <c r="H49" s="2" t="n">
        <f aca="false">H45+H48+H47</f>
        <v>-217.958333333333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-217.958333333333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87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87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87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88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88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88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277</v>
      </c>
      <c r="B68" s="399" t="n">
        <v>0.07</v>
      </c>
      <c r="C68" s="316"/>
      <c r="D68" s="316"/>
      <c r="E68" s="317"/>
      <c r="F68" s="387"/>
      <c r="G68" s="398" t="s">
        <v>277</v>
      </c>
      <c r="H68" s="399" t="n">
        <v>0.07</v>
      </c>
      <c r="I68" s="316"/>
      <c r="J68" s="316"/>
      <c r="K68" s="317"/>
      <c r="L68" s="387"/>
      <c r="M68" s="398" t="s">
        <v>277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278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278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278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93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93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93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94</v>
      </c>
      <c r="B71" s="399" t="n">
        <v>0.01</v>
      </c>
      <c r="C71" s="316"/>
      <c r="D71" s="316"/>
      <c r="E71" s="317"/>
      <c r="F71" s="387"/>
      <c r="G71" s="398" t="s">
        <v>94</v>
      </c>
      <c r="H71" s="399" t="n">
        <v>0.005</v>
      </c>
      <c r="I71" s="316"/>
      <c r="J71" s="316"/>
      <c r="K71" s="317"/>
      <c r="L71" s="387"/>
      <c r="M71" s="398" t="s">
        <v>94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95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95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95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96</v>
      </c>
      <c r="B73" s="65" t="n">
        <f aca="false">B67*B72</f>
        <v>578.85</v>
      </c>
      <c r="C73" s="316"/>
      <c r="D73" s="32"/>
      <c r="E73" s="317"/>
      <c r="F73" s="387"/>
      <c r="G73" s="365" t="s">
        <v>96</v>
      </c>
      <c r="H73" s="65" t="n">
        <f aca="false">H67*H72</f>
        <v>289.425</v>
      </c>
      <c r="I73" s="316"/>
      <c r="J73" s="32"/>
      <c r="K73" s="317"/>
      <c r="L73" s="387"/>
      <c r="M73" s="365" t="s">
        <v>96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97</v>
      </c>
      <c r="B74" s="399" t="n">
        <v>0.0075</v>
      </c>
      <c r="C74" s="316"/>
      <c r="D74" s="316"/>
      <c r="E74" s="317"/>
      <c r="F74" s="387"/>
      <c r="G74" s="398" t="s">
        <v>97</v>
      </c>
      <c r="H74" s="399" t="n">
        <v>0.0075</v>
      </c>
      <c r="I74" s="316"/>
      <c r="J74" s="316"/>
      <c r="K74" s="317"/>
      <c r="L74" s="387"/>
      <c r="M74" s="398" t="s">
        <v>97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98</v>
      </c>
      <c r="B75" s="401" t="n">
        <v>0.12</v>
      </c>
      <c r="C75" s="316"/>
      <c r="D75" s="316"/>
      <c r="E75" s="317"/>
      <c r="F75" s="387"/>
      <c r="G75" s="400" t="s">
        <v>98</v>
      </c>
      <c r="H75" s="401" t="n">
        <v>0.12</v>
      </c>
      <c r="I75" s="316"/>
      <c r="J75" s="316"/>
      <c r="K75" s="317"/>
      <c r="L75" s="387"/>
      <c r="M75" s="400" t="s">
        <v>98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99</v>
      </c>
      <c r="B76" s="402" t="n">
        <f aca="false">B74*(1+B75)</f>
        <v>0.0084</v>
      </c>
      <c r="C76" s="316"/>
      <c r="D76" s="316"/>
      <c r="E76" s="317"/>
      <c r="F76" s="387"/>
      <c r="G76" s="365" t="s">
        <v>99</v>
      </c>
      <c r="H76" s="402" t="n">
        <f aca="false">H74*(1+H75)</f>
        <v>0.0084</v>
      </c>
      <c r="I76" s="316"/>
      <c r="J76" s="316"/>
      <c r="K76" s="317"/>
      <c r="L76" s="387"/>
      <c r="M76" s="365" t="s">
        <v>99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100</v>
      </c>
      <c r="B77" s="86" t="n">
        <v>200</v>
      </c>
      <c r="C77" s="316"/>
      <c r="D77" s="316"/>
      <c r="E77" s="317"/>
      <c r="F77" s="387"/>
      <c r="G77" s="398" t="s">
        <v>100</v>
      </c>
      <c r="H77" s="86" t="n">
        <v>160</v>
      </c>
      <c r="I77" s="316"/>
      <c r="J77" s="316"/>
      <c r="K77" s="317"/>
      <c r="L77" s="387"/>
      <c r="M77" s="398" t="s">
        <v>100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101</v>
      </c>
      <c r="B78" s="77" t="n">
        <v>5</v>
      </c>
      <c r="C78" s="316"/>
      <c r="D78" s="316"/>
      <c r="E78" s="317"/>
      <c r="F78" s="387"/>
      <c r="G78" s="400" t="s">
        <v>101</v>
      </c>
      <c r="H78" s="77" t="n">
        <v>4.5</v>
      </c>
      <c r="I78" s="316"/>
      <c r="J78" s="316"/>
      <c r="K78" s="317"/>
      <c r="L78" s="387"/>
      <c r="M78" s="400" t="s">
        <v>101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102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102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102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279</v>
      </c>
      <c r="B80" s="86" t="n">
        <v>165</v>
      </c>
      <c r="C80" s="316"/>
      <c r="D80" s="316"/>
      <c r="E80" s="403" t="n">
        <f aca="false">E79+D82</f>
        <v>703.333333333333</v>
      </c>
      <c r="F80" s="387"/>
      <c r="G80" s="398" t="s">
        <v>279</v>
      </c>
      <c r="H80" s="86" t="n">
        <v>150</v>
      </c>
      <c r="I80" s="316"/>
      <c r="J80" s="316"/>
      <c r="K80" s="317"/>
      <c r="L80" s="387"/>
      <c r="M80" s="404" t="s">
        <v>279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280</v>
      </c>
      <c r="B81" s="77" t="n">
        <v>355</v>
      </c>
      <c r="C81" s="316"/>
      <c r="D81" s="316"/>
      <c r="E81" s="317" t="n">
        <f aca="false">E80/12</f>
        <v>58.6111111111111</v>
      </c>
      <c r="F81" s="387"/>
      <c r="G81" s="400" t="s">
        <v>280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280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281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281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281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282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282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282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283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283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103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103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103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104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104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104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105</v>
      </c>
      <c r="B87" s="412" t="n">
        <f aca="false">SUM(D70:D86)</f>
        <v>5421.95</v>
      </c>
      <c r="C87" s="316"/>
      <c r="D87" s="316"/>
      <c r="E87" s="317"/>
      <c r="F87" s="387"/>
      <c r="G87" s="411" t="s">
        <v>105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105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106</v>
      </c>
      <c r="B88" s="33" t="n">
        <f aca="false">B87/H29</f>
        <v>451.829166666667</v>
      </c>
      <c r="C88" s="316"/>
      <c r="D88" s="316"/>
      <c r="E88" s="317"/>
      <c r="F88" s="387"/>
      <c r="G88" s="315" t="s">
        <v>106</v>
      </c>
      <c r="H88" s="33" t="n">
        <f aca="false">H87/H29</f>
        <v>600.461111111111</v>
      </c>
      <c r="I88" s="316"/>
      <c r="J88" s="316"/>
      <c r="K88" s="317"/>
      <c r="L88" s="387"/>
      <c r="M88" s="315" t="s">
        <v>106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107</v>
      </c>
      <c r="B89" s="59" t="n">
        <f aca="false">H50</f>
        <v>-217.958333333333</v>
      </c>
      <c r="C89" s="316"/>
      <c r="D89" s="316"/>
      <c r="E89" s="317"/>
      <c r="F89" s="387"/>
      <c r="G89" s="413" t="s">
        <v>107</v>
      </c>
      <c r="H89" s="59" t="n">
        <f aca="false">H46</f>
        <v>0</v>
      </c>
      <c r="I89" s="316"/>
      <c r="J89" s="316"/>
      <c r="K89" s="317"/>
      <c r="L89" s="387"/>
      <c r="M89" s="413" t="s">
        <v>107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117</v>
      </c>
      <c r="B91" s="27" t="n">
        <f aca="false">((B89*H29)+B87)</f>
        <v>2806.45</v>
      </c>
      <c r="C91" s="316"/>
      <c r="D91" s="316"/>
      <c r="E91" s="317"/>
      <c r="F91" s="387"/>
      <c r="G91" s="395" t="s">
        <v>117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117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118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118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118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119</v>
      </c>
      <c r="B93" s="65" t="n">
        <f aca="false">IF(B116="YES",((B91+B92)-E120),(B91+B92))</f>
        <v>-1169.77611940298</v>
      </c>
      <c r="C93" s="316"/>
      <c r="D93" s="316"/>
      <c r="E93" s="317"/>
      <c r="F93" s="387"/>
      <c r="G93" s="365" t="s">
        <v>119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119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120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120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120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121</v>
      </c>
      <c r="B96" s="416" t="n">
        <f aca="false">IF(B105=Z104, (B93-D111)/(B64), B93/(B63+B64))</f>
        <v>-97.481343283582</v>
      </c>
      <c r="C96" s="316" t="s">
        <v>4</v>
      </c>
      <c r="D96" s="316"/>
      <c r="E96" s="317"/>
      <c r="F96" s="387"/>
      <c r="G96" s="415" t="s">
        <v>121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121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122</v>
      </c>
      <c r="B97" s="418" t="n">
        <f aca="false">IF(A111="YES", B96+B95, B96)</f>
        <v>-97.481343283582</v>
      </c>
      <c r="C97" s="316"/>
      <c r="D97" s="419"/>
      <c r="E97" s="317"/>
      <c r="F97" s="387"/>
      <c r="G97" s="417" t="s">
        <v>122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122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387"/>
      <c r="G100" s="209" t="s">
        <v>284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387"/>
      <c r="G102" s="213" t="s">
        <v>127</v>
      </c>
      <c r="H102" s="213"/>
      <c r="I102" s="213"/>
      <c r="J102" s="213"/>
      <c r="K102" s="213"/>
      <c r="L102" s="387"/>
      <c r="M102" s="213" t="s">
        <v>127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131</v>
      </c>
    </row>
    <row r="104" customFormat="false" ht="18.75" hidden="false" customHeight="true" outlineLevel="0" collapsed="false">
      <c r="A104" s="315" t="s">
        <v>128</v>
      </c>
      <c r="B104" s="316" t="s">
        <v>23</v>
      </c>
      <c r="C104" s="316"/>
      <c r="D104" s="316" t="s">
        <v>285</v>
      </c>
      <c r="E104" s="317"/>
      <c r="F104" s="387"/>
      <c r="G104" s="315" t="s">
        <v>128</v>
      </c>
      <c r="H104" s="316" t="s">
        <v>23</v>
      </c>
      <c r="I104" s="316"/>
      <c r="J104" s="316" t="s">
        <v>285</v>
      </c>
      <c r="K104" s="317"/>
      <c r="L104" s="387"/>
      <c r="M104" s="315" t="s">
        <v>128</v>
      </c>
      <c r="N104" s="316" t="s">
        <v>23</v>
      </c>
      <c r="O104" s="316"/>
      <c r="P104" s="316" t="s">
        <v>285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287</v>
      </c>
      <c r="C105" s="311"/>
      <c r="D105" s="420" t="n">
        <v>1000</v>
      </c>
      <c r="E105" s="420"/>
      <c r="F105" s="387"/>
      <c r="G105" s="373" t="s">
        <v>286</v>
      </c>
      <c r="H105" s="311" t="s">
        <v>266</v>
      </c>
      <c r="I105" s="311"/>
      <c r="J105" s="420" t="n">
        <v>5000</v>
      </c>
      <c r="K105" s="420"/>
      <c r="L105" s="387"/>
      <c r="M105" s="373" t="s">
        <v>286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7"/>
      <c r="G107" s="315" t="s">
        <v>288</v>
      </c>
      <c r="H107" s="316" t="s">
        <v>289</v>
      </c>
      <c r="I107" s="316"/>
      <c r="J107" s="316" t="s">
        <v>290</v>
      </c>
      <c r="K107" s="317"/>
      <c r="L107" s="387"/>
      <c r="M107" s="315" t="s">
        <v>288</v>
      </c>
      <c r="N107" s="316" t="s">
        <v>289</v>
      </c>
      <c r="O107" s="316"/>
      <c r="P107" s="316" t="s">
        <v>290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129</v>
      </c>
      <c r="B110" s="387" t="s">
        <v>132</v>
      </c>
      <c r="C110" s="316"/>
      <c r="D110" s="316" t="s">
        <v>143</v>
      </c>
      <c r="E110" s="317"/>
      <c r="F110" s="387"/>
      <c r="G110" s="373" t="s">
        <v>129</v>
      </c>
      <c r="H110" s="387" t="s">
        <v>132</v>
      </c>
      <c r="I110" s="316"/>
      <c r="J110" s="316" t="s">
        <v>143</v>
      </c>
      <c r="K110" s="317"/>
      <c r="L110" s="387"/>
      <c r="M110" s="373" t="s">
        <v>129</v>
      </c>
      <c r="N110" s="387" t="s">
        <v>132</v>
      </c>
      <c r="O110" s="316"/>
      <c r="P110" s="316" t="s">
        <v>143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291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387"/>
      <c r="G114" s="213" t="s">
        <v>292</v>
      </c>
      <c r="H114" s="213"/>
      <c r="I114" s="213"/>
      <c r="J114" s="213"/>
      <c r="K114" s="213"/>
      <c r="L114" s="387"/>
      <c r="M114" s="213" t="s">
        <v>292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293</v>
      </c>
      <c r="B116" s="388" t="s">
        <v>18</v>
      </c>
      <c r="C116" s="316"/>
      <c r="D116" s="316"/>
      <c r="E116" s="317"/>
      <c r="F116" s="387"/>
      <c r="G116" s="315" t="s">
        <v>293</v>
      </c>
      <c r="H116" s="388" t="s">
        <v>18</v>
      </c>
      <c r="I116" s="316"/>
      <c r="J116" s="316"/>
      <c r="K116" s="317"/>
      <c r="L116" s="387"/>
      <c r="M116" s="315" t="s">
        <v>293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177</v>
      </c>
      <c r="B118" s="316"/>
      <c r="C118" s="316"/>
      <c r="D118" s="312" t="n">
        <v>10000</v>
      </c>
      <c r="E118" s="103" t="n">
        <v>6000</v>
      </c>
      <c r="F118" s="387"/>
      <c r="G118" s="315" t="s">
        <v>177</v>
      </c>
      <c r="H118" s="316"/>
      <c r="I118" s="316"/>
      <c r="J118" s="312" t="n">
        <v>10000</v>
      </c>
      <c r="K118" s="103" t="n">
        <v>5000</v>
      </c>
      <c r="L118" s="387"/>
      <c r="M118" s="315" t="s">
        <v>177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178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178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178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179</v>
      </c>
      <c r="B120" s="316"/>
      <c r="C120" s="316"/>
      <c r="D120" s="39" t="n">
        <f aca="false">D118-D119</f>
        <v>8000</v>
      </c>
      <c r="E120" s="164" t="n">
        <f aca="false">E118-E119</f>
        <v>4000</v>
      </c>
      <c r="F120" s="387"/>
      <c r="G120" s="315" t="s">
        <v>179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179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180</v>
      </c>
      <c r="B121" s="316"/>
      <c r="C121" s="316"/>
      <c r="D121" s="39" t="n">
        <f aca="false">D120-E120</f>
        <v>4000</v>
      </c>
      <c r="E121" s="317"/>
      <c r="F121" s="387"/>
      <c r="G121" s="315" t="s">
        <v>180</v>
      </c>
      <c r="H121" s="316"/>
      <c r="I121" s="316"/>
      <c r="J121" s="39" t="n">
        <f aca="false">J120-K120</f>
        <v>5000</v>
      </c>
      <c r="K121" s="317"/>
      <c r="L121" s="387"/>
      <c r="M121" s="315" t="s">
        <v>180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139</v>
      </c>
      <c r="B123" s="396"/>
      <c r="C123" s="396"/>
      <c r="D123" s="396"/>
      <c r="E123" s="27" t="n">
        <f aca="false">D105</f>
        <v>1000</v>
      </c>
      <c r="F123" s="387"/>
      <c r="G123" s="395" t="s">
        <v>139</v>
      </c>
      <c r="H123" s="396"/>
      <c r="I123" s="396"/>
      <c r="J123" s="396"/>
      <c r="K123" s="27" t="n">
        <f aca="false">J105</f>
        <v>5000</v>
      </c>
      <c r="L123" s="387"/>
      <c r="M123" s="395" t="s">
        <v>139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294</v>
      </c>
      <c r="B125" s="366"/>
      <c r="C125" s="366"/>
      <c r="D125" s="366"/>
      <c r="E125" s="65" t="n">
        <f aca="false">(E124+E123)-E120</f>
        <v>-2800.01</v>
      </c>
      <c r="F125" s="387"/>
      <c r="G125" s="421" t="s">
        <v>294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294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387"/>
      <c r="G128" s="213" t="s">
        <v>295</v>
      </c>
      <c r="H128" s="213"/>
      <c r="I128" s="213"/>
      <c r="J128" s="213"/>
      <c r="K128" s="213"/>
      <c r="L128" s="387"/>
      <c r="M128" s="213" t="s">
        <v>295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387"/>
      <c r="G130" s="315" t="s">
        <v>184</v>
      </c>
      <c r="H130" s="169" t="n">
        <v>0</v>
      </c>
      <c r="I130" s="169"/>
      <c r="J130" s="316"/>
      <c r="K130" s="317"/>
      <c r="L130" s="387"/>
      <c r="M130" s="315" t="s">
        <v>184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85</v>
      </c>
      <c r="H132" s="316" t="s">
        <v>86</v>
      </c>
      <c r="I132" s="316"/>
      <c r="J132" s="316" t="s">
        <v>88</v>
      </c>
      <c r="K132" s="317"/>
      <c r="L132" s="387"/>
      <c r="M132" s="315" t="s">
        <v>85</v>
      </c>
      <c r="N132" s="316" t="s">
        <v>86</v>
      </c>
      <c r="O132" s="316"/>
      <c r="P132" s="316" t="s">
        <v>88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-97.481343283582</v>
      </c>
      <c r="B134" s="320" t="n">
        <f aca="false">IF(A111="YES", B95, 0)</f>
        <v>0</v>
      </c>
      <c r="C134" s="325"/>
      <c r="D134" s="320" t="n">
        <f aca="false">B97</f>
        <v>-97.481343283582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298</v>
      </c>
      <c r="H135" s="423" t="s">
        <v>299</v>
      </c>
      <c r="I135" s="423"/>
      <c r="J135" s="423" t="s">
        <v>300</v>
      </c>
      <c r="K135" s="317"/>
      <c r="L135" s="387"/>
      <c r="M135" s="422" t="s">
        <v>342</v>
      </c>
      <c r="N135" s="423" t="s">
        <v>249</v>
      </c>
      <c r="O135" s="423"/>
      <c r="P135" s="423" t="s">
        <v>122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-877.332089552238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303</v>
      </c>
      <c r="H138" s="316" t="s">
        <v>304</v>
      </c>
      <c r="I138" s="316"/>
      <c r="J138" s="316" t="s">
        <v>305</v>
      </c>
      <c r="K138" s="317"/>
      <c r="L138" s="387"/>
      <c r="M138" s="315" t="s">
        <v>343</v>
      </c>
      <c r="N138" s="316" t="s">
        <v>240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-877.332089552238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308</v>
      </c>
      <c r="H141" s="316" t="s">
        <v>309</v>
      </c>
      <c r="I141" s="316"/>
      <c r="J141" s="316" t="s">
        <v>310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-97.481343283582</v>
      </c>
      <c r="B143" s="38" t="n">
        <f aca="false">IF(A111="YES", B95, 0)</f>
        <v>0</v>
      </c>
      <c r="C143" s="316"/>
      <c r="D143" s="38" t="n">
        <f aca="false">B97</f>
        <v>-97.481343283582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311</v>
      </c>
      <c r="H144" s="316" t="s">
        <v>312</v>
      </c>
      <c r="I144" s="316"/>
      <c r="J144" s="316" t="s">
        <v>313</v>
      </c>
      <c r="K144" s="317"/>
      <c r="L144" s="387"/>
      <c r="M144" s="315" t="s">
        <v>142</v>
      </c>
      <c r="N144" s="316" t="s">
        <v>312</v>
      </c>
      <c r="O144" s="316"/>
      <c r="P144" s="316" t="s">
        <v>313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315</v>
      </c>
      <c r="H147" s="316" t="s">
        <v>316</v>
      </c>
      <c r="I147" s="316"/>
      <c r="J147" s="316" t="s">
        <v>317</v>
      </c>
      <c r="K147" s="317"/>
      <c r="L147" s="387"/>
      <c r="M147" s="315" t="s">
        <v>315</v>
      </c>
      <c r="N147" s="316" t="s">
        <v>316</v>
      </c>
      <c r="O147" s="316"/>
      <c r="P147" s="316" t="s">
        <v>317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319</v>
      </c>
      <c r="H150" s="316" t="s">
        <v>320</v>
      </c>
      <c r="I150" s="316"/>
      <c r="J150" s="316"/>
      <c r="K150" s="317"/>
      <c r="L150" s="387"/>
      <c r="M150" s="315" t="s">
        <v>319</v>
      </c>
      <c r="N150" s="316" t="s">
        <v>320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325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387"/>
      <c r="G156" s="246" t="s">
        <v>85</v>
      </c>
      <c r="H156" s="247" t="s">
        <v>86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325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85</v>
      </c>
      <c r="N159" s="247" t="s">
        <v>86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-97.481343283582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-97.481343283582</v>
      </c>
      <c r="B177" s="354" t="n">
        <f aca="false">IF(A111="YES", B95, 0)</f>
        <v>0</v>
      </c>
      <c r="C177" s="357"/>
      <c r="D177" s="354" t="n">
        <f aca="false">B91</f>
        <v>2806.45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-877.332089552238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-877.332089552238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-97.481343283582</v>
      </c>
      <c r="B186" s="99" t="n">
        <f aca="false">IF(A111="YES", B95, 0)</f>
        <v>0</v>
      </c>
      <c r="C186" s="352"/>
      <c r="D186" s="99" t="n">
        <f aca="false">B97</f>
        <v>-97.481343283582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D70</f>
        <v>4051.95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218</v>
      </c>
      <c r="B213" s="320" t="n">
        <f aca="false">E223</f>
        <v>3813.09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3813.09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23.7738805970149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45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379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1584.81640136705</v>
      </c>
      <c r="C105" s="32"/>
      <c r="D105" s="32"/>
      <c r="E105" s="23" t="s">
        <v>18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/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199.99</v>
      </c>
      <c r="C191" s="99"/>
      <c r="D191" s="23"/>
      <c r="E191" s="99" t="n">
        <f aca="false">E188+A191+B191+A194</f>
        <v>56924.1148437457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557.2165625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199.99</v>
      </c>
      <c r="C233" s="99"/>
      <c r="D233" s="109"/>
      <c r="E233" s="99" t="n">
        <f aca="false">E191</f>
        <v>56924.1148437457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557.2165625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-448.681875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0.05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0.115</v>
      </c>
      <c r="C269" s="43"/>
      <c r="D269" s="163" t="s">
        <v>215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-448.681875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45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379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1584.81640136705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239.99</v>
      </c>
      <c r="C191" s="99"/>
      <c r="D191" s="23"/>
      <c r="E191" s="99" t="n">
        <f aca="false">E188+A191+B191+A194</f>
        <v>56964.1148437457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13.8924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557.218229166667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239.99</v>
      </c>
      <c r="C233" s="99"/>
      <c r="D233" s="109"/>
      <c r="E233" s="99" t="n">
        <f aca="false">E191</f>
        <v>56964.1148437457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41.6772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13.8924</v>
      </c>
      <c r="B245" s="99" t="n">
        <f aca="false">E242+A245</f>
        <v>55.5696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557.218229166667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-448.680208333333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0.05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0.115</v>
      </c>
      <c r="C269" s="43"/>
      <c r="D269" s="163" t="s">
        <v>215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-448.680208333333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61" activeCellId="0" sqref="B6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23625.0</v>
      </c>
      <c r="C9" s="14" t="n">
        <f aca="false">B9*0.2</f>
        <v>4725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387</v>
      </c>
      <c r="C30" s="169"/>
      <c r="D30" s="211"/>
      <c r="E30" s="212"/>
      <c r="F30" s="63"/>
      <c r="G30" s="214" t="s">
        <v>32</v>
      </c>
      <c r="H30" s="456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19025.0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724.082692957549</v>
      </c>
      <c r="E33" s="212"/>
      <c r="F33" s="63"/>
      <c r="G33" s="215" t="s">
        <v>352</v>
      </c>
      <c r="H33" s="459" t="n">
        <f aca="false">E21-E11</f>
        <v>23625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724.082692957549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23625</v>
      </c>
      <c r="I39" s="234" t="n">
        <f aca="false">(I48*H46)+H44</f>
        <v>45678.4844074972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-22053.4844074972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30.0</v>
      </c>
      <c r="B45" s="211"/>
      <c r="C45" s="462" t="n">
        <v>30.0</v>
      </c>
      <c r="D45" s="462"/>
      <c r="E45" s="212"/>
      <c r="F45" s="63"/>
      <c r="G45" s="63" t="s">
        <v>370</v>
      </c>
      <c r="H45" s="234" t="n">
        <f aca="false">(H39-H44)</f>
        <v>23625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724.082692957549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724.082692957549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724.082692957549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372</v>
      </c>
      <c r="B60" s="211" t="n">
        <f aca="false">E19</f>
        <v>28350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B60*B63</f>
        <v>2976.75</v>
      </c>
      <c r="C64" s="464" t="n">
        <v>10000</v>
      </c>
      <c r="D64" s="290" t="n">
        <f aca="false">B64</f>
        <v>2976.75</v>
      </c>
      <c r="E64" s="465" t="n">
        <f aca="false">D64/(B58+B57)</f>
        <v>82.6875</v>
      </c>
      <c r="F64" s="63"/>
      <c r="G64" s="284" t="s">
        <v>93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93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0.02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748.1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0</v>
      </c>
      <c r="I67" s="211"/>
      <c r="J67" s="290"/>
      <c r="K67" s="212"/>
      <c r="L67" s="63"/>
      <c r="M67" s="284" t="s">
        <v>96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180</v>
      </c>
      <c r="C73" s="211"/>
      <c r="D73" s="471" t="n">
        <f aca="false">B73+B71</f>
        <v>380</v>
      </c>
      <c r="E73" s="212" t="s">
        <v>227</v>
      </c>
      <c r="F73" s="63"/>
      <c r="G73" s="284" t="s">
        <v>102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102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165.0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0.0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281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472"/>
      <c r="D80" s="290" t="n">
        <f aca="false">B80</f>
        <v>200</v>
      </c>
      <c r="E80" s="465" t="n">
        <f aca="false">(D73+D76+D79+D80)/(B58+B57)</f>
        <v>35.7986111111111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4265.5</v>
      </c>
      <c r="C81" s="472"/>
      <c r="D81" s="473"/>
      <c r="E81" s="465"/>
      <c r="F81" s="63"/>
      <c r="G81" s="302" t="s">
        <v>105</v>
      </c>
      <c r="H81" s="303" t="n">
        <f aca="false">SUM(J64:J80)</f>
        <v>1065.75</v>
      </c>
      <c r="I81" s="211"/>
      <c r="J81" s="211"/>
      <c r="K81" s="212"/>
      <c r="L81" s="63"/>
      <c r="M81" s="302" t="s">
        <v>105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118.486111111111</v>
      </c>
      <c r="C82" s="472"/>
      <c r="D82" s="211"/>
      <c r="E82" s="465"/>
      <c r="F82" s="63"/>
      <c r="G82" s="210" t="s">
        <v>106</v>
      </c>
      <c r="H82" s="299" t="n">
        <f aca="false">H81/H29</f>
        <v>29.6041666666667</v>
      </c>
      <c r="I82" s="211"/>
      <c r="J82" s="211"/>
      <c r="K82" s="212"/>
      <c r="L82" s="63"/>
      <c r="M82" s="210" t="s">
        <v>106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724.082692957549</v>
      </c>
      <c r="C83" s="472"/>
      <c r="D83" s="211"/>
      <c r="E83" s="465" t="n">
        <f aca="false">B83+E80+E77+E64</f>
        <v>842.56880406866</v>
      </c>
      <c r="F83" s="63"/>
      <c r="G83" s="304" t="s">
        <v>107</v>
      </c>
      <c r="H83" s="305" t="n">
        <f aca="false">H47</f>
        <v>724.082692957549</v>
      </c>
      <c r="I83" s="211"/>
      <c r="J83" s="211"/>
      <c r="K83" s="212"/>
      <c r="L83" s="63"/>
      <c r="M83" s="304" t="s">
        <v>107</v>
      </c>
      <c r="N83" s="305" t="n">
        <f aca="false">H47</f>
        <v>724.082692957549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30332.4769464718</v>
      </c>
      <c r="C85" s="472"/>
      <c r="D85" s="472"/>
      <c r="E85" s="465" t="n">
        <f aca="false">B85/(B58+B57)</f>
        <v>842.56880406866</v>
      </c>
      <c r="F85" s="63"/>
      <c r="G85" s="287" t="s">
        <v>117</v>
      </c>
      <c r="H85" s="127" t="n">
        <f aca="false">((H83*H29)+H81)*1.2</f>
        <v>32559.2723357661</v>
      </c>
      <c r="I85" s="211"/>
      <c r="J85" s="211"/>
      <c r="K85" s="212"/>
      <c r="L85" s="63"/>
      <c r="M85" s="287" t="s">
        <v>117</v>
      </c>
      <c r="N85" s="127" t="n">
        <f aca="false">((N83*H29)+N81)</f>
        <v>26788.9769464718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256.951196400124</v>
      </c>
      <c r="C86" s="472" t="s">
        <v>230</v>
      </c>
      <c r="D86" s="211"/>
      <c r="E86" s="465" t="n">
        <f aca="false">B86/(B58+B57)</f>
        <v>7.13753323333677</v>
      </c>
      <c r="F86" s="63"/>
      <c r="G86" s="210" t="s">
        <v>118</v>
      </c>
      <c r="H86" s="299" t="n">
        <f aca="false">((((H83*H29)+H81))/(1-H70))*H70</f>
        <v>229.84560946991</v>
      </c>
      <c r="I86" s="211"/>
      <c r="J86" s="211"/>
      <c r="K86" s="212"/>
      <c r="L86" s="63"/>
      <c r="M86" s="210" t="s">
        <v>118</v>
      </c>
      <c r="N86" s="299" t="n">
        <f aca="false">(N85/(1-N70))*N70</f>
        <v>226.933649001979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30589.4281428719</v>
      </c>
      <c r="C87" s="472"/>
      <c r="D87" s="474"/>
      <c r="E87" s="465" t="n">
        <f aca="false">E86+E85</f>
        <v>849.706337301997</v>
      </c>
      <c r="F87" s="63"/>
      <c r="G87" s="284" t="s">
        <v>119</v>
      </c>
      <c r="H87" s="129" t="n">
        <f aca="false">IF(H110="YES",((H85+H86)-K114),(H85+H86))</f>
        <v>32789.117945236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27015.9105954737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849.706337301997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799.734584030147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658.924648670091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849.706337301997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799.734584030147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658.924648670091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1000.0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396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799.734584030147</v>
      </c>
      <c r="H127" s="174" t="n">
        <f aca="false">IF(G105="YES", H89*H57, 0)</f>
        <v>0</v>
      </c>
      <c r="I127" s="174"/>
      <c r="J127" s="333" t="n">
        <f aca="false">H91</f>
        <v>799.734584030147</v>
      </c>
      <c r="K127" s="212"/>
      <c r="L127" s="63"/>
      <c r="M127" s="332" t="n">
        <f aca="false">N90</f>
        <v>658.924648670091</v>
      </c>
      <c r="N127" s="174" t="n">
        <f aca="false">IF(M105="YES", N89*N57, 0)</f>
        <v>0</v>
      </c>
      <c r="O127" s="174"/>
      <c r="P127" s="174" t="n">
        <f aca="false">N91</f>
        <v>658.924648670091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849.706337301997</v>
      </c>
      <c r="B128" s="320" t="n">
        <f aca="false">IF(A105="YES", B89, 0)</f>
        <v>0</v>
      </c>
      <c r="C128" s="324"/>
      <c r="D128" s="320" t="n">
        <f aca="false">B91</f>
        <v>849.706337301997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849.706337301997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4798.40750418088</v>
      </c>
      <c r="H133" s="99" t="n">
        <f aca="false">IF(G105="YES", H89*H57, 0)</f>
        <v>0</v>
      </c>
      <c r="I133" s="217"/>
      <c r="J133" s="181" t="n">
        <f aca="false">H91*H57</f>
        <v>4798.40750418088</v>
      </c>
      <c r="K133" s="212"/>
      <c r="L133" s="63"/>
      <c r="M133" s="182" t="n">
        <f aca="false">N90*N57</f>
        <v>3953.54789202055</v>
      </c>
      <c r="N133" s="99" t="n">
        <f aca="false">IF(M105="YES", N89*N57, 0)</f>
        <v>0</v>
      </c>
      <c r="O133" s="217"/>
      <c r="P133" s="181" t="n">
        <f aca="false">N91*N57</f>
        <v>3953.54789202055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849.706337301997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849.706337301997</v>
      </c>
      <c r="B137" s="38" t="n">
        <f aca="false">IF(A105="YES", B89, 0)</f>
        <v>0</v>
      </c>
      <c r="C137" s="316"/>
      <c r="D137" s="38" t="n">
        <f aca="false">B91</f>
        <v>849.706337301997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848.09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799.734584030147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658.924648670091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849.706337301997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849.706337301997</v>
      </c>
      <c r="B177" s="354" t="n">
        <f aca="false">IF(A105="YES", B89, 0)</f>
        <v>0</v>
      </c>
      <c r="C177" s="356"/>
      <c r="D177" s="354" t="n">
        <f aca="false">B91</f>
        <v>849.706337301997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849.706337301997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849.706337301997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849.706337301997</v>
      </c>
      <c r="B186" s="99" t="n">
        <f aca="false">IF(A105="YES", B89, 0)</f>
        <v>0</v>
      </c>
      <c r="C186" s="352"/>
      <c r="D186" s="99" t="n">
        <f aca="false">B91</f>
        <v>849.706337301997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848.09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2976.75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748.1</v>
      </c>
      <c r="C211" s="319" t="s">
        <v>217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2328.64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2976.75</v>
      </c>
      <c r="C217" s="374" t="s">
        <v>221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748.1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0</v>
      </c>
      <c r="C223" s="335" t="s">
        <v>218</v>
      </c>
      <c r="D223" s="316"/>
      <c r="E223" s="33" t="n">
        <f aca="false">(B217-B211+D211)</f>
        <v>2328.64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256.951196400124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242</v>
      </c>
      <c r="H32" s="221" t="n">
        <f aca="false">A41</f>
        <v>14.2424242424242</v>
      </c>
      <c r="I32" s="0"/>
      <c r="J32" s="44" t="s">
        <v>37</v>
      </c>
      <c r="K32" s="45" t="s">
        <v>381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379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22.9125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1607.72890136705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22.9125</v>
      </c>
      <c r="C167" s="171"/>
      <c r="D167" s="171"/>
      <c r="E167" s="174" t="n">
        <f aca="false">B96</f>
        <v>1607.72890136705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571.318229166667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1607.72890136705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22.9125</v>
      </c>
      <c r="C212" s="171"/>
      <c r="D212" s="171"/>
      <c r="E212" s="174" t="n">
        <f aca="false">E167</f>
        <v>1607.72890136705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22.9125</v>
      </c>
      <c r="C230" s="183"/>
      <c r="D230" s="183"/>
      <c r="E230" s="99" t="n">
        <f aca="false">E167</f>
        <v>1607.72890136705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571.318229166667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240.991666666667</v>
      </c>
      <c r="C255" s="194"/>
      <c r="D255" s="195" t="s">
        <v>218</v>
      </c>
      <c r="E255" s="195"/>
      <c r="F255" s="196" t="n">
        <f aca="false">(B254-F254)+B255</f>
        <v>-307.680208333333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-307.680208333333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242</v>
      </c>
      <c r="H32" s="221" t="n">
        <f aca="false">A41</f>
        <v>14.2424242424242</v>
      </c>
      <c r="I32" s="0"/>
      <c r="J32" s="44" t="s">
        <v>37</v>
      </c>
      <c r="K32" s="45" t="s">
        <v>381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379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19.09375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1603.91015136705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264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151</v>
      </c>
      <c r="D120" s="112" t="s">
        <v>150</v>
      </c>
      <c r="E120" s="114" t="n">
        <v>0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19.09375</v>
      </c>
      <c r="C167" s="171"/>
      <c r="D167" s="171"/>
      <c r="E167" s="174" t="n">
        <f aca="false">B96</f>
        <v>1603.91015136705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E179+A182+B182+A185</f>
        <v>56924.1148437457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571.3165625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1603.91015136705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19.09375</v>
      </c>
      <c r="C212" s="171"/>
      <c r="D212" s="171"/>
      <c r="E212" s="174" t="n">
        <f aca="false">E167</f>
        <v>1603.91015136705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56924.1148437457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19.09375</v>
      </c>
      <c r="C230" s="183"/>
      <c r="D230" s="183"/>
      <c r="E230" s="99" t="n">
        <f aca="false">E167</f>
        <v>1603.91015136705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571.3165625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</v>
      </c>
      <c r="C255" s="194"/>
      <c r="D255" s="195" t="s">
        <v>218</v>
      </c>
      <c r="E255" s="195"/>
      <c r="F255" s="196" t="n">
        <f aca="false">(B254-F254)+B255</f>
        <v>-307.681875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-307.681875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242</v>
      </c>
      <c r="H32" s="221" t="n">
        <f aca="false">A41</f>
        <v>14.2424242424242</v>
      </c>
      <c r="I32" s="0"/>
      <c r="J32" s="44" t="s">
        <v>37</v>
      </c>
      <c r="K32" s="45" t="s">
        <v>381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379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51961.7272372354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0.137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4125.32107917265</v>
      </c>
      <c r="C86" s="130" t="n">
        <f aca="false">(B82/((1+B84)^(B85+1)))</f>
        <v>4125.32107917265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43752.1789208274</v>
      </c>
      <c r="C88" s="130" t="n">
        <f aca="false">B81-B86</f>
        <v>43752.1789208274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1639.88541555755</v>
      </c>
      <c r="C89" s="130" t="n">
        <f aca="false">(B88/B87)</f>
        <v>1639.88541555755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52476.3332978415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52476.3332978415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21.15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1639.88541555755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1661.03541555755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271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/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1639.88541555755</v>
      </c>
      <c r="B167" s="174" t="n">
        <f aca="false">B94</f>
        <v>21.15</v>
      </c>
      <c r="C167" s="171"/>
      <c r="D167" s="171"/>
      <c r="E167" s="174" t="n">
        <f aca="false">B96</f>
        <v>1661.03541555755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-48.666702158509</v>
      </c>
      <c r="B182" s="99" t="str">
        <f aca="false">B114</f>
        <v>239.99</v>
      </c>
      <c r="C182" s="99"/>
      <c r="D182" s="23"/>
      <c r="E182" s="99" t="n">
        <f aca="false">E179+A182+B182+A185</f>
        <v>58726.3232978415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9.4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566.618229166667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1661.03541555755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1639.88541555755</v>
      </c>
      <c r="B212" s="174" t="n">
        <f aca="false">B167</f>
        <v>21.15</v>
      </c>
      <c r="C212" s="171"/>
      <c r="D212" s="171"/>
      <c r="E212" s="174" t="n">
        <f aca="false">E167</f>
        <v>1661.03541555755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-48.666702158509</v>
      </c>
      <c r="B224" s="99" t="str">
        <f aca="false">B182</f>
        <v>239.99</v>
      </c>
      <c r="C224" s="99"/>
      <c r="D224" s="109"/>
      <c r="E224" s="99" t="n">
        <f aca="false">E182</f>
        <v>58726.3232978415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1639.88541555755</v>
      </c>
      <c r="B230" s="99" t="n">
        <f aca="false">B167</f>
        <v>21.15</v>
      </c>
      <c r="C230" s="183"/>
      <c r="D230" s="183"/>
      <c r="E230" s="99" t="n">
        <f aca="false">E167</f>
        <v>1661.03541555755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E188</f>
        <v>9.4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566.618229166667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193.991666666667</v>
      </c>
      <c r="C255" s="194"/>
      <c r="D255" s="195" t="s">
        <v>218</v>
      </c>
      <c r="E255" s="195"/>
      <c r="F255" s="196" t="n">
        <f aca="false">(B254-F254)+B255</f>
        <v>-354.680208333333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0.137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94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-354.680208333333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242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382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448.218055555556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623.925698086146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630.789698086146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623.925698086146</v>
      </c>
      <c r="B134" s="320" t="n">
        <f aca="false">IF(A111="YES", B95, 0)</f>
        <v>6.864</v>
      </c>
      <c r="C134" s="325"/>
      <c r="D134" s="320" t="n">
        <f aca="false">B97</f>
        <v>630.789698086146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5615.33128277531</v>
      </c>
      <c r="C137" s="316"/>
      <c r="D137" s="38" t="n">
        <f aca="false">IF(A111="YES", B95*B63, 0)</f>
        <v>61.776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5677.10728277531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6.864</v>
      </c>
      <c r="C143" s="316"/>
      <c r="D143" s="38" t="n">
        <f aca="false">B97</f>
        <v>630.789698086146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1080.7408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630.789698086146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623.925698086146</v>
      </c>
      <c r="B177" s="354" t="n">
        <f aca="false">IF(A111="YES", B95, 0)</f>
        <v>6.864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5615.33128277531</v>
      </c>
      <c r="C180" s="352"/>
      <c r="D180" s="99" t="n">
        <f aca="false">IF(A111="YES", B95*B63, 0)</f>
        <v>61.776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5677.10728277531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6.864</v>
      </c>
      <c r="C186" s="352"/>
      <c r="D186" s="99" t="n">
        <f aca="false">B97</f>
        <v>630.789698086146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1080.7408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358.998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3832.098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3832.098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5421.95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451.829166666667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13720.74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9817.5987938685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818.133232822375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818.133232822375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818.133232822375</v>
      </c>
      <c r="B134" s="320" t="n">
        <f aca="false">IF(A111="YES", B95, 0)</f>
        <v>0</v>
      </c>
      <c r="C134" s="325"/>
      <c r="D134" s="320" t="n">
        <f aca="false">B97</f>
        <v>818.133232822375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7363.19909540137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7363.19909540137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818.133232822375</v>
      </c>
      <c r="B143" s="38" t="n">
        <f aca="false">IF(A111="YES", B95, 0)</f>
        <v>0</v>
      </c>
      <c r="C143" s="316"/>
      <c r="D143" s="38" t="n">
        <f aca="false">B97</f>
        <v>818.133232822375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818.133232822375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818.133232822375</v>
      </c>
      <c r="B177" s="354" t="n">
        <f aca="false">IF(A111="YES", B95, 0)</f>
        <v>0</v>
      </c>
      <c r="C177" s="357"/>
      <c r="D177" s="354" t="n">
        <f aca="false">B91</f>
        <v>13720.74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7363.19909540137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7363.19909540137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818.133232822375</v>
      </c>
      <c r="B186" s="99" t="n">
        <f aca="false">IF(A111="YES", B95, 0)</f>
        <v>0</v>
      </c>
      <c r="C186" s="352"/>
      <c r="D186" s="99" t="n">
        <f aca="false">B97</f>
        <v>818.133232822375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1078.84166666667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3813.09166666667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23125</v>
      </c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0</v>
      </c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5421.95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451.829166666667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11433.95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7530.8087938685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627.567399489041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627.567399489041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627.567399489041</v>
      </c>
      <c r="B134" s="320" t="n">
        <f aca="false">IF(A111="YES", B95, 0)</f>
        <v>0</v>
      </c>
      <c r="C134" s="325"/>
      <c r="D134" s="320" t="n">
        <f aca="false">B97</f>
        <v>627.567399489041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5648.10659540137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5648.10659540137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627.567399489041</v>
      </c>
      <c r="B143" s="38" t="n">
        <f aca="false">IF(A111="YES", B95, 0)</f>
        <v>0</v>
      </c>
      <c r="C143" s="316"/>
      <c r="D143" s="38" t="n">
        <f aca="false">B97</f>
        <v>627.567399489041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627.567399489041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627.567399489041</v>
      </c>
      <c r="B177" s="354" t="n">
        <f aca="false">IF(A111="YES", B95, 0)</f>
        <v>0</v>
      </c>
      <c r="C177" s="357"/>
      <c r="D177" s="354" t="n">
        <f aca="false">B91</f>
        <v>11433.95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5648.10659540137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5648.10659540137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627.567399489041</v>
      </c>
      <c r="B186" s="99" t="n">
        <f aca="false">IF(A111="YES", B95, 0)</f>
        <v>0</v>
      </c>
      <c r="C186" s="352"/>
      <c r="D186" s="99" t="n">
        <f aca="false">B97</f>
        <v>627.567399489041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3813.09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3813.09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242</v>
      </c>
      <c r="H32" s="221" t="n">
        <f aca="false">A41</f>
        <v>14.2424242424242</v>
      </c>
      <c r="I32" s="0"/>
      <c r="J32" s="44" t="s">
        <v>37</v>
      </c>
      <c r="K32" s="262" t="s">
        <v>381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379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19.09375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1603.91015136705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264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n">
        <f aca="false">B94</f>
        <v>19.09375</v>
      </c>
      <c r="C167" s="171"/>
      <c r="D167" s="171"/>
      <c r="E167" s="174" t="n">
        <f aca="false">B96</f>
        <v>1603.91015136705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E179+A182+B182+A185</f>
        <v>56924.1148437457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571.3165625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1603.91015136705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19.09375</v>
      </c>
      <c r="C212" s="171"/>
      <c r="D212" s="171"/>
      <c r="E212" s="174" t="n">
        <f aca="false">E167</f>
        <v>1603.91015136705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56924.1148437457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19.09375</v>
      </c>
      <c r="C230" s="183"/>
      <c r="D230" s="183"/>
      <c r="E230" s="99" t="n">
        <f aca="false">E167</f>
        <v>1603.91015136705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571.3165625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</v>
      </c>
      <c r="C255" s="194"/>
      <c r="D255" s="195" t="s">
        <v>218</v>
      </c>
      <c r="E255" s="195"/>
      <c r="F255" s="196" t="n">
        <f aca="false">(B254-F254)+B255</f>
        <v>-307.681875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-307.681875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2" colorId="64" zoomScale="75" zoomScaleNormal="75" zoomScalePageLayoutView="100" workbookViewId="0">
      <selection pane="topLeft" activeCell="B155" activeCellId="0" sqref="B15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242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383</v>
      </c>
      <c r="B41" s="237" t="n">
        <f aca="false">IF(B38="YES", D38+A41, D38)</f>
        <v>560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384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279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280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448.218055555556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623.925698086146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701.925698086146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30</v>
      </c>
      <c r="C111" s="313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623.925698086146</v>
      </c>
      <c r="B134" s="320" t="n">
        <f aca="false">IF(A111="YES", B95, 0)</f>
        <v>78</v>
      </c>
      <c r="C134" s="325"/>
      <c r="D134" s="320" t="n">
        <f aca="false">B97</f>
        <v>701.925698086146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5615.33128277531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6317.33128277531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78</v>
      </c>
      <c r="C143" s="316"/>
      <c r="D143" s="38" t="n">
        <f aca="false">B97</f>
        <v>701.925698086146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701.925698086146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623.925698086146</v>
      </c>
      <c r="B177" s="354" t="n">
        <f aca="false">IF(A111="YES", B95, 0)</f>
        <v>78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5615.33128277531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6317.33128277531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78</v>
      </c>
      <c r="C186" s="352"/>
      <c r="D186" s="99" t="n">
        <f aca="false">B97</f>
        <v>701.925698086146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1100.44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4029.09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48" colorId="64" zoomScale="75" zoomScaleNormal="7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5421.95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451.829166666667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((B89*H29)+B87)*1.2</f>
        <v>13720.74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9817.5987938685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818.133232822375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896.133232822375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818.133232822375</v>
      </c>
      <c r="B134" s="320" t="n">
        <f aca="false">IF(A111="YES", B95, 0)</f>
        <v>78</v>
      </c>
      <c r="C134" s="325"/>
      <c r="D134" s="320" t="n">
        <f aca="false">B97</f>
        <v>896.133232822375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7363.19909540137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8065.19909540137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818.133232822375</v>
      </c>
      <c r="B143" s="38" t="n">
        <f aca="false">IF(A111="YES", B95, 0)</f>
        <v>78</v>
      </c>
      <c r="C143" s="316"/>
      <c r="D143" s="38" t="n">
        <f aca="false">B97</f>
        <v>896.133232822375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896.133232822375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818.133232822375</v>
      </c>
      <c r="B177" s="354" t="n">
        <f aca="false">IF(A111="YES", B95, 0)</f>
        <v>78</v>
      </c>
      <c r="C177" s="357"/>
      <c r="D177" s="354" t="n">
        <f aca="false">B97</f>
        <v>896.133232822375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7363.19909540137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8065.19909540137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818.133232822375</v>
      </c>
      <c r="B186" s="99" t="n">
        <f aca="false">IF(A111="YES", B95, 0)</f>
        <v>78</v>
      </c>
      <c r="C186" s="352"/>
      <c r="D186" s="99" t="n">
        <f aca="false">B97</f>
        <v>896.133232822375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3993.09166666667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3993.09166666667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3" colorId="64" zoomScale="75" zoomScaleNormal="75" zoomScalePageLayoutView="100" workbookViewId="0">
      <selection pane="topLeft" activeCell="B198" activeCellId="0" sqref="B19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5421.95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451.829166666667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11433.95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7530.8087938685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IF(B105=Z104, (B93-D111)/(B64), B93/(B63+B64))</f>
        <v>627.567399489041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692.567399489041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287</v>
      </c>
      <c r="C105" s="311"/>
      <c r="D105" s="420" t="n">
        <v>1000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291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18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10000</v>
      </c>
      <c r="E118" s="103" t="n">
        <v>6000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1000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-2800.01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128</v>
      </c>
      <c r="B130" s="319" t="n">
        <v>0</v>
      </c>
      <c r="C130" s="320"/>
      <c r="D130" s="319" t="s">
        <v>86</v>
      </c>
      <c r="E130" s="321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121</v>
      </c>
      <c r="B133" s="319" t="s">
        <v>296</v>
      </c>
      <c r="C133" s="320"/>
      <c r="D133" s="319" t="s">
        <v>297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627.567399489041</v>
      </c>
      <c r="B134" s="320" t="n">
        <f aca="false">IF(A111="YES", B95, 0)</f>
        <v>65</v>
      </c>
      <c r="C134" s="325"/>
      <c r="D134" s="320" t="n">
        <f aca="false">B97</f>
        <v>692.567399489041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301</v>
      </c>
      <c r="C136" s="331"/>
      <c r="D136" s="330" t="s">
        <v>302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5648.10659540137</v>
      </c>
      <c r="C137" s="316"/>
      <c r="D137" s="38" t="n">
        <f aca="false">IF(A111="YES", B95*B63, 0)</f>
        <v>585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306</v>
      </c>
      <c r="B139" s="39" t="s">
        <v>307</v>
      </c>
      <c r="C139" s="335"/>
      <c r="D139" s="243" t="s">
        <v>206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6233.10659540137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38" t="s">
        <v>296</v>
      </c>
      <c r="C142" s="316"/>
      <c r="D142" s="316" t="s">
        <v>297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627.567399489041</v>
      </c>
      <c r="B143" s="38" t="n">
        <f aca="false">IF(A111="YES", B95, 0)</f>
        <v>65</v>
      </c>
      <c r="C143" s="316"/>
      <c r="D143" s="38" t="n">
        <f aca="false">B97</f>
        <v>692.567399489041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69</v>
      </c>
      <c r="B145" s="340" t="s">
        <v>314</v>
      </c>
      <c r="C145" s="38"/>
      <c r="D145" s="340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318</v>
      </c>
      <c r="B148" s="340" t="s">
        <v>53</v>
      </c>
      <c r="C148" s="38"/>
      <c r="D148" s="340" t="s">
        <v>282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321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322</v>
      </c>
      <c r="B153" s="316" t="s">
        <v>323</v>
      </c>
      <c r="C153" s="316"/>
      <c r="D153" s="316" t="s">
        <v>324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326</v>
      </c>
      <c r="B156" s="316" t="s">
        <v>320</v>
      </c>
      <c r="C156" s="316"/>
      <c r="D156" s="316" t="s">
        <v>317</v>
      </c>
      <c r="E156" s="317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327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325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692.567399489041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627.567399489041</v>
      </c>
      <c r="B177" s="354" t="n">
        <f aca="false">IF(A111="YES", B95, 0)</f>
        <v>65</v>
      </c>
      <c r="C177" s="357"/>
      <c r="D177" s="354" t="n">
        <f aca="false">B91</f>
        <v>11433.95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5648.10659540137</v>
      </c>
      <c r="C180" s="352"/>
      <c r="D180" s="99" t="n">
        <f aca="false">IF(A111="YES", B95*B63, 0)</f>
        <v>585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6233.10659540137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627.567399489041</v>
      </c>
      <c r="B186" s="99" t="n">
        <f aca="false">IF(A111="YES", B95, 0)</f>
        <v>65</v>
      </c>
      <c r="C186" s="352"/>
      <c r="D186" s="99" t="n">
        <f aca="false">B97</f>
        <v>692.567399489041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1096.84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</v>
      </c>
      <c r="C209" s="320" t="s">
        <v>215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578.85</v>
      </c>
      <c r="C211" s="319" t="s">
        <v>217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3993.09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D70</f>
        <v>4051.95</v>
      </c>
      <c r="C217" s="374" t="s">
        <v>221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B84-(B84*(E219*100))</f>
        <v>200</v>
      </c>
      <c r="C223" s="335" t="s">
        <v>218</v>
      </c>
      <c r="D223" s="316"/>
      <c r="E223" s="33" t="n">
        <f aca="false">(B217-B211+D211)</f>
        <v>3993.09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B77</f>
        <v>200</v>
      </c>
      <c r="C229" s="335" t="s">
        <v>226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B74</f>
        <v>0.0075</v>
      </c>
      <c r="C231" s="335" t="s">
        <v>229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B85</f>
        <v>200</v>
      </c>
      <c r="C233" s="381" t="s">
        <v>332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85" t="s">
        <v>333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4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 t="n">
        <v>0</v>
      </c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386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184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9600.0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2344.6499999999996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1396.7304053987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1329.7404053987</v>
      </c>
      <c r="B36" s="228" t="n">
        <f aca="false">IF(B26="YES", K42, "0.00")</f>
        <v>66.99</v>
      </c>
      <c r="C36" s="228"/>
      <c r="D36" s="228"/>
      <c r="E36" s="228" t="n">
        <f aca="false">K31</f>
        <v>9600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08"/>
    </row>
    <row r="40" customFormat="false" ht="17.35" hidden="false" customHeight="false" outlineLevel="0" collapsed="false">
      <c r="A40" s="103" t="n">
        <f aca="false">E36*A45/100</f>
        <v>9600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109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6586.14214929175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42291.3578507082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1396.7304053987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21923.3857106303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4672.71417168699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237.909775155269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237.909775155269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1329.7404053987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1329.7404053987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1396.7304053987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1396.7304053987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45468.749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9600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9600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9600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7412.27680583254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6564.9851676575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6564.9851676575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29.9543371890103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60317.7271941675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38903.7638323425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38903.7638323425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2013.65587939956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1375.84776365029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1375.84776365029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68464.299899585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46778.8239641099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46778.8239641099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68464.299899585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46778.8239641099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46778.8239641099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82.7523529411765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99.3028235294117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2013.65587939956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1375.84776365029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1375.84776365029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2096.40823234073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1458.60011659147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1475.1505871797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50" t="s">
        <v>386</v>
      </c>
      <c r="F105" s="450"/>
      <c r="G105" s="45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398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35140.6275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35973.9575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7304.7915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44468.749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44468.749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-14056.251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0.0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45468.749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2013.65587939956</v>
      </c>
      <c r="B167" s="174" t="n">
        <f aca="false">B94</f>
        <v>82.7523529411765</v>
      </c>
      <c r="C167" s="171"/>
      <c r="D167" s="171"/>
      <c r="E167" s="174" t="n">
        <f aca="false">B96</f>
        <v>2096.40823234073</v>
      </c>
      <c r="F167" s="23"/>
      <c r="G167" s="23"/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1375.84776365029</v>
      </c>
      <c r="T167" s="174" t="n">
        <f aca="false">T94</f>
        <v>82.7523529411765</v>
      </c>
      <c r="U167" s="171"/>
      <c r="V167" s="171"/>
      <c r="W167" s="174" t="n">
        <f aca="false">T96</f>
        <v>1458.60011659147</v>
      </c>
      <c r="X167" s="23"/>
      <c r="Y167" s="23"/>
      <c r="Z167" s="33"/>
      <c r="AB167" s="173" t="n">
        <f aca="false">AC95</f>
        <v>1375.84776365029</v>
      </c>
      <c r="AC167" s="174" t="n">
        <f aca="false">AC94</f>
        <v>99.3028235294117</v>
      </c>
      <c r="AD167" s="171"/>
      <c r="AE167" s="171"/>
      <c r="AF167" s="174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9600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9600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9600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36523.9575</v>
      </c>
      <c r="T173" s="99" t="n">
        <f aca="false">Z137</f>
        <v>7304.7915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44468.749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45468.749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10334.2958995849</v>
      </c>
      <c r="B182" s="99" t="str">
        <f aca="false">B114</f>
        <v>199.99</v>
      </c>
      <c r="C182" s="99"/>
      <c r="D182" s="23"/>
      <c r="E182" s="99" t="n">
        <f aca="false">E179+A182+B182+A185</f>
        <v>78274.289899585</v>
      </c>
      <c r="F182" s="23"/>
      <c r="G182" s="23"/>
      <c r="H182" s="101"/>
      <c r="J182" s="107" t="n">
        <f aca="false">(J167*K59)+N185-N179-J185</f>
        <v>23158.6283606416</v>
      </c>
      <c r="K182" s="99" t="n">
        <f aca="false">K114</f>
        <v>239.99</v>
      </c>
      <c r="L182" s="99"/>
      <c r="M182" s="23"/>
      <c r="N182" s="99" t="n">
        <f aca="false">N179+J182+K182+J185</f>
        <v>61073.6183606416</v>
      </c>
      <c r="O182" s="23"/>
      <c r="P182" s="23"/>
      <c r="Q182" s="101"/>
      <c r="S182" s="107" t="n">
        <f aca="false">(S167*T59)+W185-W179-S185</f>
        <v>10910.0749641099</v>
      </c>
      <c r="T182" s="99" t="n">
        <f aca="false">T114</f>
        <v>199.99</v>
      </c>
      <c r="U182" s="99"/>
      <c r="V182" s="23"/>
      <c r="W182" s="99" t="n">
        <f aca="false">W179+S182+T182+S185</f>
        <v>56588.8139641099</v>
      </c>
      <c r="X182" s="23"/>
      <c r="Y182" s="23"/>
      <c r="Z182" s="101"/>
      <c r="AB182" s="107" t="n">
        <f aca="false">(AB167*AC59)+AF185-AF179-AB185</f>
        <v>10910.0749641099</v>
      </c>
      <c r="AC182" s="99" t="n">
        <f aca="false">AC114</f>
        <v>239.99</v>
      </c>
      <c r="AD182" s="99"/>
      <c r="AE182" s="23"/>
      <c r="AF182" s="99" t="n">
        <f aca="false">AF179+AB182+AC182+AB185</f>
        <v>56628.8139641099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9610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9620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9610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9610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11.577</v>
      </c>
      <c r="B188" s="99" t="n">
        <f aca="false">(G158*B67)/1.2</f>
        <v>552.65801875</v>
      </c>
      <c r="C188" s="130"/>
      <c r="D188" s="130"/>
      <c r="E188" s="99" t="n">
        <f aca="false">(E40*A108)*0.1</f>
        <v>46.893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371.012361631944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699.54101875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1517.89536163194</v>
      </c>
      <c r="U191" s="130"/>
      <c r="V191" s="130"/>
      <c r="W191" s="99" t="n">
        <f aca="false">Z148</f>
        <v>-14056.251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1557.89536163194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2096.40823234073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2013.65587939956</v>
      </c>
      <c r="B212" s="174" t="n">
        <f aca="false">B167</f>
        <v>82.7523529411765</v>
      </c>
      <c r="C212" s="171"/>
      <c r="D212" s="171"/>
      <c r="E212" s="174" t="n">
        <f aca="false">E167</f>
        <v>2096.40823234073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10334.2958995849</v>
      </c>
      <c r="B224" s="99" t="str">
        <f aca="false">B182</f>
        <v>199.99</v>
      </c>
      <c r="C224" s="99"/>
      <c r="D224" s="109"/>
      <c r="E224" s="99" t="n">
        <f aca="false">E182</f>
        <v>78274.289899585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2013.65587939956</v>
      </c>
      <c r="B230" s="99" t="n">
        <f aca="false">B167</f>
        <v>82.7523529411765</v>
      </c>
      <c r="C230" s="183"/>
      <c r="D230" s="183"/>
      <c r="E230" s="99" t="n">
        <f aca="false">E167</f>
        <v>2096.40823234073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9600</v>
      </c>
      <c r="B233" s="99" t="n">
        <f aca="false">E185</f>
        <v>9610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46.893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10453.71101875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568.92</v>
      </c>
      <c r="C255" s="194"/>
      <c r="D255" s="195" t="s">
        <v>218</v>
      </c>
      <c r="E255" s="195"/>
      <c r="F255" s="196" t="n">
        <f aca="false">(B254-F254)+B255</f>
        <v>-94.2696225000001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0.089</v>
      </c>
      <c r="C260" s="43"/>
      <c r="D260" s="163" t="s">
        <v>215</v>
      </c>
      <c r="E260" s="163"/>
      <c r="F260" s="143" t="n">
        <f aca="false">(B89*B59)-(C89*B59)</f>
        <v>68464.299899585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-94.2696225000001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9" colorId="64" zoomScale="75" zoomScaleNormal="75" zoomScalePageLayoutView="100" workbookViewId="0">
      <selection pane="topLeft" activeCell="B95" activeCellId="0" sqref="B9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7680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1875.65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1424.74718545353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1371.15718545353</v>
      </c>
      <c r="B36" s="228" t="n">
        <f aca="false">IF(B26="YES", K42, "0.00")</f>
        <v>53.59</v>
      </c>
      <c r="C36" s="228"/>
      <c r="D36" s="228"/>
      <c r="E36" s="228" t="n">
        <f aca="false">K31</f>
        <v>7680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29007.9023860839</v>
      </c>
      <c r="N39" s="1" t="n">
        <f aca="false">K39-L39</f>
        <v>19869.5976139161</v>
      </c>
      <c r="P39" s="208"/>
    </row>
    <row r="40" customFormat="false" ht="17.35" hidden="false" customHeight="false" outlineLevel="0" collapsed="false">
      <c r="A40" s="103" t="n">
        <f aca="false">E36*A45/100</f>
        <v>7680</v>
      </c>
      <c r="B40" s="103" t="n">
        <f aca="false">IF(B26="YES", K42, "0.00")</f>
        <v>53.59</v>
      </c>
      <c r="C40" s="103"/>
      <c r="D40" s="103"/>
      <c r="E40" s="179" t="n">
        <f aca="false">K32</f>
        <v>1875.65</v>
      </c>
      <c r="F40" s="183"/>
      <c r="G40" s="183"/>
      <c r="H40" s="47"/>
      <c r="J40" s="2" t="s">
        <v>109</v>
      </c>
      <c r="K40" s="2" t="n">
        <f aca="false">(A40)/1.2</f>
        <v>6400</v>
      </c>
      <c r="L40" s="2" t="n">
        <f aca="false">K39-L39</f>
        <v>19869.5976139161</v>
      </c>
      <c r="N40" s="1" t="n">
        <f aca="false">N38-N39</f>
        <v>-16957.9176139161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53.59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5268.9137194334</v>
      </c>
      <c r="L44" s="2"/>
      <c r="P44" s="208"/>
    </row>
    <row r="45" customFormat="false" ht="17.35" hidden="false" customHeight="false" outlineLevel="0" collapsed="false">
      <c r="A45" s="504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363</v>
      </c>
      <c r="K45" s="2" t="n">
        <f aca="false">(K39-K44)</f>
        <v>43608.5862805666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1371.15718545353</v>
      </c>
      <c r="L47" s="2" t="n">
        <f aca="false">L49-K42</f>
        <v>746.41</v>
      </c>
      <c r="M47" s="1" t="n">
        <f aca="false">K47-L47</f>
        <v>624.747185453526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1424.74718545353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1424.74718545353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22156.4756771691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3223.12686976823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17099.6612521809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367.101774942719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1371.15718545353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1371.15718545353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1424.74718545353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1424.74718545353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7680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7680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7680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5929.82144466603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5251.988134126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5251.988134126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29.9543371890103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61800.182555334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54132.449355874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40216.760865874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2063.14638729537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1914.4165512663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1422.28244899459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70146.9771680425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65090.1627430543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48357.6032658161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70146.9771680425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65090.1627430543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48357.6032658161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n">
        <f aca="false">IF(B26="YES",((E40/B85)*(1+A108)*1.2),"0")</f>
        <v>79.4392941176471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83.6004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66.1994117647059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79.4392941176471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2063.14638729537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1914.4165512663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1422.28244899459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2142.58568141302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1589.8835870777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1980.61596303101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1501.72174311224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124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272</v>
      </c>
      <c r="C108" s="103"/>
      <c r="D108" s="103"/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2063.14638729537</v>
      </c>
      <c r="B167" s="174" t="n">
        <f aca="false">B94</f>
        <v>79.4392941176471</v>
      </c>
      <c r="C167" s="171"/>
      <c r="D167" s="171"/>
      <c r="E167" s="174" t="n">
        <f aca="false">B96</f>
        <v>2142.58568141302</v>
      </c>
      <c r="F167" s="23"/>
      <c r="G167" s="23"/>
      <c r="H167" s="33"/>
      <c r="J167" s="173" t="n">
        <f aca="false">K95</f>
        <v>1506.2831870777</v>
      </c>
      <c r="K167" s="174" t="n">
        <f aca="false">K94</f>
        <v>83.6004</v>
      </c>
      <c r="L167" s="171"/>
      <c r="M167" s="171"/>
      <c r="N167" s="174" t="n">
        <f aca="false">K96</f>
        <v>1589.8835870777</v>
      </c>
      <c r="O167" s="23"/>
      <c r="P167" s="23"/>
      <c r="Q167" s="33"/>
      <c r="S167" s="173" t="n">
        <f aca="false">T95</f>
        <v>1914.4165512663</v>
      </c>
      <c r="T167" s="174" t="n">
        <f aca="false">T94</f>
        <v>66.1994117647059</v>
      </c>
      <c r="U167" s="171"/>
      <c r="V167" s="171"/>
      <c r="W167" s="174" t="n">
        <f aca="false">T96</f>
        <v>1980.61596303101</v>
      </c>
      <c r="X167" s="23"/>
      <c r="Y167" s="23"/>
      <c r="Z167" s="33"/>
      <c r="AB167" s="173" t="n">
        <f aca="false">AC95</f>
        <v>1422.28244899459</v>
      </c>
      <c r="AC167" s="174" t="n">
        <f aca="false">AC94</f>
        <v>79.4392941176471</v>
      </c>
      <c r="AD167" s="171"/>
      <c r="AE167" s="171"/>
      <c r="AF167" s="174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7680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7680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7680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10096.9731680425</v>
      </c>
      <c r="B182" s="99" t="str">
        <f aca="false">B114</f>
        <v>239.99</v>
      </c>
      <c r="C182" s="99"/>
      <c r="D182" s="23"/>
      <c r="E182" s="99" t="n">
        <f aca="false">E179+A182+B182+A185</f>
        <v>78076.9671680425</v>
      </c>
      <c r="F182" s="23"/>
      <c r="G182" s="23"/>
      <c r="H182" s="101"/>
      <c r="J182" s="107" t="n">
        <f aca="false">(J167*K59)+N185-N179-J185</f>
        <v>21238.6283606416</v>
      </c>
      <c r="K182" s="99" t="n">
        <f aca="false">K114</f>
        <v>239.99</v>
      </c>
      <c r="L182" s="99"/>
      <c r="M182" s="23"/>
      <c r="N182" s="99" t="n">
        <f aca="false">N179+J182+K182+J185</f>
        <v>59153.6183606416</v>
      </c>
      <c r="O182" s="23"/>
      <c r="P182" s="23"/>
      <c r="Q182" s="101"/>
      <c r="S182" s="107" t="n">
        <f aca="false">(S167*T59)+W185-W179-S185</f>
        <v>13385.7252530543</v>
      </c>
      <c r="T182" s="99" t="n">
        <f aca="false">T114</f>
        <v>199.99</v>
      </c>
      <c r="U182" s="99"/>
      <c r="V182" s="23"/>
      <c r="W182" s="99" t="n">
        <f aca="false">W179+S182+T182+S185</f>
        <v>72980.1527430544</v>
      </c>
      <c r="X182" s="23"/>
      <c r="Y182" s="23"/>
      <c r="Z182" s="101"/>
      <c r="AB182" s="107" t="n">
        <f aca="false">(AB167*AC59)+AF185-AF179-AB185</f>
        <v>10568.8542658161</v>
      </c>
      <c r="AC182" s="99" t="n">
        <f aca="false">AC114</f>
        <v>239.99</v>
      </c>
      <c r="AD182" s="99"/>
      <c r="AE182" s="23"/>
      <c r="AF182" s="99" t="n">
        <f aca="false">AF179+AB182+AC182+AB185</f>
        <v>56287.5932658161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7690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7700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7690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7690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13.8924</v>
      </c>
      <c r="B188" s="99" t="n">
        <f aca="false">(G158*B67)</f>
        <v>663.1896225</v>
      </c>
      <c r="C188" s="130"/>
      <c r="D188" s="130"/>
      <c r="E188" s="99" t="n">
        <f aca="false">(E40*A108)*0.1</f>
        <v>37.513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56.2695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37.513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800.694289166667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3517.01036805556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1622.06351424132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1548.51536163194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2142.58568141302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273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2063.14638729537</v>
      </c>
      <c r="B212" s="174" t="n">
        <f aca="false">B167</f>
        <v>79.4392941176471</v>
      </c>
      <c r="C212" s="171"/>
      <c r="D212" s="171"/>
      <c r="E212" s="174" t="n">
        <f aca="false">E167</f>
        <v>2142.58568141302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10096.9731680425</v>
      </c>
      <c r="B224" s="99" t="str">
        <f aca="false">B182</f>
        <v>239.99</v>
      </c>
      <c r="C224" s="99"/>
      <c r="D224" s="109"/>
      <c r="E224" s="99" t="n">
        <f aca="false">E182</f>
        <v>78076.9671680425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2063.14638729537</v>
      </c>
      <c r="B230" s="99" t="n">
        <f aca="false">B167</f>
        <v>79.4392941176471</v>
      </c>
      <c r="C230" s="183"/>
      <c r="D230" s="183"/>
      <c r="E230" s="99" t="n">
        <f aca="false">E167</f>
        <v>2142.58568141302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7680</v>
      </c>
      <c r="B233" s="99" t="n">
        <f aca="false">E185</f>
        <v>7690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37.513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10444.3326854167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475.121666666667</v>
      </c>
      <c r="C255" s="194"/>
      <c r="D255" s="195" t="s">
        <v>218</v>
      </c>
      <c r="E255" s="195"/>
      <c r="F255" s="196" t="n">
        <f aca="false">(B254-F254)+B255</f>
        <v>-188.067955833333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0.089</v>
      </c>
      <c r="C260" s="43"/>
      <c r="D260" s="163" t="s">
        <v>215</v>
      </c>
      <c r="E260" s="163"/>
      <c r="F260" s="143" t="n">
        <f aca="false">(B89*B59)-(C89*B59)</f>
        <v>70146.9771680425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-188.067955833333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555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5760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1412.57396550835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1412.57396550835</v>
      </c>
      <c r="B36" s="228" t="str">
        <f aca="false">IF(B26="YES", K42, "0.00")</f>
        <v>0.00</v>
      </c>
      <c r="C36" s="228"/>
      <c r="D36" s="228"/>
      <c r="E36" s="228" t="n">
        <f aca="false">K31</f>
        <v>5760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29395.0621646443</v>
      </c>
      <c r="N39" s="1" t="n">
        <f aca="false">K39-L39</f>
        <v>19482.4378353557</v>
      </c>
      <c r="P39" s="208"/>
    </row>
    <row r="40" customFormat="false" ht="17.35" hidden="false" customHeight="false" outlineLevel="0" collapsed="false">
      <c r="A40" s="312" t="n">
        <f aca="false">E36*A45/100</f>
        <v>5760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4800</v>
      </c>
      <c r="L40" s="2" t="n">
        <f aca="false">K39-L39</f>
        <v>19482.4378353557</v>
      </c>
      <c r="N40" s="1" t="n">
        <f aca="false">N38-N39</f>
        <v>-16570.7578353557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3951.68528957505</v>
      </c>
      <c r="L44" s="2"/>
      <c r="P44" s="208"/>
    </row>
    <row r="45" customFormat="false" ht="17.35" hidden="false" customHeight="false" outlineLevel="0" collapsed="false">
      <c r="A45" s="506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363</v>
      </c>
      <c r="K45" s="2" t="n">
        <f aca="false">(K39-K44)</f>
        <v>44925.814710425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1412.57396550835</v>
      </c>
      <c r="L47" s="2" t="n">
        <f aca="false">L49-K42</f>
        <v>800</v>
      </c>
      <c r="M47" s="1" t="n">
        <f aca="false">K47-L47</f>
        <v>612.573965508348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1412.57396550835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1412.57396550835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25390.3414098237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1773.53956784947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17228.8532519684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496.293774730148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1412.57396550835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1412.57396550835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1412.57396550835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1412.57396550835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5760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5760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5760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4125.21367271309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3938.9911005945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3938.9911005945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63604.7903272869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55445.4463894055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41529.7578994055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2200.89500595929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1960.8512366106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1468.71713433889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74830.4302026159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66668.9420447605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49936.3825675223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74830.4302026159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66668.9420447605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49936.3825675223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IF(B26="YES",((E40/B85)*(1+A108)*1.2),"0")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2200.89500595929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1960.8512366106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1468.71713433889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2200.89500595929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1960.8512366106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1468.71713433889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126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264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2200.89500595929</v>
      </c>
      <c r="B167" s="174" t="str">
        <f aca="false">B94</f>
        <v>0</v>
      </c>
      <c r="C167" s="171"/>
      <c r="D167" s="171"/>
      <c r="E167" s="174" t="n">
        <f aca="false">B96</f>
        <v>2200.89500595929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1960.8512366106</v>
      </c>
      <c r="T167" s="174" t="n">
        <f aca="false">T94</f>
        <v>0</v>
      </c>
      <c r="U167" s="171"/>
      <c r="V167" s="171"/>
      <c r="W167" s="174" t="n">
        <f aca="false">T96</f>
        <v>1960.8512366106</v>
      </c>
      <c r="X167" s="23"/>
      <c r="Y167" s="23"/>
      <c r="Z167" s="33"/>
      <c r="AB167" s="173" t="n">
        <f aca="false">AC95</f>
        <v>1468.71713433889</v>
      </c>
      <c r="AC167" s="174" t="n">
        <f aca="false">AC94</f>
        <v>0</v>
      </c>
      <c r="AD167" s="171"/>
      <c r="AE167" s="171"/>
      <c r="AF167" s="174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5760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5760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5760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12860.4262026159</v>
      </c>
      <c r="B182" s="99" t="str">
        <f aca="false">B114</f>
        <v>239.99</v>
      </c>
      <c r="C182" s="99"/>
      <c r="D182" s="23"/>
      <c r="E182" s="99" t="n">
        <f aca="false">E179+A182+B182+A185</f>
        <v>80840.4202026159</v>
      </c>
      <c r="F182" s="23"/>
      <c r="G182" s="23"/>
      <c r="H182" s="101"/>
      <c r="J182" s="107" t="n">
        <f aca="false">(J167*K59)+N185-N179-J185</f>
        <v>19318.6283606416</v>
      </c>
      <c r="K182" s="99" t="n">
        <f aca="false">K114</f>
        <v>239.99</v>
      </c>
      <c r="L182" s="99"/>
      <c r="M182" s="23"/>
      <c r="N182" s="99" t="n">
        <f aca="false">N179+J182+K182+J185</f>
        <v>57233.6183606416</v>
      </c>
      <c r="O182" s="23"/>
      <c r="P182" s="23"/>
      <c r="Q182" s="101"/>
      <c r="S182" s="107" t="n">
        <f aca="false">(S167*T59)+W185-W179-S185</f>
        <v>13044.5045547605</v>
      </c>
      <c r="T182" s="99" t="n">
        <f aca="false">T114</f>
        <v>199.99</v>
      </c>
      <c r="U182" s="99"/>
      <c r="V182" s="23"/>
      <c r="W182" s="99" t="n">
        <f aca="false">W179+S182+T182+S185</f>
        <v>72638.9320447605</v>
      </c>
      <c r="X182" s="23"/>
      <c r="Y182" s="23"/>
      <c r="Z182" s="101"/>
      <c r="AB182" s="107" t="n">
        <f aca="false">(AB167*AC59)+AF185-AF179-AB185</f>
        <v>10227.6335675223</v>
      </c>
      <c r="AC182" s="99" t="n">
        <f aca="false">AC114</f>
        <v>239.99</v>
      </c>
      <c r="AD182" s="99"/>
      <c r="AE182" s="23"/>
      <c r="AF182" s="99" t="n">
        <f aca="false">AF179+AB182+AC182+AB185</f>
        <v>55946.3725675223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2239.99</v>
      </c>
      <c r="C185" s="99"/>
      <c r="D185" s="23"/>
      <c r="E185" s="99" t="n">
        <f aca="false">E170+A185</f>
        <v>5770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5780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5770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5770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H15*0.000002, 0)</f>
        <v>0</v>
      </c>
      <c r="B188" s="99" t="n">
        <f aca="false">(G158*B67)/1.2</f>
        <v>552.65801875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652.649685416667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2200.89500595929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2200.89500595929</v>
      </c>
      <c r="B212" s="174" t="str">
        <f aca="false">B167</f>
        <v>0</v>
      </c>
      <c r="C212" s="171"/>
      <c r="D212" s="171"/>
      <c r="E212" s="174" t="n">
        <f aca="false">E167</f>
        <v>2200.89500595929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12860.4262026159</v>
      </c>
      <c r="B224" s="99" t="str">
        <f aca="false">B182</f>
        <v>239.99</v>
      </c>
      <c r="C224" s="99"/>
      <c r="D224" s="109"/>
      <c r="E224" s="99" t="n">
        <f aca="false">E182</f>
        <v>80840.4202026159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2200.89500595929</v>
      </c>
      <c r="B230" s="99" t="str">
        <f aca="false">B167</f>
        <v>0</v>
      </c>
      <c r="C230" s="183"/>
      <c r="D230" s="183"/>
      <c r="E230" s="99" t="n">
        <f aca="false">E167</f>
        <v>2200.89500595929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5760</v>
      </c>
      <c r="B233" s="99" t="n">
        <f aca="false">E185</f>
        <v>5770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41.6772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10406.8196854167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-563.197955833333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74830.4302026159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-563.197955833333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B26 E105 N105 W105 AF105 A111 J111 S111 AB111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75" zoomScaleNormal="7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378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146</v>
      </c>
      <c r="C2" s="438"/>
      <c r="D2" s="438" t="s">
        <v>147</v>
      </c>
      <c r="E2" s="438"/>
      <c r="F2" s="438" t="s">
        <v>148</v>
      </c>
      <c r="G2" s="438"/>
      <c r="H2" s="439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40" t="n">
        <v>46854.17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11520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1288.32362534388</v>
      </c>
      <c r="F33" s="228"/>
      <c r="G33" s="228"/>
      <c r="H33" s="47"/>
      <c r="I33" s="2"/>
      <c r="J33" s="34" t="s">
        <v>352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1288.32362534388</v>
      </c>
      <c r="B36" s="228" t="str">
        <f aca="false">IF(B26="YES", K42, "0.00")</f>
        <v>0.00</v>
      </c>
      <c r="C36" s="228"/>
      <c r="D36" s="228"/>
      <c r="E36" s="228" t="n">
        <f aca="false">K31</f>
        <v>11520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33346.7474542194</v>
      </c>
      <c r="N39" s="1" t="n">
        <f aca="false">K39-L39</f>
        <v>15530.7525457806</v>
      </c>
      <c r="P39" s="208"/>
    </row>
    <row r="40" customFormat="false" ht="17.35" hidden="false" customHeight="false" outlineLevel="0" collapsed="false">
      <c r="A40" s="312" t="n">
        <f aca="false">E36*A45/100</f>
        <v>11520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9600</v>
      </c>
      <c r="L40" s="2" t="n">
        <f aca="false">K39-L39</f>
        <v>15530.7525457806</v>
      </c>
      <c r="N40" s="1" t="n">
        <f aca="false">N38-N39</f>
        <v>-12619.0725457806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90" t="s">
        <v>80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7903.3705791501</v>
      </c>
      <c r="L44" s="2"/>
      <c r="P44" s="208"/>
    </row>
    <row r="45" customFormat="false" ht="17.35" hidden="false" customHeight="false" outlineLevel="0" collapsed="false">
      <c r="A45" s="506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363</v>
      </c>
      <c r="K45" s="2" t="n">
        <f aca="false">(K39-K44)</f>
        <v>40974.1294208499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1288.32362534388</v>
      </c>
      <c r="L47" s="2" t="n">
        <f aca="false">L49-K42</f>
        <v>800</v>
      </c>
      <c r="M47" s="1" t="n">
        <f aca="false">K47-L47</f>
        <v>488.323625343883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1288.32362534388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1288.32362534388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30657.8303952567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6122.30147360575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16841.2772526061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108.717775367841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573.057324305556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1288.32362534388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1288.32362534388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1288.32362534388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1288.32362534388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70230.004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11520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11520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11520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0.137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7742.81304051719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7877.982201189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7877.982201189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28.0473680348001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62487.1909594828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51506.455288811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37590.766798811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2227.91639065566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1821.5471805777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1329.41307830599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75749.1572822926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61932.604139642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45200.0446624037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75749.1572822926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61932.604139642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45200.0446624037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2227.91639065566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1821.5471805777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1329.41307830599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2227.91639065566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1821.5471805777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1329.41307830599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264</v>
      </c>
      <c r="C108" s="103"/>
      <c r="D108" s="103"/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70230.004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2227.91639065566</v>
      </c>
      <c r="B167" s="174" t="str">
        <f aca="false">B94</f>
        <v>0</v>
      </c>
      <c r="C167" s="171"/>
      <c r="D167" s="171"/>
      <c r="E167" s="174" t="n">
        <f aca="false">B96</f>
        <v>2227.91639065566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1821.5471805777</v>
      </c>
      <c r="T167" s="174" t="n">
        <f aca="false">T94</f>
        <v>0</v>
      </c>
      <c r="U167" s="171"/>
      <c r="V167" s="171"/>
      <c r="W167" s="174" t="n">
        <f aca="false">T96</f>
        <v>1821.5471805777</v>
      </c>
      <c r="X167" s="23"/>
      <c r="Y167" s="23"/>
      <c r="Z167" s="33"/>
      <c r="AB167" s="173" t="n">
        <f aca="false">AC95</f>
        <v>1329.41307830599</v>
      </c>
      <c r="AC167" s="174" t="n">
        <f aca="false">AC94</f>
        <v>0</v>
      </c>
      <c r="AD167" s="171"/>
      <c r="AE167" s="171"/>
      <c r="AF167" s="174" t="n">
        <f aca="false">AC96</f>
        <v>1329.41307830599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11520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11520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11520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70230.004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17039.1532822926</v>
      </c>
      <c r="B182" s="99" t="str">
        <f aca="false">B114</f>
        <v>199.99</v>
      </c>
      <c r="C182" s="99"/>
      <c r="D182" s="23"/>
      <c r="E182" s="99" t="n">
        <f aca="false">E179+A182+B182+A185</f>
        <v>87479.1472822926</v>
      </c>
      <c r="F182" s="23"/>
      <c r="G182" s="23"/>
      <c r="H182" s="101"/>
      <c r="J182" s="107" t="n">
        <f aca="false">(J167*K59)+N185-N179-J185</f>
        <v>25078.6283606416</v>
      </c>
      <c r="K182" s="99" t="n">
        <f aca="false">K114</f>
        <v>239.99</v>
      </c>
      <c r="L182" s="99"/>
      <c r="M182" s="23"/>
      <c r="N182" s="99" t="n">
        <f aca="false">N179+J182+K182+J185</f>
        <v>62993.6183606416</v>
      </c>
      <c r="O182" s="23"/>
      <c r="P182" s="23"/>
      <c r="Q182" s="101"/>
      <c r="S182" s="107" t="n">
        <f aca="false">(S167*T59)+W185-W179-S185</f>
        <v>14068.166649642</v>
      </c>
      <c r="T182" s="99" t="n">
        <f aca="false">T114</f>
        <v>199.99</v>
      </c>
      <c r="U182" s="99"/>
      <c r="V182" s="23"/>
      <c r="W182" s="99" t="n">
        <f aca="false">W179+S182+T182+S185</f>
        <v>73662.594139642</v>
      </c>
      <c r="X182" s="23"/>
      <c r="Y182" s="23"/>
      <c r="Z182" s="101"/>
      <c r="AB182" s="107" t="n">
        <f aca="false">(AB167*AC59)+AF185-AF179-AB185</f>
        <v>11251.2956624037</v>
      </c>
      <c r="AC182" s="99" t="n">
        <f aca="false">AC114</f>
        <v>239.99</v>
      </c>
      <c r="AD182" s="99"/>
      <c r="AE182" s="23"/>
      <c r="AF182" s="99" t="n">
        <f aca="false">AF179+AB182+AC182+AB185</f>
        <v>56970.0346624037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11530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11540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11530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11530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573.057324305556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673.047324305556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2227.91639065566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1821.5471805777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1329.41307830599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2227.91639065566</v>
      </c>
      <c r="B212" s="174" t="str">
        <f aca="false">B167</f>
        <v>0</v>
      </c>
      <c r="C212" s="171"/>
      <c r="D212" s="171"/>
      <c r="E212" s="174" t="n">
        <f aca="false">E167</f>
        <v>2227.91639065566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70230.004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17039.1532822926</v>
      </c>
      <c r="B224" s="99" t="str">
        <f aca="false">B182</f>
        <v>199.99</v>
      </c>
      <c r="C224" s="99"/>
      <c r="D224" s="109"/>
      <c r="E224" s="99" t="n">
        <f aca="false">E182</f>
        <v>87479.1472822926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2227.91639065566</v>
      </c>
      <c r="B230" s="99" t="str">
        <f aca="false">B167</f>
        <v>0</v>
      </c>
      <c r="C230" s="183"/>
      <c r="D230" s="183"/>
      <c r="E230" s="99" t="n">
        <f aca="false">E167</f>
        <v>2227.91639065566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11520</v>
      </c>
      <c r="B233" s="99" t="n">
        <f aca="false">E185</f>
        <v>11530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34.731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573.057324305556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10427.2173243056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687.668789166667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-587.678789166667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0.137</v>
      </c>
      <c r="C260" s="43"/>
      <c r="D260" s="163" t="s">
        <v>215</v>
      </c>
      <c r="E260" s="163"/>
      <c r="F260" s="143" t="n">
        <f aca="false">(B89*B59)-(C89*B59)</f>
        <v>75749.1572822926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687.668789166667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-587.678789166667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2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</v>
      </c>
      <c r="I31" s="234" t="n">
        <f aca="false">IF(C107="YES",H31,0)</f>
        <v>19200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4689.3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1256.6365051246</v>
      </c>
      <c r="E33" s="212"/>
      <c r="F33" s="63"/>
      <c r="G33" s="215" t="s">
        <v>352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1122.6565051246</v>
      </c>
      <c r="B36" s="99" t="n">
        <f aca="false">IF(B26="YES", H42, "")</f>
        <v>133.98</v>
      </c>
      <c r="C36" s="217"/>
      <c r="D36" s="181" t="n">
        <f aca="false">I31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53437.0642878025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n">
        <f aca="false">IF(B26="YES",H42,"0")</f>
        <v>133.98</v>
      </c>
      <c r="C40" s="103"/>
      <c r="D40" s="181" t="n">
        <f aca="false">I32</f>
        <v>4689.3</v>
      </c>
      <c r="E40" s="212"/>
      <c r="F40" s="63"/>
      <c r="G40" s="63" t="s">
        <v>109</v>
      </c>
      <c r="H40" s="234" t="n">
        <f aca="false">A40/1.2</f>
        <v>16000</v>
      </c>
      <c r="I40" s="234" t="n">
        <f aca="false">H39-I39</f>
        <v>-4559.56428780247</v>
      </c>
      <c r="J40" s="63" t="n">
        <v>30000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133.98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13172.2842985835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370</v>
      </c>
      <c r="H45" s="234" t="n">
        <f aca="false">(H39-H44)</f>
        <v>35705.2157014165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1122.6565051246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1256.6365051246</v>
      </c>
      <c r="I48" s="234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1256.6365051246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0.103541666666667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5993.509375</v>
      </c>
      <c r="C64" s="211" t="n">
        <v>10000</v>
      </c>
      <c r="D64" s="290" t="n">
        <f aca="false">B64-A143</f>
        <v>5993.509375</v>
      </c>
      <c r="E64" s="212"/>
      <c r="F64" s="63"/>
      <c r="G64" s="284" t="s">
        <v>93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93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0.0195833333333333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1133.58125</v>
      </c>
      <c r="C67" s="211"/>
      <c r="D67" s="290"/>
      <c r="E67" s="212"/>
      <c r="F67" s="63"/>
      <c r="G67" s="284" t="s">
        <v>96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96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470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175</v>
      </c>
      <c r="C73" s="211"/>
      <c r="D73" s="290" t="n">
        <f aca="false">B73+B71</f>
        <v>375</v>
      </c>
      <c r="E73" s="212"/>
      <c r="F73" s="63"/>
      <c r="G73" s="284" t="s">
        <v>102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102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279</v>
      </c>
      <c r="B74" s="431" t="n">
        <v>0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280</v>
      </c>
      <c r="B75" s="433" t="n">
        <v>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281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7435.17604166667</v>
      </c>
      <c r="C81" s="211"/>
      <c r="D81" s="211"/>
      <c r="E81" s="212"/>
      <c r="F81" s="63"/>
      <c r="G81" s="302" t="s">
        <v>105</v>
      </c>
      <c r="H81" s="303" t="n">
        <f aca="false">SUM(J64:J80)</f>
        <v>7041.009375</v>
      </c>
      <c r="I81" s="211"/>
      <c r="J81" s="211"/>
      <c r="K81" s="212"/>
      <c r="L81" s="63"/>
      <c r="M81" s="302" t="s">
        <v>105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212.433601190476</v>
      </c>
      <c r="C82" s="211"/>
      <c r="D82" s="211"/>
      <c r="E82" s="212"/>
      <c r="F82" s="63"/>
      <c r="G82" s="210" t="s">
        <v>106</v>
      </c>
      <c r="H82" s="299" t="n">
        <f aca="false">H81/H29</f>
        <v>201.171696428571</v>
      </c>
      <c r="I82" s="211"/>
      <c r="J82" s="211"/>
      <c r="K82" s="212"/>
      <c r="L82" s="63"/>
      <c r="M82" s="210" t="s">
        <v>106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1122.6565051246</v>
      </c>
      <c r="C83" s="211"/>
      <c r="D83" s="211"/>
      <c r="E83" s="212"/>
      <c r="F83" s="63"/>
      <c r="G83" s="304" t="s">
        <v>107</v>
      </c>
      <c r="H83" s="305" t="n">
        <f aca="false">H47</f>
        <v>1122.6565051246</v>
      </c>
      <c r="I83" s="211"/>
      <c r="J83" s="211"/>
      <c r="K83" s="212"/>
      <c r="L83" s="63"/>
      <c r="M83" s="304" t="s">
        <v>107</v>
      </c>
      <c r="N83" s="305" t="n">
        <f aca="false">H47</f>
        <v>1122.6565051246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46728.1537210275</v>
      </c>
      <c r="C85" s="211"/>
      <c r="D85" s="211"/>
      <c r="E85" s="212"/>
      <c r="F85" s="63"/>
      <c r="G85" s="287" t="s">
        <v>117</v>
      </c>
      <c r="H85" s="127" t="n">
        <f aca="false">((H83*H29)+H81)*1.2</f>
        <v>55600.784465233</v>
      </c>
      <c r="I85" s="211"/>
      <c r="J85" s="211"/>
      <c r="K85" s="212"/>
      <c r="L85" s="63"/>
      <c r="M85" s="287" t="s">
        <v>117</v>
      </c>
      <c r="N85" s="127" t="n">
        <f aca="false">((N83*H29)+N81)</f>
        <v>46003.9870543609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395.841560363686</v>
      </c>
      <c r="C86" s="211"/>
      <c r="D86" s="211"/>
      <c r="E86" s="212"/>
      <c r="F86" s="63"/>
      <c r="G86" s="210" t="s">
        <v>118</v>
      </c>
      <c r="H86" s="299" t="n">
        <f aca="false">((((H83*H29)+H81))/(1-H70))*H70</f>
        <v>392.502512360459</v>
      </c>
      <c r="I86" s="211"/>
      <c r="J86" s="211"/>
      <c r="K86" s="212"/>
      <c r="L86" s="63"/>
      <c r="M86" s="210" t="s">
        <v>118</v>
      </c>
      <c r="N86" s="299" t="n">
        <f aca="false">(N85/(1-N70))*N70</f>
        <v>389.707030311246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IF(B110="YES",((B85+B86)-E114),(B85+B86))</f>
        <v>47123.9952813912</v>
      </c>
      <c r="C87" s="211"/>
      <c r="D87" s="211"/>
      <c r="E87" s="212"/>
      <c r="F87" s="63"/>
      <c r="G87" s="284" t="s">
        <v>119</v>
      </c>
      <c r="H87" s="129" t="n">
        <f aca="false">IF(H110="YES",((H85+H86)-K114),(H85+H86))</f>
        <v>55993.2869775935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46393.6940846721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(D40+(D40*B105))/(B58), (D40+(D40*B105))/(B57+B58))*(C45/100)</f>
        <v>174.174</v>
      </c>
      <c r="C89" s="211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168.8148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140.679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1346.39986518261</v>
      </c>
      <c r="C90" s="211"/>
      <c r="D90" s="211"/>
      <c r="E90" s="212"/>
      <c r="F90" s="63"/>
      <c r="G90" s="307" t="s">
        <v>121</v>
      </c>
      <c r="H90" s="308" t="n">
        <f aca="false">IF(H99=Y98, (H87-J105)/(H58), H87/(H57+H58))</f>
        <v>1399.83217443984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1159.8423521168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1520.57386518261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1568.64697443984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1300.5213521168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18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292</v>
      </c>
      <c r="B108" s="213"/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(E118+E117)-D115</f>
        <v>-2800.01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1399.83217443984</v>
      </c>
      <c r="H127" s="174" t="n">
        <f aca="false">IF(G105="YES", H89*H57, 0)</f>
        <v>1012.8888</v>
      </c>
      <c r="I127" s="174"/>
      <c r="J127" s="333" t="n">
        <f aca="false">H91</f>
        <v>1568.64697443984</v>
      </c>
      <c r="K127" s="212"/>
      <c r="L127" s="63"/>
      <c r="M127" s="332" t="n">
        <f aca="false">N90</f>
        <v>1159.8423521168</v>
      </c>
      <c r="N127" s="174" t="n">
        <f aca="false">IF(M105="YES", N89*N57, 0)</f>
        <v>844.074</v>
      </c>
      <c r="O127" s="174"/>
      <c r="P127" s="174" t="n">
        <f aca="false">N91</f>
        <v>1300.5213521168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1346.39986518261</v>
      </c>
      <c r="B128" s="320" t="n">
        <f aca="false">IF(A105="YES", B89, 0)</f>
        <v>174.174</v>
      </c>
      <c r="C128" s="324"/>
      <c r="D128" s="320" t="n">
        <f aca="false">B91</f>
        <v>1520.57386518261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1346.39986518261</v>
      </c>
      <c r="C131" s="316"/>
      <c r="D131" s="38" t="n">
        <f aca="false">IF(A105="YES", B89*B57, 0)</f>
        <v>174.174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8398.99304663902</v>
      </c>
      <c r="H133" s="99" t="n">
        <f aca="false">IF(G105="YES", H89*H57, 0)</f>
        <v>1012.8888</v>
      </c>
      <c r="I133" s="217"/>
      <c r="J133" s="181" t="n">
        <f aca="false">H91*H57</f>
        <v>9411.88184663902</v>
      </c>
      <c r="K133" s="212"/>
      <c r="L133" s="63"/>
      <c r="M133" s="182" t="n">
        <f aca="false">N90*N57</f>
        <v>6959.05411270082</v>
      </c>
      <c r="N133" s="99" t="n">
        <f aca="false">IF(M105="YES", N89*N57, 0)</f>
        <v>844.074</v>
      </c>
      <c r="O133" s="217"/>
      <c r="P133" s="181" t="n">
        <f aca="false">N91*N57</f>
        <v>7803.12811270082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1520.57386518261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1346.39986518261</v>
      </c>
      <c r="B137" s="38" t="n">
        <f aca="false">IF(A105="YES", B89, 0)</f>
        <v>174.174</v>
      </c>
      <c r="C137" s="316"/>
      <c r="D137" s="38" t="n">
        <f aca="false">B91</f>
        <v>1520.57386518261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93.786</v>
      </c>
      <c r="H142" s="99" t="n">
        <f aca="false">G102-100</f>
        <v>99.99</v>
      </c>
      <c r="I142" s="99"/>
      <c r="J142" s="99" t="n">
        <f aca="false">(H139+J139+G142+H142)-H145</f>
        <v>1138.42704166667</v>
      </c>
      <c r="K142" s="101"/>
      <c r="L142" s="63"/>
      <c r="M142" s="107" t="n">
        <f aca="false">IF(M105="YES", ((B36*N105)*0.1)*(M130), 0)</f>
        <v>93.786</v>
      </c>
      <c r="N142" s="99" t="n">
        <f aca="false">M102-100</f>
        <v>99.99</v>
      </c>
      <c r="O142" s="99"/>
      <c r="P142" s="99" t="n">
        <f aca="false">(N139+P139+M142+N142)-N145</f>
        <v>1138.42704166667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1568.64697443984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1300.5213521168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1520.57386518261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1346.39986518261</v>
      </c>
      <c r="B177" s="354" t="n">
        <f aca="false">IF(A105="YES", B89, 0)</f>
        <v>174.174</v>
      </c>
      <c r="C177" s="356"/>
      <c r="D177" s="354" t="n">
        <f aca="false">B91</f>
        <v>1520.57386518261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1346.39986518261</v>
      </c>
      <c r="C180" s="352"/>
      <c r="D180" s="99" t="n">
        <f aca="false">IF(A105="YES", B89*B57, 0)</f>
        <v>174.174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1520.57386518261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1346.39986518261</v>
      </c>
      <c r="B186" s="99" t="n">
        <f aca="false">IF(A105="YES", B89, 0)</f>
        <v>174.174</v>
      </c>
      <c r="C186" s="352"/>
      <c r="D186" s="99" t="n">
        <f aca="false">B91</f>
        <v>1520.57386518261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400</v>
      </c>
      <c r="C197" s="99"/>
      <c r="D197" s="99" t="n">
        <f aca="false">IF(A105="YES", (B40*B105)*B125, 0)*0.1</f>
        <v>140.679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1774.25025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1133.58125</v>
      </c>
      <c r="C211" s="319" t="s">
        <v>217</v>
      </c>
      <c r="D211" s="369" t="n">
        <f aca="false">B225+E221+B221+B223</f>
        <v>1746.78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6606.708125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5993.509375</v>
      </c>
      <c r="C217" s="374" t="s">
        <v>221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1133.58125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1406.79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395.841560363686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9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0.0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200.0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396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36.0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346</v>
      </c>
      <c r="C30" s="169"/>
      <c r="D30" s="211"/>
      <c r="E30" s="212"/>
      <c r="F30" s="63"/>
      <c r="G30" s="214" t="s">
        <v>32</v>
      </c>
      <c r="H30" s="456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28575.0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1313.21255628002</v>
      </c>
      <c r="E33" s="212"/>
      <c r="F33" s="63"/>
      <c r="G33" s="215" t="s">
        <v>352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1313.21255628002</v>
      </c>
      <c r="B36" s="99" t="str">
        <f aca="false">IF(B26="YES", H42, "")</f>
        <v/>
      </c>
      <c r="C36" s="217"/>
      <c r="D36" s="181" t="n">
        <f aca="false">H31</f>
        <v>29500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50672.8729687618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29500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(A40)/1.2</f>
        <v>24583.3333333333</v>
      </c>
      <c r="I40" s="234" t="n">
        <f aca="false">H39-I39</f>
        <v>-1795.3729687618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21711.0548931379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509" t="n">
        <v>100</v>
      </c>
      <c r="D45" s="509"/>
      <c r="E45" s="212"/>
      <c r="F45" s="63"/>
      <c r="G45" s="63" t="s">
        <v>370</v>
      </c>
      <c r="H45" s="234" t="n">
        <f aca="false">(H39-H44)</f>
        <v>27166.4451068621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1313.21255628002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1313.21255628002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1313.21255628002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4896.10625</v>
      </c>
      <c r="C64" s="211" t="n">
        <v>10000</v>
      </c>
      <c r="D64" s="290" t="n">
        <f aca="false">B64-A143</f>
        <v>4896.10625</v>
      </c>
      <c r="E64" s="465" t="n">
        <f aca="false">D64/(B58+B57)</f>
        <v>222.550284090909</v>
      </c>
      <c r="F64" s="63"/>
      <c r="G64" s="284" t="s">
        <v>93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93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820.0375</v>
      </c>
      <c r="C67" s="211"/>
      <c r="D67" s="290"/>
      <c r="E67" s="212"/>
      <c r="F67" s="63"/>
      <c r="G67" s="284" t="s">
        <v>96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96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102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102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355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476.666666666667</v>
      </c>
      <c r="C76" s="211"/>
      <c r="D76" s="290" t="n">
        <f aca="false">B76</f>
        <v>476.666666666667</v>
      </c>
      <c r="E76" s="212"/>
      <c r="F76" s="63"/>
      <c r="G76" s="284" t="s">
        <v>281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465" t="n">
        <f aca="false">(D73+D76+D79+D80)/(B58+B57)</f>
        <v>53.9393939393939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6749.43958333333</v>
      </c>
      <c r="C81" s="211"/>
      <c r="D81" s="211"/>
      <c r="E81" s="465"/>
      <c r="F81" s="63"/>
      <c r="G81" s="302" t="s">
        <v>105</v>
      </c>
      <c r="H81" s="303" t="n">
        <f aca="false">SUM(J64:J80)</f>
        <v>5706.35625</v>
      </c>
      <c r="I81" s="211"/>
      <c r="J81" s="211"/>
      <c r="K81" s="212"/>
      <c r="L81" s="63"/>
      <c r="M81" s="302" t="s">
        <v>105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306.792708333333</v>
      </c>
      <c r="C82" s="211"/>
      <c r="D82" s="211"/>
      <c r="E82" s="465"/>
      <c r="F82" s="63"/>
      <c r="G82" s="210" t="s">
        <v>106</v>
      </c>
      <c r="H82" s="299" t="n">
        <f aca="false">H81/H29</f>
        <v>259.379829545455</v>
      </c>
      <c r="I82" s="211"/>
      <c r="J82" s="211"/>
      <c r="K82" s="212"/>
      <c r="L82" s="63"/>
      <c r="M82" s="210" t="s">
        <v>106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1313.21255628002</v>
      </c>
      <c r="C83" s="211"/>
      <c r="D83" s="211"/>
      <c r="E83" s="465" t="n">
        <f aca="false">B83+E80+E77+E64</f>
        <v>1609.90425451234</v>
      </c>
      <c r="F83" s="63"/>
      <c r="G83" s="304" t="s">
        <v>107</v>
      </c>
      <c r="H83" s="305" t="n">
        <f aca="false">H47</f>
        <v>1313.21255628002</v>
      </c>
      <c r="I83" s="211"/>
      <c r="J83" s="211"/>
      <c r="K83" s="212"/>
      <c r="L83" s="63"/>
      <c r="M83" s="304" t="s">
        <v>107</v>
      </c>
      <c r="N83" s="305" t="n">
        <f aca="false">H47</f>
        <v>1313.21255628002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((B83*H29)+B81)*1.2</f>
        <v>42768.1389857925</v>
      </c>
      <c r="C85" s="211"/>
      <c r="D85" s="211"/>
      <c r="E85" s="465" t="n">
        <f aca="false">B85/(B58+B57)</f>
        <v>1944.00631753602</v>
      </c>
      <c r="F85" s="63"/>
      <c r="G85" s="287" t="s">
        <v>117</v>
      </c>
      <c r="H85" s="127" t="n">
        <f aca="false">((H83*H29)+H81)*1.2</f>
        <v>41516.4389857925</v>
      </c>
      <c r="I85" s="211"/>
      <c r="J85" s="211"/>
      <c r="K85" s="212"/>
      <c r="L85" s="63"/>
      <c r="M85" s="287" t="s">
        <v>117</v>
      </c>
      <c r="N85" s="127" t="n">
        <f aca="false">((N83*H29)+N81)</f>
        <v>34445.7824881604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((((B83*H29)+B81))/(1-B70))*B70</f>
        <v>301.913042457188</v>
      </c>
      <c r="C86" s="211"/>
      <c r="D86" s="211"/>
      <c r="E86" s="465" t="n">
        <f aca="false">B86/(B58+B57)</f>
        <v>13.7233201116904</v>
      </c>
      <c r="F86" s="63"/>
      <c r="G86" s="210" t="s">
        <v>118</v>
      </c>
      <c r="H86" s="299" t="n">
        <f aca="false">((((H83*H29)+H81))/(1-H70))*H70</f>
        <v>293.076919020318</v>
      </c>
      <c r="I86" s="211"/>
      <c r="J86" s="211"/>
      <c r="K86" s="212"/>
      <c r="L86" s="63"/>
      <c r="M86" s="210" t="s">
        <v>118</v>
      </c>
      <c r="N86" s="299" t="n">
        <f aca="false">(N85/(1-N70))*N70</f>
        <v>291.795656414429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IF(B110="YES",((B85+B86)-E114),(B85+B86))</f>
        <v>43070.0520282497</v>
      </c>
      <c r="C87" s="211"/>
      <c r="D87" s="211"/>
      <c r="E87" s="465" t="n">
        <f aca="false">E86+E85</f>
        <v>1957.72963764771</v>
      </c>
      <c r="F87" s="63"/>
      <c r="G87" s="284" t="s">
        <v>119</v>
      </c>
      <c r="H87" s="129" t="n">
        <f aca="false">IF(H110="YES",((H85+H86)-K114),(H85+H86))</f>
        <v>41809.5159048128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34737.5781445749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(D40+(D40*B105))/(B58), (D40+(D40*B105))/(B57+B58))*1.2*(C45/100)</f>
        <v>0</v>
      </c>
      <c r="C89" s="211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1957.72963764771</v>
      </c>
      <c r="C90" s="211"/>
      <c r="D90" s="211"/>
      <c r="E90" s="212"/>
      <c r="F90" s="63"/>
      <c r="G90" s="307" t="s">
        <v>121</v>
      </c>
      <c r="H90" s="308" t="n">
        <f aca="false">IF(H99=Y98, (H87-J105)/(H58), H87/(H57+H58))</f>
        <v>1548.50058906714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1286.57696831759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1957.72963764771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1548.50058906714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1286.57696831759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19</v>
      </c>
      <c r="B105" s="313" t="n">
        <v>0</v>
      </c>
      <c r="C105" s="313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292</v>
      </c>
      <c r="B108" s="213"/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19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((E118/1.2)+E117)-(D115-E113)</f>
        <v>-800.008333333333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1548.50058906714</v>
      </c>
      <c r="H127" s="174" t="n">
        <f aca="false">IF(G105="YES", H89*H57, 0)</f>
        <v>0</v>
      </c>
      <c r="I127" s="174"/>
      <c r="J127" s="333" t="n">
        <f aca="false">H91</f>
        <v>1548.50058906714</v>
      </c>
      <c r="K127" s="212"/>
      <c r="L127" s="63"/>
      <c r="M127" s="332" t="n">
        <f aca="false">N90</f>
        <v>1286.57696831759</v>
      </c>
      <c r="N127" s="174" t="n">
        <f aca="false">IF(M105="YES", N89*N57, 0)</f>
        <v>0</v>
      </c>
      <c r="O127" s="174"/>
      <c r="P127" s="174" t="n">
        <f aca="false">N91</f>
        <v>1286.57696831759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1957.72963764771</v>
      </c>
      <c r="B128" s="320" t="n">
        <f aca="false">IF(A105="YES", B89, 0)</f>
        <v>0</v>
      </c>
      <c r="C128" s="324"/>
      <c r="D128" s="320" t="n">
        <f aca="false">B91</f>
        <v>1957.72963764771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17619.5667388294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9291.00353440285</v>
      </c>
      <c r="H133" s="99" t="n">
        <f aca="false">IF(G105="YES", H89*H57, 0)</f>
        <v>0</v>
      </c>
      <c r="I133" s="217"/>
      <c r="J133" s="181" t="n">
        <f aca="false">H91*H57</f>
        <v>9291.00353440285</v>
      </c>
      <c r="K133" s="212"/>
      <c r="L133" s="63"/>
      <c r="M133" s="182" t="n">
        <f aca="false">N90*N57</f>
        <v>7719.46180990552</v>
      </c>
      <c r="N133" s="99" t="n">
        <f aca="false">IF(M105="YES", N89*N57, 0)</f>
        <v>0</v>
      </c>
      <c r="O133" s="217"/>
      <c r="P133" s="181" t="n">
        <f aca="false">N91*N57</f>
        <v>7719.46180990552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17619.5667388294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1957.72963764771</v>
      </c>
      <c r="B137" s="38" t="n">
        <f aca="false">IF(A105="YES", B89, 0)</f>
        <v>0</v>
      </c>
      <c r="C137" s="316"/>
      <c r="D137" s="38" t="n">
        <f aca="false">B91</f>
        <v>1957.72963764771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1320.02916666667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1548.50058906714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1286.57696831759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1957.72963764771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1957.72963764771</v>
      </c>
      <c r="B177" s="354" t="n">
        <f aca="false">IF(A105="YES", B89, 0)</f>
        <v>0</v>
      </c>
      <c r="C177" s="356"/>
      <c r="D177" s="354" t="n">
        <f aca="false">B91</f>
        <v>1957.72963764771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17619.5667388294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17619.5667388294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1957.72963764771</v>
      </c>
      <c r="B186" s="99" t="n">
        <f aca="false">IF(A105="YES", B89, 0)</f>
        <v>0</v>
      </c>
      <c r="C186" s="352"/>
      <c r="D186" s="99" t="n">
        <f aca="false">B91</f>
        <v>1957.72963764771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1320.02916666667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820.0375</v>
      </c>
      <c r="C211" s="319" t="s">
        <v>217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4416.06041666667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4896.10625</v>
      </c>
      <c r="C217" s="374" t="s">
        <v>221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820.0375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B197*E219*100</f>
        <v>40</v>
      </c>
      <c r="C221" s="335" t="s">
        <v>223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4416.06041666667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301.913042457188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46854.17</v>
      </c>
      <c r="C3" s="497" t="n">
        <v>0.0</v>
      </c>
      <c r="D3" s="262" t="n">
        <v>833.33</v>
      </c>
      <c r="E3" s="498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23125</v>
      </c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0</v>
      </c>
      <c r="C11" s="487"/>
      <c r="D11" s="487"/>
      <c r="E11" s="29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387</v>
      </c>
      <c r="C30" s="169"/>
      <c r="D30" s="211"/>
      <c r="E30" s="212"/>
      <c r="F30" s="63"/>
      <c r="G30" s="214" t="s">
        <v>32</v>
      </c>
      <c r="H30" s="456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28575.0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351</v>
      </c>
      <c r="E32" s="212"/>
      <c r="F32" s="63"/>
      <c r="G32" s="214" t="s">
        <v>36</v>
      </c>
      <c r="I32" s="448" t="n">
        <v>1030.0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1351.01255628002</v>
      </c>
      <c r="E33" s="212"/>
      <c r="F33" s="63"/>
      <c r="G33" s="215" t="s">
        <v>352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368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1313.21255628002</v>
      </c>
      <c r="B36" s="99" t="n">
        <f aca="false">IF(B26="YES", H42, "")</f>
        <v>37.8</v>
      </c>
      <c r="C36" s="217"/>
      <c r="D36" s="181" t="n">
        <f aca="false">H31</f>
        <v>29500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49890.90388072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29500</v>
      </c>
      <c r="B40" s="103" t="n">
        <f aca="false">IF(B26="YES",H42,"0")</f>
        <v>37.8</v>
      </c>
      <c r="C40" s="103"/>
      <c r="D40" s="181" t="n">
        <f aca="false">I32</f>
        <v>831.6</v>
      </c>
      <c r="E40" s="212"/>
      <c r="F40" s="63"/>
      <c r="G40" s="63" t="s">
        <v>109</v>
      </c>
      <c r="H40" s="234" t="n">
        <f aca="false">A40/1.2</f>
        <v>24583.3333333333</v>
      </c>
      <c r="I40" s="234" t="n">
        <f aca="false">H39-I39</f>
        <v>-1013.40388071995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37.8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62" t="s">
        <v>80</v>
      </c>
      <c r="D44" s="362"/>
      <c r="E44" s="212"/>
      <c r="F44" s="63"/>
      <c r="G44" s="63" t="s">
        <v>369</v>
      </c>
      <c r="H44" s="234" t="n">
        <f aca="false">(H40/(1+H41)^(H34+1))</f>
        <v>21711.0548931379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370</v>
      </c>
      <c r="H45" s="234" t="n">
        <f aca="false">(H39-H44)</f>
        <v>27166.4451068621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371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1313.21255628002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463" t="s">
        <v>366</v>
      </c>
      <c r="H48" s="234" t="n">
        <f aca="false">IF(B26="YES", H47+H42, H47)</f>
        <v>1351.01255628002</v>
      </c>
      <c r="I48" s="234" t="n">
        <f aca="false">I49-H42</f>
        <v>1362.2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1351.01255628002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291" t="s">
        <v>277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B62+(B62*0.25*((H29/12)-1))</f>
        <v>0.0845833333333333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278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4896.10625</v>
      </c>
      <c r="C64" s="464" t="n">
        <v>10000.0</v>
      </c>
      <c r="D64" s="290" t="n">
        <f aca="false">B64</f>
        <v>4896.10625</v>
      </c>
      <c r="E64" s="465" t="n">
        <f aca="false">D64/(B58+B57)</f>
        <v>222.550284090909</v>
      </c>
      <c r="F64" s="63"/>
      <c r="G64" s="284" t="s">
        <v>93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93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90"/>
      <c r="E65" s="212"/>
      <c r="F65" s="63"/>
      <c r="G65" s="291" t="s">
        <v>94</v>
      </c>
      <c r="H65" s="292" t="n">
        <v>0.01</v>
      </c>
      <c r="I65" s="211"/>
      <c r="J65" s="211"/>
      <c r="K65" s="212"/>
      <c r="L65" s="63"/>
      <c r="M65" s="291" t="s">
        <v>94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0.0141666666666667</v>
      </c>
      <c r="C66" s="466" t="s">
        <v>221</v>
      </c>
      <c r="D66" s="211"/>
      <c r="E66" s="212"/>
      <c r="F66" s="63"/>
      <c r="G66" s="210" t="s">
        <v>95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820.0375</v>
      </c>
      <c r="C67" s="467" t="s">
        <v>221</v>
      </c>
      <c r="D67" s="468"/>
      <c r="E67" s="212"/>
      <c r="F67" s="63"/>
      <c r="G67" s="284" t="s">
        <v>96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96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469"/>
      <c r="D68" s="290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291" t="s">
        <v>97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294" t="s">
        <v>98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284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200.0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291" t="s">
        <v>100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5.0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294" t="s">
        <v>101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110</v>
      </c>
      <c r="C73" s="211"/>
      <c r="D73" s="471" t="n">
        <f aca="false">B73+B71</f>
        <v>310</v>
      </c>
      <c r="E73" s="212" t="s">
        <v>227</v>
      </c>
      <c r="F73" s="63"/>
      <c r="G73" s="284" t="s">
        <v>102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102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165.0</v>
      </c>
      <c r="C74" s="211"/>
      <c r="D74" s="211"/>
      <c r="E74" s="212"/>
      <c r="F74" s="63"/>
      <c r="G74" s="291" t="s">
        <v>279</v>
      </c>
      <c r="H74" s="297" t="n">
        <v>165</v>
      </c>
      <c r="I74" s="211"/>
      <c r="J74" s="211"/>
      <c r="K74" s="212"/>
      <c r="L74" s="63"/>
      <c r="M74" s="430" t="s">
        <v>279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355.0</v>
      </c>
      <c r="C75" s="211"/>
      <c r="D75" s="211"/>
      <c r="E75" s="212"/>
      <c r="F75" s="63"/>
      <c r="G75" s="294" t="s">
        <v>280</v>
      </c>
      <c r="H75" s="298" t="n">
        <v>0</v>
      </c>
      <c r="I75" s="211"/>
      <c r="J75" s="211"/>
      <c r="K75" s="212"/>
      <c r="L75" s="63"/>
      <c r="M75" s="432" t="s">
        <v>280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476.666666666667</v>
      </c>
      <c r="C76" s="211"/>
      <c r="D76" s="290" t="n">
        <f aca="false">B76</f>
        <v>476.666666666667</v>
      </c>
      <c r="E76" s="212"/>
      <c r="F76" s="63"/>
      <c r="G76" s="284" t="s">
        <v>281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281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282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20.2020202020202</v>
      </c>
      <c r="F77" s="63"/>
      <c r="G77" s="291" t="s">
        <v>282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282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283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283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200.0</v>
      </c>
      <c r="C79" s="472"/>
      <c r="D79" s="290" t="n">
        <f aca="false">B79</f>
        <v>200</v>
      </c>
      <c r="E79" s="465"/>
      <c r="F79" s="63"/>
      <c r="G79" s="294" t="s">
        <v>103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103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200.0</v>
      </c>
      <c r="C80" s="472"/>
      <c r="D80" s="290" t="n">
        <f aca="false">B80</f>
        <v>200</v>
      </c>
      <c r="E80" s="465" t="n">
        <f aca="false">(D73+D76+D79+D80)/(B58+B57)</f>
        <v>53.9393939393939</v>
      </c>
      <c r="F80" s="63"/>
      <c r="G80" s="300" t="s">
        <v>104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104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6749.43958333333</v>
      </c>
      <c r="C81" s="472"/>
      <c r="D81" s="473"/>
      <c r="E81" s="465"/>
      <c r="F81" s="63"/>
      <c r="G81" s="302" t="s">
        <v>105</v>
      </c>
      <c r="H81" s="303" t="n">
        <f aca="false">SUM(J64:J80)</f>
        <v>5706.35625</v>
      </c>
      <c r="I81" s="211"/>
      <c r="J81" s="211"/>
      <c r="K81" s="212"/>
      <c r="L81" s="63"/>
      <c r="M81" s="302" t="s">
        <v>105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306.792708333333</v>
      </c>
      <c r="C82" s="472"/>
      <c r="D82" s="211"/>
      <c r="E82" s="465"/>
      <c r="F82" s="63"/>
      <c r="G82" s="210" t="s">
        <v>106</v>
      </c>
      <c r="H82" s="299" t="n">
        <f aca="false">H81/H29</f>
        <v>259.379829545455</v>
      </c>
      <c r="I82" s="211"/>
      <c r="J82" s="211"/>
      <c r="K82" s="212"/>
      <c r="L82" s="63"/>
      <c r="M82" s="210" t="s">
        <v>106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H47</f>
        <v>1313.21255628002</v>
      </c>
      <c r="C83" s="472"/>
      <c r="D83" s="211"/>
      <c r="E83" s="465" t="n">
        <f aca="false">B83+E80+E77+E64</f>
        <v>1609.90425451234</v>
      </c>
      <c r="F83" s="63"/>
      <c r="G83" s="304" t="s">
        <v>107</v>
      </c>
      <c r="H83" s="305" t="n">
        <f aca="false">H47</f>
        <v>1313.21255628002</v>
      </c>
      <c r="I83" s="211"/>
      <c r="J83" s="211"/>
      <c r="K83" s="212"/>
      <c r="L83" s="63"/>
      <c r="M83" s="304" t="s">
        <v>107</v>
      </c>
      <c r="N83" s="305" t="n">
        <f aca="false">H47</f>
        <v>1313.21255628002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((B83*H29)+B81)</f>
        <v>35640.1158214938</v>
      </c>
      <c r="C85" s="472"/>
      <c r="D85" s="472"/>
      <c r="E85" s="465" t="n">
        <f aca="false">B85/(B58+B57)</f>
        <v>1620.00526461335</v>
      </c>
      <c r="F85" s="63"/>
      <c r="G85" s="287" t="s">
        <v>117</v>
      </c>
      <c r="H85" s="127" t="n">
        <f aca="false">((H83*H29)+H81)*1.2</f>
        <v>41516.4389857925</v>
      </c>
      <c r="I85" s="211"/>
      <c r="J85" s="211"/>
      <c r="K85" s="212"/>
      <c r="L85" s="63"/>
      <c r="M85" s="287" t="s">
        <v>117</v>
      </c>
      <c r="N85" s="127" t="n">
        <f aca="false">((N83*H29)+N81)</f>
        <v>34445.7824881604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(((B83*H29)+B81)/(1-B70))*B70</f>
        <v>301.913042457188</v>
      </c>
      <c r="C86" s="472" t="s">
        <v>230</v>
      </c>
      <c r="D86" s="211"/>
      <c r="E86" s="465" t="n">
        <f aca="false">B86/(B58+B57)</f>
        <v>13.7233201116904</v>
      </c>
      <c r="F86" s="63"/>
      <c r="G86" s="210" t="s">
        <v>118</v>
      </c>
      <c r="H86" s="299" t="n">
        <f aca="false">((((H83*H29)+H81))/(1-H70))*H70</f>
        <v>293.076919020318</v>
      </c>
      <c r="I86" s="211"/>
      <c r="J86" s="211"/>
      <c r="K86" s="212"/>
      <c r="L86" s="63"/>
      <c r="M86" s="210" t="s">
        <v>118</v>
      </c>
      <c r="N86" s="299" t="n">
        <f aca="false">(N85/(1-N70))*N70</f>
        <v>291.795656414429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35942.028863951</v>
      </c>
      <c r="C87" s="472"/>
      <c r="D87" s="474"/>
      <c r="E87" s="465" t="n">
        <f aca="false">E86+E85</f>
        <v>1633.72858472504</v>
      </c>
      <c r="F87" s="63"/>
      <c r="G87" s="284" t="s">
        <v>119</v>
      </c>
      <c r="H87" s="129" t="n">
        <f aca="false">IF(H110="YES",((H85+H86)-K114),(H85+H86))</f>
        <v>41809.5159048128</v>
      </c>
      <c r="I87" s="211"/>
      <c r="J87" s="211"/>
      <c r="K87" s="212"/>
      <c r="L87" s="63"/>
      <c r="M87" s="284" t="s">
        <v>119</v>
      </c>
      <c r="N87" s="129" t="n">
        <f aca="false">IF(N110="YES",((N85+N86)-Q114),(N85+N86))</f>
        <v>34737.5781445749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3" t="n">
        <f aca="false">IF(B99=Y98, (I32+(I32*B105))/(B58), (I32+(I32*B105))/(B57+B58))*(C45/100)</f>
        <v>49.14</v>
      </c>
      <c r="C89" s="472"/>
      <c r="D89" s="211"/>
      <c r="E89" s="212"/>
      <c r="F89" s="63"/>
      <c r="G89" s="302" t="s">
        <v>120</v>
      </c>
      <c r="H89" s="303" t="n">
        <f aca="false">IF(H99=Y98, (D40+(D40*H105))/(H58), (D40+(D40*H105))/(H57+H58))*1.2</f>
        <v>44.352</v>
      </c>
      <c r="I89" s="211"/>
      <c r="J89" s="211"/>
      <c r="K89" s="212"/>
      <c r="L89" s="63"/>
      <c r="M89" s="302" t="s">
        <v>120</v>
      </c>
      <c r="N89" s="303" t="n">
        <f aca="false">IF(N99=Y98, (D40+(D40*N105))/(N58), (D40+(D40*N105))/(N57+N58))</f>
        <v>36.96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IF(B99=Y98, (B87-D105)/(B58), B87/(B57+B58))</f>
        <v>1633.72858472504</v>
      </c>
      <c r="C90" s="472"/>
      <c r="D90" s="211"/>
      <c r="E90" s="475"/>
      <c r="F90" s="63"/>
      <c r="G90" s="307" t="s">
        <v>121</v>
      </c>
      <c r="H90" s="308" t="n">
        <f aca="false">IF(H99=Y98, (H87-J105)/(H58), H87/(H57+H58))</f>
        <v>1548.50058906714</v>
      </c>
      <c r="I90" s="211"/>
      <c r="J90" s="211"/>
      <c r="K90" s="212"/>
      <c r="L90" s="63"/>
      <c r="M90" s="307" t="s">
        <v>121</v>
      </c>
      <c r="N90" s="308" t="n">
        <f aca="false">IF(N99=Y98, (N87-P105)/(N58), N87/(N57+N58))</f>
        <v>1286.57696831759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1682.86858472504</v>
      </c>
      <c r="C91" s="472"/>
      <c r="D91" s="476"/>
      <c r="E91" s="429"/>
      <c r="F91" s="63"/>
      <c r="G91" s="309" t="s">
        <v>122</v>
      </c>
      <c r="H91" s="310" t="n">
        <f aca="false">IF(G105="YES", H90+H89, H90)</f>
        <v>1592.85258906714</v>
      </c>
      <c r="I91" s="211"/>
      <c r="J91" s="211"/>
      <c r="K91" s="212"/>
      <c r="L91" s="63"/>
      <c r="M91" s="309" t="s">
        <v>122</v>
      </c>
      <c r="N91" s="310" t="n">
        <f aca="false">IF(M105="YES", N90+N89, N90)</f>
        <v>1323.53696831759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373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387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210" t="s">
        <v>128</v>
      </c>
      <c r="N98" s="211" t="s">
        <v>23</v>
      </c>
      <c r="O98" s="211"/>
      <c r="P98" s="211" t="s">
        <v>285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1000.0</v>
      </c>
      <c r="E99" s="103"/>
      <c r="F99" s="63"/>
      <c r="G99" s="216" t="s">
        <v>286</v>
      </c>
      <c r="H99" s="311" t="s">
        <v>262</v>
      </c>
      <c r="I99" s="311"/>
      <c r="J99" s="103" t="n">
        <v>0</v>
      </c>
      <c r="K99" s="103"/>
      <c r="L99" s="63"/>
      <c r="M99" s="216" t="s">
        <v>286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374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210" t="s">
        <v>288</v>
      </c>
      <c r="N101" s="211" t="s">
        <v>289</v>
      </c>
      <c r="O101" s="211"/>
      <c r="P101" s="211" t="s">
        <v>290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0.3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213" t="s">
        <v>292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293</v>
      </c>
      <c r="B110" s="218" t="s">
        <v>386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210" t="s">
        <v>293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0.0</v>
      </c>
      <c r="E112" s="103" t="n">
        <v>6000.0</v>
      </c>
      <c r="F112" s="63"/>
      <c r="G112" s="210" t="s">
        <v>177</v>
      </c>
      <c r="H112" s="211"/>
      <c r="I112" s="211"/>
      <c r="J112" s="312" t="n">
        <v>0</v>
      </c>
      <c r="K112" s="103" t="n">
        <v>0</v>
      </c>
      <c r="L112" s="63"/>
      <c r="M112" s="210" t="s">
        <v>177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287" t="s">
        <v>139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IF(B110="YES",((E118*1.2)+E117)-E114,((E118*1.2)+E117))</f>
        <v>1239.988</v>
      </c>
      <c r="F119" s="63"/>
      <c r="G119" s="314" t="s">
        <v>294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294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213" t="s">
        <v>295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0.0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298</v>
      </c>
      <c r="H126" s="327" t="s">
        <v>299</v>
      </c>
      <c r="I126" s="327"/>
      <c r="J126" s="327" t="s">
        <v>300</v>
      </c>
      <c r="K126" s="212"/>
      <c r="L126" s="63"/>
      <c r="M126" s="326" t="s">
        <v>342</v>
      </c>
      <c r="N126" s="327" t="s">
        <v>249</v>
      </c>
      <c r="O126" s="327"/>
      <c r="P126" s="327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332" t="n">
        <f aca="false">H90</f>
        <v>1548.50058906714</v>
      </c>
      <c r="H127" s="174" t="n">
        <f aca="false">IF(G105="YES", H89*H57, 0)</f>
        <v>266.112</v>
      </c>
      <c r="I127" s="174"/>
      <c r="J127" s="333" t="n">
        <f aca="false">H91</f>
        <v>1592.85258906714</v>
      </c>
      <c r="K127" s="212"/>
      <c r="L127" s="63"/>
      <c r="M127" s="332" t="n">
        <f aca="false">N90</f>
        <v>1286.57696831759</v>
      </c>
      <c r="N127" s="174" t="n">
        <f aca="false">IF(M105="YES", N89*N57, 0)</f>
        <v>221.76</v>
      </c>
      <c r="O127" s="174"/>
      <c r="P127" s="174" t="n">
        <f aca="false">N91</f>
        <v>1323.53696831759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1633.72858472504</v>
      </c>
      <c r="B128" s="320" t="n">
        <f aca="false">IF(A105="YES", B89, 0)</f>
        <v>49.14</v>
      </c>
      <c r="C128" s="324"/>
      <c r="D128" s="320" t="n">
        <f aca="false">B91</f>
        <v>1682.86858472504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14703.5572625254</v>
      </c>
      <c r="C131" s="316"/>
      <c r="D131" s="38" t="n">
        <f aca="false">IF(A105="YES", B89*B57, 0)</f>
        <v>442.26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210" t="s">
        <v>343</v>
      </c>
      <c r="N132" s="211" t="s">
        <v>240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9291.00353440285</v>
      </c>
      <c r="H133" s="99" t="n">
        <f aca="false">IF(G105="YES", H89*H57, 0)</f>
        <v>266.112</v>
      </c>
      <c r="I133" s="217"/>
      <c r="J133" s="181" t="n">
        <f aca="false">H91*H57</f>
        <v>9557.11553440285</v>
      </c>
      <c r="K133" s="212"/>
      <c r="L133" s="63"/>
      <c r="M133" s="182" t="n">
        <f aca="false">N90*N57</f>
        <v>7719.46180990552</v>
      </c>
      <c r="N133" s="99" t="n">
        <f aca="false">IF(M105="YES", N89*N57, 0)</f>
        <v>221.76</v>
      </c>
      <c r="O133" s="217"/>
      <c r="P133" s="181" t="n">
        <f aca="false">N91*N57</f>
        <v>7941.22180990552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15145.8172625254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1633.72858472504</v>
      </c>
      <c r="B137" s="38" t="n">
        <f aca="false">IF(A105="YES", B89, 0)</f>
        <v>49.14</v>
      </c>
      <c r="C137" s="316"/>
      <c r="D137" s="38" t="n">
        <f aca="false">B91</f>
        <v>1682.86858472504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210" t="s">
        <v>142</v>
      </c>
      <c r="N138" s="211" t="s">
        <v>312</v>
      </c>
      <c r="O138" s="211"/>
      <c r="P138" s="211" t="s">
        <v>313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210" t="s">
        <v>315</v>
      </c>
      <c r="N141" s="211" t="s">
        <v>316</v>
      </c>
      <c r="O141" s="211"/>
      <c r="P141" s="211" t="s">
        <v>317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((B36*H105)*0.1)*(G130), 0)</f>
        <v>16.632</v>
      </c>
      <c r="H142" s="99" t="n">
        <f aca="false">G102-100</f>
        <v>99.99</v>
      </c>
      <c r="I142" s="99"/>
      <c r="J142" s="99" t="n">
        <f aca="false">(H139+J139+G142+H142)-H145</f>
        <v>799.986583333333</v>
      </c>
      <c r="K142" s="101"/>
      <c r="L142" s="63"/>
      <c r="M142" s="107" t="n">
        <f aca="false">IF(M105="YES", ((B36*N105)*0.1)*(M130), 0)</f>
        <v>16.632</v>
      </c>
      <c r="N142" s="99" t="n">
        <f aca="false">M102-100</f>
        <v>99.99</v>
      </c>
      <c r="O142" s="99"/>
      <c r="P142" s="99" t="n">
        <f aca="false">(N139+P139+M142+N142)-N145</f>
        <v>799.986583333333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210" t="s">
        <v>319</v>
      </c>
      <c r="N144" s="211" t="s">
        <v>320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99" t="n">
        <f aca="false">B102</f>
        <v>400</v>
      </c>
      <c r="C148" s="38"/>
      <c r="D148" s="38" t="n">
        <f aca="false">IF(A105="YES", (B40*B105)*B125, 0)*0.1</f>
        <v>24.948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1344.9755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325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1592.85258906714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1323.53696831759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1682.86858472504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295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128</v>
      </c>
      <c r="B173" s="353" t="s">
        <v>39</v>
      </c>
      <c r="C173" s="354"/>
      <c r="D173" s="353" t="s">
        <v>86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286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386" t="s">
        <v>375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121</v>
      </c>
      <c r="B176" s="353" t="s">
        <v>296</v>
      </c>
      <c r="C176" s="354"/>
      <c r="D176" s="353" t="s">
        <v>297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1633.72858472504</v>
      </c>
      <c r="B177" s="354" t="n">
        <f aca="false">IF(A105="YES", B89, 0)</f>
        <v>49.14</v>
      </c>
      <c r="C177" s="356"/>
      <c r="D177" s="354" t="n">
        <f aca="false">B91</f>
        <v>1682.86858472504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301</v>
      </c>
      <c r="C179" s="226"/>
      <c r="D179" s="358" t="s">
        <v>302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14703.5572625254</v>
      </c>
      <c r="C180" s="352"/>
      <c r="D180" s="99" t="n">
        <f aca="false">IF(A105="YES", B89*B57, 0)</f>
        <v>442.26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306</v>
      </c>
      <c r="B182" s="163" t="s">
        <v>307</v>
      </c>
      <c r="C182" s="359"/>
      <c r="D182" s="237" t="s">
        <v>206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15145.8172625254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62" t="s">
        <v>296</v>
      </c>
      <c r="C185" s="352"/>
      <c r="D185" s="352" t="s">
        <v>297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1633.72858472504</v>
      </c>
      <c r="B186" s="99" t="n">
        <f aca="false">IF(A105="YES", B89, 0)</f>
        <v>49.14</v>
      </c>
      <c r="C186" s="352"/>
      <c r="D186" s="99" t="n">
        <f aca="false">B91</f>
        <v>1682.86858472504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69</v>
      </c>
      <c r="B188" s="363" t="s">
        <v>314</v>
      </c>
      <c r="C188" s="99"/>
      <c r="D188" s="363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318</v>
      </c>
      <c r="B191" s="363" t="s">
        <v>53</v>
      </c>
      <c r="C191" s="99"/>
      <c r="D191" s="363" t="s">
        <v>282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321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322</v>
      </c>
      <c r="B196" s="352" t="s">
        <v>323</v>
      </c>
      <c r="C196" s="352"/>
      <c r="D196" s="352" t="s">
        <v>324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24.948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326</v>
      </c>
      <c r="B199" s="352" t="s">
        <v>320</v>
      </c>
      <c r="C199" s="352"/>
      <c r="D199" s="352" t="s">
        <v>317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1344.9755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327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212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213</v>
      </c>
      <c r="B209" s="368" t="n">
        <f aca="false">H35</f>
        <v>0.065</v>
      </c>
      <c r="C209" s="320" t="s">
        <v>215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216</v>
      </c>
      <c r="B211" s="320" t="n">
        <f aca="false">B219</f>
        <v>820.0375</v>
      </c>
      <c r="C211" s="319" t="s">
        <v>217</v>
      </c>
      <c r="D211" s="369" t="n">
        <f aca="false">B225+E221+B221+B223</f>
        <v>589.47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218</v>
      </c>
      <c r="B213" s="320" t="n">
        <f aca="false">E223</f>
        <v>4665.53875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215</v>
      </c>
      <c r="B217" s="100" t="n">
        <f aca="false">D64</f>
        <v>4896.10625</v>
      </c>
      <c r="C217" s="374" t="s">
        <v>221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820.0375</v>
      </c>
      <c r="C219" s="335" t="s">
        <v>328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328</v>
      </c>
      <c r="B221" s="237" t="n">
        <f aca="false">(B77-(B77*(E219*100)))*0.1</f>
        <v>40</v>
      </c>
      <c r="C221" s="335" t="s">
        <v>223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329</v>
      </c>
      <c r="B223" s="237" t="n">
        <f aca="false">B78-(B78*(E219*100))</f>
        <v>200</v>
      </c>
      <c r="C223" s="335" t="s">
        <v>218</v>
      </c>
      <c r="D223" s="316"/>
      <c r="E223" s="33" t="n">
        <f aca="false">(B217-B211+D211)</f>
        <v>4665.53875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330</v>
      </c>
      <c r="B225" s="340" t="n">
        <f aca="false">D197/0.1</f>
        <v>249.48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331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225</v>
      </c>
      <c r="B229" s="100" t="n">
        <f aca="false">B71</f>
        <v>200</v>
      </c>
      <c r="C229" s="335" t="s">
        <v>226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227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228</v>
      </c>
      <c r="B231" s="380" t="n">
        <f aca="false">B68</f>
        <v>0.0075</v>
      </c>
      <c r="C231" s="335" t="s">
        <v>229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230</v>
      </c>
      <c r="D232" s="342"/>
      <c r="E232" s="33" t="n">
        <f aca="false">B86</f>
        <v>301.913042457188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231</v>
      </c>
      <c r="B233" s="100" t="n">
        <f aca="false">B79</f>
        <v>200</v>
      </c>
      <c r="C233" s="381" t="s">
        <v>332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85" t="s">
        <v>333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75" zoomScaleNormal="7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242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254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385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274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84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1"/>
      <c r="D68" s="211"/>
      <c r="E68" s="212"/>
      <c r="F68" s="63"/>
      <c r="G68" s="291" t="s">
        <v>277</v>
      </c>
      <c r="H68" s="292" t="n">
        <v>0.07</v>
      </c>
      <c r="I68" s="211"/>
      <c r="J68" s="211"/>
      <c r="K68" s="212"/>
      <c r="L68" s="63"/>
      <c r="M68" s="291" t="s">
        <v>277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278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278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278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93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93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93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94</v>
      </c>
      <c r="B71" s="292" t="n">
        <v>0.01</v>
      </c>
      <c r="C71" s="211"/>
      <c r="D71" s="211"/>
      <c r="E71" s="212"/>
      <c r="F71" s="63"/>
      <c r="G71" s="291" t="s">
        <v>94</v>
      </c>
      <c r="H71" s="292" t="n">
        <v>0.005</v>
      </c>
      <c r="I71" s="211"/>
      <c r="J71" s="211"/>
      <c r="K71" s="212"/>
      <c r="L71" s="63"/>
      <c r="M71" s="291" t="s">
        <v>94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96</v>
      </c>
      <c r="B73" s="129" t="n">
        <f aca="false">B67*B72</f>
        <v>578.85</v>
      </c>
      <c r="C73" s="211"/>
      <c r="D73" s="290"/>
      <c r="E73" s="212"/>
      <c r="F73" s="63"/>
      <c r="G73" s="284" t="s">
        <v>96</v>
      </c>
      <c r="H73" s="129" t="n">
        <f aca="false">H67*H72</f>
        <v>289.425</v>
      </c>
      <c r="I73" s="211"/>
      <c r="J73" s="290"/>
      <c r="K73" s="212"/>
      <c r="L73" s="63"/>
      <c r="M73" s="284" t="s">
        <v>96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97</v>
      </c>
      <c r="B74" s="292" t="n">
        <v>0.0075</v>
      </c>
      <c r="C74" s="211"/>
      <c r="D74" s="211"/>
      <c r="E74" s="212"/>
      <c r="F74" s="63"/>
      <c r="G74" s="291" t="s">
        <v>97</v>
      </c>
      <c r="H74" s="292" t="n">
        <v>0.0075</v>
      </c>
      <c r="I74" s="211"/>
      <c r="J74" s="211"/>
      <c r="K74" s="212"/>
      <c r="L74" s="63"/>
      <c r="M74" s="291" t="s">
        <v>97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98</v>
      </c>
      <c r="B75" s="295" t="n">
        <v>0.12</v>
      </c>
      <c r="C75" s="211"/>
      <c r="D75" s="211"/>
      <c r="E75" s="212"/>
      <c r="F75" s="63"/>
      <c r="G75" s="294" t="s">
        <v>98</v>
      </c>
      <c r="H75" s="295" t="n">
        <v>0.12</v>
      </c>
      <c r="I75" s="211"/>
      <c r="J75" s="211"/>
      <c r="K75" s="212"/>
      <c r="L75" s="63"/>
      <c r="M75" s="294" t="s">
        <v>98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99</v>
      </c>
      <c r="B76" s="296" t="n">
        <f aca="false">B74*(1+B75)</f>
        <v>0.0084</v>
      </c>
      <c r="C76" s="211"/>
      <c r="D76" s="211"/>
      <c r="E76" s="212"/>
      <c r="F76" s="63"/>
      <c r="G76" s="284" t="s">
        <v>99</v>
      </c>
      <c r="H76" s="296" t="n">
        <f aca="false">H74*(1+H75)</f>
        <v>0.0084</v>
      </c>
      <c r="I76" s="211"/>
      <c r="J76" s="211"/>
      <c r="K76" s="212"/>
      <c r="L76" s="63"/>
      <c r="M76" s="284" t="s">
        <v>99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100</v>
      </c>
      <c r="B77" s="297" t="n">
        <v>200</v>
      </c>
      <c r="C77" s="211"/>
      <c r="D77" s="211"/>
      <c r="E77" s="212"/>
      <c r="F77" s="63"/>
      <c r="G77" s="291" t="s">
        <v>100</v>
      </c>
      <c r="H77" s="297" t="n">
        <v>160</v>
      </c>
      <c r="I77" s="211"/>
      <c r="J77" s="211"/>
      <c r="K77" s="212"/>
      <c r="L77" s="63"/>
      <c r="M77" s="291" t="s">
        <v>100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101</v>
      </c>
      <c r="B78" s="298" t="n">
        <v>5</v>
      </c>
      <c r="C78" s="211"/>
      <c r="D78" s="211"/>
      <c r="E78" s="212"/>
      <c r="F78" s="63"/>
      <c r="G78" s="294" t="s">
        <v>101</v>
      </c>
      <c r="H78" s="298" t="n">
        <v>4.5</v>
      </c>
      <c r="I78" s="211"/>
      <c r="J78" s="211"/>
      <c r="K78" s="212"/>
      <c r="L78" s="63"/>
      <c r="M78" s="294" t="s">
        <v>101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102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102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102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279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279</v>
      </c>
      <c r="H80" s="297" t="n">
        <v>150</v>
      </c>
      <c r="I80" s="211"/>
      <c r="J80" s="211"/>
      <c r="K80" s="212"/>
      <c r="L80" s="63"/>
      <c r="M80" s="430" t="s">
        <v>279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280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280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280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281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281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281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282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282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282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283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283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103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103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103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104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104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104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105</v>
      </c>
      <c r="B87" s="303" t="n">
        <f aca="false">SUM(D70:D86)</f>
        <v>4711.95</v>
      </c>
      <c r="C87" s="211"/>
      <c r="D87" s="211"/>
      <c r="E87" s="212"/>
      <c r="F87" s="63"/>
      <c r="G87" s="302" t="s">
        <v>105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105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299" t="n">
        <f aca="false">B87/H29</f>
        <v>392.6625</v>
      </c>
      <c r="C88" s="211"/>
      <c r="D88" s="211"/>
      <c r="E88" s="212"/>
      <c r="F88" s="63"/>
      <c r="G88" s="210" t="s">
        <v>106</v>
      </c>
      <c r="H88" s="299" t="n">
        <f aca="false">H87/H29</f>
        <v>600.461111111111</v>
      </c>
      <c r="I88" s="211"/>
      <c r="J88" s="211"/>
      <c r="K88" s="212"/>
      <c r="L88" s="63"/>
      <c r="M88" s="210" t="s">
        <v>106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107</v>
      </c>
      <c r="B89" s="305" t="n">
        <f aca="false">H46</f>
        <v>501</v>
      </c>
      <c r="C89" s="211"/>
      <c r="D89" s="211"/>
      <c r="E89" s="212"/>
      <c r="F89" s="63"/>
      <c r="G89" s="304" t="s">
        <v>107</v>
      </c>
      <c r="H89" s="305" t="n">
        <f aca="false">H46</f>
        <v>501</v>
      </c>
      <c r="I89" s="211"/>
      <c r="J89" s="211"/>
      <c r="K89" s="212"/>
      <c r="L89" s="63"/>
      <c r="M89" s="304" t="s">
        <v>107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117</v>
      </c>
      <c r="B91" s="127" t="n">
        <f aca="false">((B89*H29)+B87)</f>
        <v>10723.95</v>
      </c>
      <c r="C91" s="211"/>
      <c r="D91" s="211"/>
      <c r="E91" s="212"/>
      <c r="F91" s="63"/>
      <c r="G91" s="287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118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119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120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120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120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121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121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121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122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122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122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334</v>
      </c>
      <c r="B100" s="209"/>
      <c r="C100" s="209"/>
      <c r="D100" s="209"/>
      <c r="E100" s="209"/>
      <c r="F100" s="63"/>
      <c r="G100" s="209" t="s">
        <v>284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285</v>
      </c>
      <c r="E104" s="212"/>
      <c r="F104" s="63"/>
      <c r="G104" s="210" t="s">
        <v>128</v>
      </c>
      <c r="H104" s="211" t="s">
        <v>23</v>
      </c>
      <c r="I104" s="211"/>
      <c r="J104" s="211" t="s">
        <v>285</v>
      </c>
      <c r="K104" s="212"/>
      <c r="L104" s="63"/>
      <c r="M104" s="210" t="s">
        <v>128</v>
      </c>
      <c r="N104" s="211" t="s">
        <v>23</v>
      </c>
      <c r="O104" s="211"/>
      <c r="P104" s="211" t="s">
        <v>285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 t="s">
        <v>286</v>
      </c>
      <c r="B105" s="311" t="s">
        <v>265</v>
      </c>
      <c r="C105" s="311"/>
      <c r="D105" s="420" t="n">
        <v>0</v>
      </c>
      <c r="E105" s="420"/>
      <c r="F105" s="63"/>
      <c r="G105" s="216" t="s">
        <v>286</v>
      </c>
      <c r="H105" s="311" t="s">
        <v>266</v>
      </c>
      <c r="I105" s="311"/>
      <c r="J105" s="420" t="n">
        <v>5000</v>
      </c>
      <c r="K105" s="420"/>
      <c r="L105" s="63"/>
      <c r="M105" s="216" t="s">
        <v>286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288</v>
      </c>
      <c r="B107" s="211" t="s">
        <v>289</v>
      </c>
      <c r="C107" s="211"/>
      <c r="D107" s="211" t="s">
        <v>290</v>
      </c>
      <c r="E107" s="212"/>
      <c r="F107" s="63"/>
      <c r="G107" s="210" t="s">
        <v>288</v>
      </c>
      <c r="H107" s="211" t="s">
        <v>289</v>
      </c>
      <c r="I107" s="211"/>
      <c r="J107" s="211" t="s">
        <v>290</v>
      </c>
      <c r="K107" s="212"/>
      <c r="L107" s="63"/>
      <c r="M107" s="210" t="s">
        <v>288</v>
      </c>
      <c r="N107" s="211" t="s">
        <v>289</v>
      </c>
      <c r="O107" s="211"/>
      <c r="P107" s="211" t="s">
        <v>290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292</v>
      </c>
      <c r="B114" s="213"/>
      <c r="C114" s="213"/>
      <c r="D114" s="213"/>
      <c r="E114" s="213"/>
      <c r="F114" s="63"/>
      <c r="G114" s="213" t="s">
        <v>292</v>
      </c>
      <c r="H114" s="213"/>
      <c r="I114" s="213"/>
      <c r="J114" s="213"/>
      <c r="K114" s="213"/>
      <c r="L114" s="63"/>
      <c r="M114" s="213" t="s">
        <v>292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293</v>
      </c>
      <c r="B116" s="218" t="s">
        <v>19</v>
      </c>
      <c r="C116" s="211"/>
      <c r="D116" s="211"/>
      <c r="E116" s="212"/>
      <c r="F116" s="63"/>
      <c r="G116" s="210" t="s">
        <v>293</v>
      </c>
      <c r="H116" s="218" t="s">
        <v>18</v>
      </c>
      <c r="I116" s="211"/>
      <c r="J116" s="211"/>
      <c r="K116" s="212"/>
      <c r="L116" s="63"/>
      <c r="M116" s="210" t="s">
        <v>293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12" t="n">
        <v>0</v>
      </c>
      <c r="E118" s="103" t="n">
        <v>0</v>
      </c>
      <c r="F118" s="63"/>
      <c r="G118" s="210" t="s">
        <v>177</v>
      </c>
      <c r="H118" s="211"/>
      <c r="I118" s="211"/>
      <c r="J118" s="312" t="n">
        <v>10000</v>
      </c>
      <c r="K118" s="103" t="n">
        <v>5000</v>
      </c>
      <c r="L118" s="63"/>
      <c r="M118" s="210" t="s">
        <v>177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139</v>
      </c>
      <c r="B123" s="288"/>
      <c r="C123" s="288"/>
      <c r="D123" s="288"/>
      <c r="E123" s="127" t="n">
        <f aca="false">D105</f>
        <v>0</v>
      </c>
      <c r="F123" s="63"/>
      <c r="G123" s="287" t="s">
        <v>139</v>
      </c>
      <c r="H123" s="288"/>
      <c r="I123" s="288"/>
      <c r="J123" s="288"/>
      <c r="K123" s="127" t="n">
        <f aca="false">J105</f>
        <v>5000</v>
      </c>
      <c r="L123" s="63"/>
      <c r="M123" s="287" t="s">
        <v>139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294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294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294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295</v>
      </c>
      <c r="B128" s="213"/>
      <c r="C128" s="213"/>
      <c r="D128" s="213"/>
      <c r="E128" s="213"/>
      <c r="F128" s="63"/>
      <c r="G128" s="213" t="s">
        <v>295</v>
      </c>
      <c r="H128" s="213"/>
      <c r="I128" s="213"/>
      <c r="J128" s="213"/>
      <c r="K128" s="213"/>
      <c r="L128" s="63"/>
      <c r="M128" s="213" t="s">
        <v>295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184</v>
      </c>
      <c r="B130" s="169" t="n">
        <v>1200</v>
      </c>
      <c r="C130" s="169"/>
      <c r="D130" s="211"/>
      <c r="E130" s="212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85</v>
      </c>
      <c r="B132" s="211" t="s">
        <v>86</v>
      </c>
      <c r="C132" s="211"/>
      <c r="D132" s="211" t="s">
        <v>88</v>
      </c>
      <c r="E132" s="212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249</v>
      </c>
      <c r="C135" s="327"/>
      <c r="D135" s="327" t="s">
        <v>122</v>
      </c>
      <c r="E135" s="212"/>
      <c r="F135" s="63"/>
      <c r="G135" s="326" t="s">
        <v>298</v>
      </c>
      <c r="H135" s="327" t="s">
        <v>299</v>
      </c>
      <c r="I135" s="327"/>
      <c r="J135" s="327" t="s">
        <v>300</v>
      </c>
      <c r="K135" s="212"/>
      <c r="L135" s="63"/>
      <c r="M135" s="326" t="s">
        <v>342</v>
      </c>
      <c r="N135" s="327" t="s">
        <v>249</v>
      </c>
      <c r="O135" s="327"/>
      <c r="P135" s="327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240</v>
      </c>
      <c r="C138" s="211"/>
      <c r="D138" s="211" t="s">
        <v>243</v>
      </c>
      <c r="E138" s="212"/>
      <c r="F138" s="63"/>
      <c r="G138" s="210" t="s">
        <v>303</v>
      </c>
      <c r="H138" s="211" t="s">
        <v>304</v>
      </c>
      <c r="I138" s="211"/>
      <c r="J138" s="211" t="s">
        <v>305</v>
      </c>
      <c r="K138" s="212"/>
      <c r="L138" s="63"/>
      <c r="M138" s="210" t="s">
        <v>343</v>
      </c>
      <c r="N138" s="211" t="s">
        <v>240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251</v>
      </c>
      <c r="B141" s="211" t="s">
        <v>252</v>
      </c>
      <c r="C141" s="211"/>
      <c r="D141" s="211" t="s">
        <v>256</v>
      </c>
      <c r="E141" s="212"/>
      <c r="F141" s="63"/>
      <c r="G141" s="210" t="s">
        <v>308</v>
      </c>
      <c r="H141" s="211" t="s">
        <v>309</v>
      </c>
      <c r="I141" s="211"/>
      <c r="J141" s="211" t="s">
        <v>310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142</v>
      </c>
      <c r="B144" s="211" t="s">
        <v>312</v>
      </c>
      <c r="C144" s="211"/>
      <c r="D144" s="211" t="s">
        <v>313</v>
      </c>
      <c r="E144" s="212"/>
      <c r="F144" s="63"/>
      <c r="G144" s="210" t="s">
        <v>311</v>
      </c>
      <c r="H144" s="211" t="s">
        <v>312</v>
      </c>
      <c r="I144" s="211"/>
      <c r="J144" s="211" t="s">
        <v>313</v>
      </c>
      <c r="K144" s="212"/>
      <c r="L144" s="63"/>
      <c r="M144" s="210" t="s">
        <v>142</v>
      </c>
      <c r="N144" s="211" t="s">
        <v>312</v>
      </c>
      <c r="O144" s="211"/>
      <c r="P144" s="211" t="s">
        <v>313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315</v>
      </c>
      <c r="B147" s="211" t="s">
        <v>316</v>
      </c>
      <c r="C147" s="211"/>
      <c r="D147" s="211" t="s">
        <v>317</v>
      </c>
      <c r="E147" s="212"/>
      <c r="F147" s="63"/>
      <c r="G147" s="210" t="s">
        <v>315</v>
      </c>
      <c r="H147" s="211" t="s">
        <v>316</v>
      </c>
      <c r="I147" s="211"/>
      <c r="J147" s="211" t="s">
        <v>317</v>
      </c>
      <c r="K147" s="212"/>
      <c r="L147" s="63"/>
      <c r="M147" s="210" t="s">
        <v>315</v>
      </c>
      <c r="N147" s="211" t="s">
        <v>316</v>
      </c>
      <c r="O147" s="211"/>
      <c r="P147" s="211" t="s">
        <v>317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319</v>
      </c>
      <c r="B150" s="211" t="s">
        <v>320</v>
      </c>
      <c r="C150" s="211"/>
      <c r="D150" s="211"/>
      <c r="E150" s="212"/>
      <c r="F150" s="63"/>
      <c r="G150" s="210" t="s">
        <v>319</v>
      </c>
      <c r="H150" s="211" t="s">
        <v>320</v>
      </c>
      <c r="I150" s="211"/>
      <c r="J150" s="211"/>
      <c r="K150" s="212"/>
      <c r="L150" s="63"/>
      <c r="M150" s="210" t="s">
        <v>319</v>
      </c>
      <c r="N150" s="211" t="s">
        <v>320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325</v>
      </c>
      <c r="B154" s="211"/>
      <c r="C154" s="211"/>
      <c r="D154" s="281"/>
      <c r="E154" s="282"/>
      <c r="F154" s="63"/>
      <c r="G154" s="280" t="s">
        <v>325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85</v>
      </c>
      <c r="B156" s="247" t="s">
        <v>86</v>
      </c>
      <c r="C156" s="247"/>
      <c r="D156" s="211"/>
      <c r="E156" s="212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325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D148" activeCellId="0" sqref="D14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510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93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578.85</v>
      </c>
      <c r="C67" s="211"/>
      <c r="D67" s="290"/>
      <c r="E67" s="212"/>
      <c r="F67" s="63"/>
      <c r="G67" s="284" t="s">
        <v>96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280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105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448.218055555556</v>
      </c>
      <c r="C82" s="211"/>
      <c r="D82" s="211"/>
      <c r="E82" s="212"/>
      <c r="F82" s="63"/>
      <c r="G82" s="210" t="s">
        <v>106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((B83*(H29)+B81))*1.2</f>
        <v>13668.74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(((B83*(H29))+B81)/(1-B70))*B70</f>
        <v>96.4917103670835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9765.23171036708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120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813.769309197257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813.769309197257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131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/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18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813.769309197257</v>
      </c>
      <c r="B128" s="320" t="n">
        <f aca="false">IF(A105="YES", B89, 0)</f>
        <v>0</v>
      </c>
      <c r="C128" s="325"/>
      <c r="D128" s="320" t="n">
        <f aca="false">B91</f>
        <v>813.769309197257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813.769309197257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813.769309197257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813.769309197257</v>
      </c>
      <c r="B137" s="38" t="n">
        <f aca="false">IF(A105="YES", B89, 0)</f>
        <v>0</v>
      </c>
      <c r="C137" s="316"/>
      <c r="D137" s="38" t="n">
        <f aca="false">B91</f>
        <v>813.769309197257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813.769309197257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813.769309197257</v>
      </c>
      <c r="B171" s="354" t="n">
        <f aca="false">IF(A105="YES", B89, 0)</f>
        <v>0</v>
      </c>
      <c r="C171" s="357"/>
      <c r="D171" s="354" t="n">
        <f aca="false">B91</f>
        <v>813.769309197257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Monthly in advance </v>
      </c>
      <c r="B174" s="99" t="n">
        <f aca="false">B90*B57</f>
        <v>813.769309197257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813.769309197257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813.769309197257</v>
      </c>
      <c r="B180" s="99" t="n">
        <f aca="false">IF(A105="YES", B89, 0)</f>
        <v>0</v>
      </c>
      <c r="C180" s="352"/>
      <c r="D180" s="99" t="n">
        <f aca="false">B91</f>
        <v>813.769309197257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B209</f>
        <v>0.065</v>
      </c>
      <c r="C203" s="320" t="s">
        <v>215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578.85</v>
      </c>
      <c r="C205" s="319" t="s">
        <v>217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4051.95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9" colorId="64" zoomScale="75" zoomScaleNormal="75" zoomScalePageLayoutView="100" workbookViewId="0">
      <selection pane="topLeft" activeCell="B216" activeCellId="0" sqref="B21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378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172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235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236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237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238</v>
      </c>
      <c r="B29" s="219" t="n">
        <v>12345</v>
      </c>
      <c r="C29" s="219"/>
      <c r="D29" s="220" t="n">
        <f aca="true">TODAY()+1</f>
        <v>45034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239</v>
      </c>
      <c r="C31" s="211"/>
      <c r="D31" s="217" t="s">
        <v>240</v>
      </c>
      <c r="E31" s="212"/>
      <c r="F31" s="63"/>
      <c r="G31" s="214" t="s">
        <v>241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242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122</v>
      </c>
      <c r="C40" s="226"/>
      <c r="D40" s="181" t="s">
        <v>142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274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84</v>
      </c>
      <c r="B48" s="211"/>
      <c r="C48" s="211"/>
      <c r="D48" s="281"/>
      <c r="E48" s="282"/>
      <c r="F48" s="63"/>
      <c r="G48" s="63"/>
      <c r="H48" s="234" t="n">
        <f aca="false">(A41*(B58+B57))</f>
        <v>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275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1"/>
      <c r="D62" s="211"/>
      <c r="E62" s="212"/>
      <c r="F62" s="63"/>
      <c r="G62" s="291" t="s">
        <v>277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278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278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93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93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94</v>
      </c>
      <c r="B65" s="292" t="n">
        <v>0.01</v>
      </c>
      <c r="C65" s="211"/>
      <c r="D65" s="211"/>
      <c r="E65" s="212"/>
      <c r="F65" s="63"/>
      <c r="G65" s="291" t="s">
        <v>94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96</v>
      </c>
      <c r="B67" s="129" t="n">
        <f aca="false">B61*B66</f>
        <v>578.85</v>
      </c>
      <c r="C67" s="211"/>
      <c r="D67" s="290"/>
      <c r="E67" s="212"/>
      <c r="F67" s="63"/>
      <c r="G67" s="284" t="s">
        <v>96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97</v>
      </c>
      <c r="B68" s="292" t="n">
        <v>0.0075</v>
      </c>
      <c r="C68" s="211"/>
      <c r="D68" s="211"/>
      <c r="E68" s="212"/>
      <c r="F68" s="63"/>
      <c r="G68" s="291" t="s">
        <v>97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98</v>
      </c>
      <c r="B69" s="295" t="n">
        <v>0.12</v>
      </c>
      <c r="C69" s="211"/>
      <c r="D69" s="211"/>
      <c r="E69" s="212"/>
      <c r="F69" s="63"/>
      <c r="G69" s="294" t="s">
        <v>98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99</v>
      </c>
      <c r="B70" s="296" t="n">
        <f aca="false">B68*(1+B69)</f>
        <v>0.0084</v>
      </c>
      <c r="C70" s="211"/>
      <c r="D70" s="211"/>
      <c r="E70" s="212"/>
      <c r="F70" s="63"/>
      <c r="G70" s="284" t="s">
        <v>99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100</v>
      </c>
      <c r="B71" s="297" t="n">
        <v>200</v>
      </c>
      <c r="C71" s="211"/>
      <c r="D71" s="211"/>
      <c r="E71" s="212"/>
      <c r="F71" s="63"/>
      <c r="G71" s="291" t="s">
        <v>100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101</v>
      </c>
      <c r="B72" s="298" t="n">
        <v>5</v>
      </c>
      <c r="C72" s="211"/>
      <c r="D72" s="211"/>
      <c r="E72" s="212"/>
      <c r="F72" s="63"/>
      <c r="G72" s="294" t="s">
        <v>101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102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102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279</v>
      </c>
      <c r="B74" s="297" t="n">
        <v>0</v>
      </c>
      <c r="C74" s="211"/>
      <c r="D74" s="211"/>
      <c r="E74" s="212"/>
      <c r="F74" s="63"/>
      <c r="G74" s="291" t="s">
        <v>279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280</v>
      </c>
      <c r="B75" s="298" t="n">
        <v>0</v>
      </c>
      <c r="C75" s="211"/>
      <c r="D75" s="211"/>
      <c r="E75" s="212"/>
      <c r="F75" s="63"/>
      <c r="G75" s="294" t="s">
        <v>280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281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281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282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283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103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103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104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104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105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105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299" t="n">
        <f aca="false">B81/H29</f>
        <v>448.218055555556</v>
      </c>
      <c r="C82" s="211"/>
      <c r="D82" s="211"/>
      <c r="E82" s="212"/>
      <c r="F82" s="63"/>
      <c r="G82" s="210" t="s">
        <v>106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107</v>
      </c>
      <c r="B83" s="305" t="n">
        <f aca="false">H46</f>
        <v>501</v>
      </c>
      <c r="C83" s="211"/>
      <c r="D83" s="211"/>
      <c r="E83" s="212"/>
      <c r="F83" s="63"/>
      <c r="G83" s="304" t="s">
        <v>107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117</v>
      </c>
      <c r="B85" s="127" t="n">
        <f aca="false">((B83*(H29)+B81))</f>
        <v>11390.6166666667</v>
      </c>
      <c r="C85" s="211"/>
      <c r="D85" s="211"/>
      <c r="E85" s="212"/>
      <c r="F85" s="63"/>
      <c r="G85" s="287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299" t="n">
        <f aca="false">(B85/(1-B70))*B70</f>
        <v>96.4917103670835</v>
      </c>
      <c r="C86" s="211"/>
      <c r="D86" s="211"/>
      <c r="E86" s="212"/>
      <c r="F86" s="63"/>
      <c r="G86" s="210" t="s">
        <v>118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119</v>
      </c>
      <c r="B87" s="129" t="n">
        <f aca="false">IF(B110="YES",((B85+B86)-E114),((B85+B86)))</f>
        <v>7487.10837703375</v>
      </c>
      <c r="C87" s="211"/>
      <c r="D87" s="211"/>
      <c r="E87" s="212"/>
      <c r="F87" s="63"/>
      <c r="G87" s="284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120</v>
      </c>
      <c r="B89" s="306" t="n">
        <f aca="false">IF(B99=Z102,(((H44*B35)+(H44*B35)*(B105/100))/(B58)),(((H44*B35)+(H44*B35)*(B105/100))/(B57+B58)))</f>
        <v>0</v>
      </c>
      <c r="C89" s="211" t="s">
        <v>4</v>
      </c>
      <c r="D89" s="211"/>
      <c r="E89" s="212"/>
      <c r="F89" s="63"/>
      <c r="G89" s="302" t="s">
        <v>120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121</v>
      </c>
      <c r="B90" s="308" t="n">
        <f aca="false">IF(B99=Z102, (B87-D105)/(B58), B87/(B57+B58))</f>
        <v>623.925698086146</v>
      </c>
      <c r="C90" s="211"/>
      <c r="D90" s="211"/>
      <c r="E90" s="212"/>
      <c r="F90" s="63"/>
      <c r="G90" s="307" t="s">
        <v>121</v>
      </c>
      <c r="H90" s="30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122</v>
      </c>
      <c r="B91" s="310" t="n">
        <f aca="false">IF(A105="YES", B90+B89, B90)</f>
        <v>623.925698086146</v>
      </c>
      <c r="C91" s="211"/>
      <c r="D91" s="211"/>
      <c r="E91" s="212"/>
      <c r="F91" s="63"/>
      <c r="G91" s="309" t="s">
        <v>122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334</v>
      </c>
      <c r="B94" s="209"/>
      <c r="C94" s="209"/>
      <c r="D94" s="209"/>
      <c r="E94" s="209"/>
      <c r="F94" s="63"/>
      <c r="G94" s="209" t="s">
        <v>284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285</v>
      </c>
      <c r="E98" s="212"/>
      <c r="F98" s="63"/>
      <c r="G98" s="210" t="s">
        <v>128</v>
      </c>
      <c r="H98" s="211" t="s">
        <v>23</v>
      </c>
      <c r="I98" s="211"/>
      <c r="J98" s="211" t="s">
        <v>285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286</v>
      </c>
      <c r="B99" s="311" t="s">
        <v>287</v>
      </c>
      <c r="C99" s="311"/>
      <c r="D99" s="103" t="n">
        <v>1000</v>
      </c>
      <c r="E99" s="103"/>
      <c r="F99" s="63"/>
      <c r="G99" s="216" t="s">
        <v>286</v>
      </c>
      <c r="H99" s="311" t="s">
        <v>131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288</v>
      </c>
      <c r="B101" s="211" t="s">
        <v>289</v>
      </c>
      <c r="C101" s="211"/>
      <c r="D101" s="211" t="s">
        <v>290</v>
      </c>
      <c r="E101" s="212"/>
      <c r="F101" s="63"/>
      <c r="G101" s="210" t="s">
        <v>288</v>
      </c>
      <c r="H101" s="211" t="s">
        <v>289</v>
      </c>
      <c r="I101" s="211"/>
      <c r="J101" s="211" t="s">
        <v>290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s">
        <v>291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292</v>
      </c>
      <c r="B108" s="213"/>
      <c r="C108" s="213"/>
      <c r="D108" s="213"/>
      <c r="E108" s="213"/>
      <c r="F108" s="63"/>
      <c r="G108" s="213" t="s">
        <v>292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293</v>
      </c>
      <c r="B110" s="218" t="s">
        <v>18</v>
      </c>
      <c r="C110" s="211"/>
      <c r="D110" s="211"/>
      <c r="E110" s="212"/>
      <c r="F110" s="63"/>
      <c r="G110" s="210" t="s">
        <v>293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12" t="n">
        <v>10000</v>
      </c>
      <c r="E112" s="103" t="n">
        <v>6000</v>
      </c>
      <c r="F112" s="63"/>
      <c r="G112" s="210" t="s">
        <v>177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139</v>
      </c>
      <c r="B117" s="288"/>
      <c r="C117" s="288"/>
      <c r="D117" s="288"/>
      <c r="E117" s="127" t="n">
        <f aca="false">D99</f>
        <v>1000</v>
      </c>
      <c r="F117" s="63"/>
      <c r="G117" s="287" t="s">
        <v>139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294</v>
      </c>
      <c r="B119" s="285"/>
      <c r="C119" s="285"/>
      <c r="D119" s="285"/>
      <c r="E119" s="129" t="n">
        <f aca="false">(E118+E117)-D115</f>
        <v>-2800.01</v>
      </c>
      <c r="F119" s="63"/>
      <c r="G119" s="314" t="s">
        <v>294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295</v>
      </c>
      <c r="B122" s="213"/>
      <c r="C122" s="213"/>
      <c r="D122" s="213"/>
      <c r="E122" s="213"/>
      <c r="F122" s="63"/>
      <c r="G122" s="213" t="s">
        <v>295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128</v>
      </c>
      <c r="B124" s="319" t="n">
        <v>0</v>
      </c>
      <c r="C124" s="320"/>
      <c r="D124" s="319" t="s">
        <v>86</v>
      </c>
      <c r="E124" s="321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121</v>
      </c>
      <c r="B127" s="319" t="s">
        <v>296</v>
      </c>
      <c r="C127" s="320"/>
      <c r="D127" s="319" t="s">
        <v>297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623.925698086146</v>
      </c>
      <c r="B128" s="320" t="n">
        <f aca="false">IF(A105="YES", B89, 0)</f>
        <v>0</v>
      </c>
      <c r="C128" s="325"/>
      <c r="D128" s="320" t="n">
        <f aca="false">B91</f>
        <v>623.925698086146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298</v>
      </c>
      <c r="H129" s="327" t="s">
        <v>299</v>
      </c>
      <c r="I129" s="327"/>
      <c r="J129" s="327" t="s">
        <v>300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301</v>
      </c>
      <c r="C130" s="331"/>
      <c r="D130" s="330" t="s">
        <v>302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5615.33128277531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303</v>
      </c>
      <c r="H132" s="211" t="s">
        <v>304</v>
      </c>
      <c r="I132" s="211"/>
      <c r="J132" s="211" t="s">
        <v>305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306</v>
      </c>
      <c r="B133" s="39" t="s">
        <v>307</v>
      </c>
      <c r="C133" s="335"/>
      <c r="D133" s="243" t="s">
        <v>206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5615.33128277531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308</v>
      </c>
      <c r="H135" s="211" t="s">
        <v>309</v>
      </c>
      <c r="I135" s="211"/>
      <c r="J135" s="211" t="s">
        <v>310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38" t="s">
        <v>296</v>
      </c>
      <c r="C136" s="316"/>
      <c r="D136" s="316" t="s">
        <v>297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623.925698086146</v>
      </c>
      <c r="B137" s="38" t="n">
        <f aca="false">IF(A105="YES", B89, 0)</f>
        <v>0</v>
      </c>
      <c r="C137" s="316"/>
      <c r="D137" s="38" t="n">
        <f aca="false">B91</f>
        <v>623.925698086146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311</v>
      </c>
      <c r="H138" s="211" t="s">
        <v>312</v>
      </c>
      <c r="I138" s="211"/>
      <c r="J138" s="211" t="s">
        <v>313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69</v>
      </c>
      <c r="B139" s="340" t="s">
        <v>314</v>
      </c>
      <c r="C139" s="38"/>
      <c r="D139" s="340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315</v>
      </c>
      <c r="H141" s="211" t="s">
        <v>316</v>
      </c>
      <c r="I141" s="211"/>
      <c r="J141" s="211" t="s">
        <v>317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318</v>
      </c>
      <c r="B142" s="340" t="s">
        <v>53</v>
      </c>
      <c r="C142" s="38"/>
      <c r="D142" s="340" t="s">
        <v>282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319</v>
      </c>
      <c r="H144" s="211" t="s">
        <v>320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321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322</v>
      </c>
      <c r="B147" s="316" t="s">
        <v>323</v>
      </c>
      <c r="C147" s="316"/>
      <c r="D147" s="316" t="s">
        <v>324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325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326</v>
      </c>
      <c r="B150" s="316" t="s">
        <v>320</v>
      </c>
      <c r="C150" s="316"/>
      <c r="D150" s="316" t="s">
        <v>317</v>
      </c>
      <c r="E150" s="317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327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325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623.925698086146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295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128</v>
      </c>
      <c r="B167" s="353" t="s">
        <v>39</v>
      </c>
      <c r="C167" s="354"/>
      <c r="D167" s="353" t="s">
        <v>86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121</v>
      </c>
      <c r="B170" s="353" t="s">
        <v>296</v>
      </c>
      <c r="C170" s="354"/>
      <c r="D170" s="353" t="s">
        <v>297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623.925698086146</v>
      </c>
      <c r="B171" s="354" t="n">
        <f aca="false">IF(A105="YES", B89, 0)</f>
        <v>0</v>
      </c>
      <c r="C171" s="357"/>
      <c r="D171" s="354" t="n">
        <f aca="false">B91</f>
        <v>623.925698086146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301</v>
      </c>
      <c r="C173" s="226"/>
      <c r="D173" s="358" t="s">
        <v>302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5615.33128277531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306</v>
      </c>
      <c r="B176" s="163" t="s">
        <v>307</v>
      </c>
      <c r="C176" s="359"/>
      <c r="D176" s="237" t="s">
        <v>206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5615.33128277531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62" t="s">
        <v>296</v>
      </c>
      <c r="C179" s="352"/>
      <c r="D179" s="352" t="s">
        <v>297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623.925698086146</v>
      </c>
      <c r="B180" s="99" t="n">
        <f aca="false">IF(A105="YES", B89, 0)</f>
        <v>0</v>
      </c>
      <c r="C180" s="352"/>
      <c r="D180" s="99" t="n">
        <f aca="false">B91</f>
        <v>623.925698086146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69</v>
      </c>
      <c r="B182" s="363" t="s">
        <v>314</v>
      </c>
      <c r="C182" s="99"/>
      <c r="D182" s="363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318</v>
      </c>
      <c r="B185" s="363" t="s">
        <v>53</v>
      </c>
      <c r="C185" s="99"/>
      <c r="D185" s="363" t="s">
        <v>282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321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322</v>
      </c>
      <c r="B190" s="352" t="s">
        <v>323</v>
      </c>
      <c r="C190" s="352"/>
      <c r="D190" s="352" t="s">
        <v>324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326</v>
      </c>
      <c r="B193" s="352" t="s">
        <v>320</v>
      </c>
      <c r="C193" s="352"/>
      <c r="D193" s="352" t="s">
        <v>317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327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212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213</v>
      </c>
      <c r="B203" s="368" t="n">
        <f aca="false">H29</f>
        <v>12</v>
      </c>
      <c r="C203" s="320" t="s">
        <v>215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216</v>
      </c>
      <c r="B205" s="320" t="n">
        <f aca="false">B213</f>
        <v>578.85</v>
      </c>
      <c r="C205" s="319" t="s">
        <v>217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218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215</v>
      </c>
      <c r="B211" s="100" t="n">
        <f aca="false">D64</f>
        <v>4051.95</v>
      </c>
      <c r="C211" s="374" t="s">
        <v>221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35" t="s">
        <v>328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328</v>
      </c>
      <c r="B215" s="237" t="n">
        <f aca="false">B191*E213*100</f>
        <v>40</v>
      </c>
      <c r="C215" s="335" t="s">
        <v>223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329</v>
      </c>
      <c r="B217" s="237" t="n">
        <f aca="false">B78-(B78*(E213*100))</f>
        <v>200</v>
      </c>
      <c r="C217" s="335" t="s">
        <v>218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330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331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225</v>
      </c>
      <c r="B223" s="100" t="n">
        <f aca="false">B71</f>
        <v>200</v>
      </c>
      <c r="C223" s="335" t="s">
        <v>226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227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228</v>
      </c>
      <c r="B225" s="380" t="n">
        <f aca="false">B68</f>
        <v>0.0075</v>
      </c>
      <c r="C225" s="335" t="s">
        <v>229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230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231</v>
      </c>
      <c r="B227" s="100" t="n">
        <f aca="false">B79</f>
        <v>200</v>
      </c>
      <c r="C227" s="381" t="s">
        <v>332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85" t="s">
        <v>333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4476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2023-04-17T12:51:54Z</dcterms:modified>
  <cp:revision>759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